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68" i="2" l="1"/>
  <c r="K2067" i="2"/>
  <c r="K2066" i="2"/>
  <c r="K2065" i="2"/>
  <c r="K2064" i="2"/>
  <c r="K2059" i="2"/>
  <c r="K2058" i="2"/>
  <c r="K2057" i="2"/>
  <c r="K2060" i="2" s="1"/>
  <c r="K2056" i="2"/>
  <c r="K2055" i="2"/>
  <c r="K2053" i="2"/>
  <c r="K2052" i="2"/>
  <c r="K2051" i="2"/>
  <c r="K2050" i="2"/>
  <c r="K2049" i="2"/>
  <c r="K2054" i="2" s="1"/>
  <c r="K2047" i="2"/>
  <c r="K2046" i="2"/>
  <c r="K2045" i="2"/>
  <c r="K2044" i="2"/>
  <c r="K2043" i="2"/>
  <c r="K2048" i="2" s="1"/>
  <c r="K2042" i="2"/>
  <c r="K2041" i="2"/>
  <c r="K2040" i="2"/>
  <c r="K2039" i="2"/>
  <c r="K2038" i="2"/>
  <c r="K2037" i="2"/>
  <c r="K2035" i="2"/>
  <c r="K2034" i="2"/>
  <c r="K2033" i="2"/>
  <c r="K2036" i="2" s="1"/>
  <c r="K2032" i="2"/>
  <c r="K2031" i="2"/>
  <c r="K2029" i="2"/>
  <c r="K2028" i="2"/>
  <c r="K2027" i="2"/>
  <c r="K2026" i="2"/>
  <c r="K2025" i="2"/>
  <c r="K2030" i="2" s="1"/>
  <c r="K2023" i="2"/>
  <c r="K2022" i="2"/>
  <c r="K2021" i="2"/>
  <c r="K2020" i="2"/>
  <c r="K2019" i="2"/>
  <c r="K2024" i="2" s="1"/>
  <c r="K2018" i="2"/>
  <c r="K2017" i="2"/>
  <c r="K2016" i="2"/>
  <c r="K2015" i="2"/>
  <c r="K2014" i="2"/>
  <c r="K2013" i="2"/>
  <c r="K2011" i="2"/>
  <c r="K2010" i="2"/>
  <c r="K2012" i="2" s="1"/>
  <c r="K2009" i="2"/>
  <c r="K2008" i="2"/>
  <c r="K2007" i="2"/>
  <c r="K2006" i="2"/>
  <c r="K2005" i="2"/>
  <c r="K2004" i="2"/>
  <c r="K2002" i="2"/>
  <c r="K2003" i="2" s="1"/>
  <c r="K2001" i="2"/>
  <c r="K2000" i="2"/>
  <c r="K1999" i="2"/>
  <c r="K1997" i="2"/>
  <c r="K1996" i="2"/>
  <c r="K1995" i="2"/>
  <c r="K1994" i="2"/>
  <c r="K1998" i="2" s="1"/>
  <c r="K1993" i="2"/>
  <c r="K1991" i="2"/>
  <c r="K1990" i="2"/>
  <c r="K1989" i="2"/>
  <c r="K1992" i="2" s="1"/>
  <c r="K1987" i="2"/>
  <c r="K1986" i="2"/>
  <c r="K1985" i="2"/>
  <c r="K1988" i="2" s="1"/>
  <c r="K1984" i="2"/>
  <c r="K1983" i="2"/>
  <c r="K1981" i="2"/>
  <c r="K1980" i="2"/>
  <c r="K1979" i="2"/>
  <c r="K1978" i="2"/>
  <c r="K1982" i="2" s="1"/>
  <c r="K1977" i="2"/>
  <c r="K1975" i="2"/>
  <c r="K1974" i="2"/>
  <c r="K1973" i="2"/>
  <c r="K1972" i="2"/>
  <c r="K1971" i="2"/>
  <c r="K1976" i="2" s="1"/>
  <c r="K1970" i="2"/>
  <c r="K1969" i="2"/>
  <c r="K1968" i="2"/>
  <c r="K1967" i="2"/>
  <c r="K1966" i="2"/>
  <c r="K1964" i="2"/>
  <c r="K1963" i="2"/>
  <c r="K1962" i="2"/>
  <c r="K1965" i="2" s="1"/>
  <c r="K1960" i="2"/>
  <c r="K1959" i="2"/>
  <c r="K1958" i="2"/>
  <c r="K1961" i="2" s="1"/>
  <c r="K1957" i="2"/>
  <c r="K1954" i="2"/>
  <c r="K1953" i="2"/>
  <c r="K1952" i="2"/>
  <c r="K1955" i="2" s="1"/>
  <c r="K1951" i="2"/>
  <c r="K1950" i="2"/>
  <c r="K1948" i="2"/>
  <c r="K1947" i="2"/>
  <c r="K1946" i="2"/>
  <c r="K1945" i="2"/>
  <c r="K1949" i="2" s="1"/>
  <c r="K1944" i="2"/>
  <c r="K1943" i="2"/>
  <c r="K1942" i="2"/>
  <c r="K1941" i="2"/>
  <c r="K1940" i="2"/>
  <c r="K1939" i="2"/>
  <c r="K1937" i="2"/>
  <c r="K1938" i="2" s="1"/>
  <c r="K1936" i="2"/>
  <c r="K1935" i="2"/>
  <c r="K1934" i="2"/>
  <c r="K1929" i="2"/>
  <c r="K1928" i="2"/>
  <c r="K1927" i="2"/>
  <c r="K1926" i="2"/>
  <c r="K1930" i="2" s="1"/>
  <c r="K1925" i="2"/>
  <c r="K1924" i="2"/>
  <c r="K1923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22" i="2" s="1"/>
  <c r="K1905" i="2"/>
  <c r="K1903" i="2"/>
  <c r="K1902" i="2"/>
  <c r="K1904" i="2" s="1"/>
  <c r="K1901" i="2"/>
  <c r="K1900" i="2"/>
  <c r="K1899" i="2"/>
  <c r="K1897" i="2"/>
  <c r="K1896" i="2"/>
  <c r="K1895" i="2"/>
  <c r="K1898" i="2" s="1"/>
  <c r="K1894" i="2"/>
  <c r="K1893" i="2"/>
  <c r="K1892" i="2"/>
  <c r="K1891" i="2"/>
  <c r="K1889" i="2"/>
  <c r="K1888" i="2"/>
  <c r="K1887" i="2"/>
  <c r="K1890" i="2" s="1"/>
  <c r="K1886" i="2"/>
  <c r="K1885" i="2"/>
  <c r="K1884" i="2"/>
  <c r="K1883" i="2"/>
  <c r="K1881" i="2"/>
  <c r="K1880" i="2"/>
  <c r="K1879" i="2"/>
  <c r="K1882" i="2" s="1"/>
  <c r="K1878" i="2"/>
  <c r="K1877" i="2"/>
  <c r="K1876" i="2"/>
  <c r="K1875" i="2"/>
  <c r="K1873" i="2"/>
  <c r="K1872" i="2"/>
  <c r="K1871" i="2"/>
  <c r="K1874" i="2" s="1"/>
  <c r="K1870" i="2"/>
  <c r="K1869" i="2"/>
  <c r="K1868" i="2"/>
  <c r="K1867" i="2"/>
  <c r="K1865" i="2"/>
  <c r="K1864" i="2"/>
  <c r="K1863" i="2"/>
  <c r="K1866" i="2" s="1"/>
  <c r="K1862" i="2"/>
  <c r="K1861" i="2"/>
  <c r="K1860" i="2"/>
  <c r="K1856" i="2"/>
  <c r="K1855" i="2"/>
  <c r="K1857" i="2" s="1"/>
  <c r="K1853" i="2"/>
  <c r="K1852" i="2"/>
  <c r="K1851" i="2"/>
  <c r="K1854" i="2" s="1"/>
  <c r="K1850" i="2"/>
  <c r="K1848" i="2"/>
  <c r="K1847" i="2"/>
  <c r="K1846" i="2"/>
  <c r="K1845" i="2"/>
  <c r="K1844" i="2"/>
  <c r="K1849" i="2" s="1"/>
  <c r="K1842" i="2"/>
  <c r="K1841" i="2"/>
  <c r="K1840" i="2"/>
  <c r="K1843" i="2" s="1"/>
  <c r="K1839" i="2"/>
  <c r="K1837" i="2"/>
  <c r="K1836" i="2"/>
  <c r="K1835" i="2"/>
  <c r="K1838" i="2" s="1"/>
  <c r="K1833" i="2"/>
  <c r="K1832" i="2"/>
  <c r="K1831" i="2"/>
  <c r="K1830" i="2"/>
  <c r="K1829" i="2"/>
  <c r="K1828" i="2"/>
  <c r="K1834" i="2" s="1"/>
  <c r="K1826" i="2"/>
  <c r="K1825" i="2"/>
  <c r="K1824" i="2"/>
  <c r="K1827" i="2" s="1"/>
  <c r="K1822" i="2"/>
  <c r="K1821" i="2"/>
  <c r="K1820" i="2"/>
  <c r="K1823" i="2" s="1"/>
  <c r="K1818" i="2"/>
  <c r="K1817" i="2"/>
  <c r="K1816" i="2"/>
  <c r="K1819" i="2" s="1"/>
  <c r="K1815" i="2"/>
  <c r="K1813" i="2"/>
  <c r="K1812" i="2"/>
  <c r="K1811" i="2"/>
  <c r="K1814" i="2" s="1"/>
  <c r="K1809" i="2"/>
  <c r="K1808" i="2"/>
  <c r="K1807" i="2"/>
  <c r="K1810" i="2" s="1"/>
  <c r="K1805" i="2"/>
  <c r="K1804" i="2"/>
  <c r="K1803" i="2"/>
  <c r="K1806" i="2" s="1"/>
  <c r="K1802" i="2"/>
  <c r="K1800" i="2"/>
  <c r="K1799" i="2"/>
  <c r="K1798" i="2"/>
  <c r="K1796" i="2"/>
  <c r="K1795" i="2"/>
  <c r="K1794" i="2"/>
  <c r="K1792" i="2"/>
  <c r="K1791" i="2"/>
  <c r="K1790" i="2"/>
  <c r="K1789" i="2"/>
  <c r="K1788" i="2"/>
  <c r="K1779" i="2"/>
  <c r="K1771" i="2"/>
  <c r="K1772" i="2" s="1"/>
  <c r="K1770" i="2"/>
  <c r="K1769" i="2"/>
  <c r="K1768" i="2"/>
  <c r="K1767" i="2"/>
  <c r="K1765" i="2"/>
  <c r="K1764" i="2"/>
  <c r="K1763" i="2"/>
  <c r="K1762" i="2"/>
  <c r="K1766" i="2" s="1"/>
  <c r="K1760" i="2"/>
  <c r="K1759" i="2"/>
  <c r="K1761" i="2" s="1"/>
  <c r="K1757" i="2"/>
  <c r="K1756" i="2"/>
  <c r="K1758" i="2" s="1"/>
  <c r="K1755" i="2"/>
  <c r="K1754" i="2"/>
  <c r="K1753" i="2"/>
  <c r="K1752" i="2"/>
  <c r="K1751" i="2"/>
  <c r="K1747" i="2"/>
  <c r="K1746" i="2"/>
  <c r="K1744" i="2"/>
  <c r="K1743" i="2"/>
  <c r="K1742" i="2"/>
  <c r="K1740" i="2"/>
  <c r="K1739" i="2"/>
  <c r="K1738" i="2"/>
  <c r="K1737" i="2"/>
  <c r="K1736" i="2"/>
  <c r="K1735" i="2"/>
  <c r="K1741" i="2" s="1"/>
  <c r="K1733" i="2"/>
  <c r="K1732" i="2"/>
  <c r="K1731" i="2"/>
  <c r="K1730" i="2"/>
  <c r="K1729" i="2"/>
  <c r="K1728" i="2"/>
  <c r="K1734" i="2" s="1"/>
  <c r="K1727" i="2"/>
  <c r="K1726" i="2"/>
  <c r="K1725" i="2"/>
  <c r="K1724" i="2"/>
  <c r="K1723" i="2"/>
  <c r="K1721" i="2"/>
  <c r="K1720" i="2"/>
  <c r="K1719" i="2"/>
  <c r="K1718" i="2"/>
  <c r="K1722" i="2" s="1"/>
  <c r="K1716" i="2"/>
  <c r="K1715" i="2"/>
  <c r="K1714" i="2"/>
  <c r="K1713" i="2"/>
  <c r="K1712" i="2"/>
  <c r="K1711" i="2"/>
  <c r="K1717" i="2" s="1"/>
  <c r="K1710" i="2"/>
  <c r="K1709" i="2"/>
  <c r="K1708" i="2"/>
  <c r="K1706" i="2"/>
  <c r="K1705" i="2"/>
  <c r="K1704" i="2"/>
  <c r="K1703" i="2"/>
  <c r="K1707" i="2" s="1"/>
  <c r="K1702" i="2"/>
  <c r="K1701" i="2"/>
  <c r="K1699" i="2"/>
  <c r="K1698" i="2"/>
  <c r="K1697" i="2"/>
  <c r="K1696" i="2"/>
  <c r="K1695" i="2"/>
  <c r="K1694" i="2"/>
  <c r="K1693" i="2"/>
  <c r="K1700" i="2" s="1"/>
  <c r="K1691" i="2"/>
  <c r="K1690" i="2"/>
  <c r="K1689" i="2"/>
  <c r="K1688" i="2"/>
  <c r="K1692" i="2" s="1"/>
  <c r="K1687" i="2"/>
  <c r="K1686" i="2"/>
  <c r="K1685" i="2"/>
  <c r="K1683" i="2"/>
  <c r="K1682" i="2"/>
  <c r="K1684" i="2" s="1"/>
  <c r="K1680" i="2"/>
  <c r="K1679" i="2"/>
  <c r="K1678" i="2"/>
  <c r="K1677" i="2"/>
  <c r="K1676" i="2"/>
  <c r="K1675" i="2"/>
  <c r="K1681" i="2" s="1"/>
  <c r="K1673" i="2"/>
  <c r="K1672" i="2"/>
  <c r="K1671" i="2"/>
  <c r="K1670" i="2"/>
  <c r="K1669" i="2"/>
  <c r="K1668" i="2"/>
  <c r="K1667" i="2"/>
  <c r="K1674" i="2" s="1"/>
  <c r="K1665" i="2"/>
  <c r="K1664" i="2"/>
  <c r="K1663" i="2"/>
  <c r="K1662" i="2"/>
  <c r="K1666" i="2" s="1"/>
  <c r="K1661" i="2"/>
  <c r="K1659" i="2"/>
  <c r="K1658" i="2"/>
  <c r="K1657" i="2"/>
  <c r="K1656" i="2"/>
  <c r="K1655" i="2"/>
  <c r="K1654" i="2"/>
  <c r="K1660" i="2" s="1"/>
  <c r="K1653" i="2"/>
  <c r="K1651" i="2"/>
  <c r="K1650" i="2"/>
  <c r="K1649" i="2"/>
  <c r="K1652" i="2" s="1"/>
  <c r="K1647" i="2"/>
  <c r="K1648" i="2" s="1"/>
  <c r="K1646" i="2"/>
  <c r="K1645" i="2"/>
  <c r="K1644" i="2"/>
  <c r="K1643" i="2"/>
  <c r="K1642" i="2"/>
  <c r="K1641" i="2"/>
  <c r="K1639" i="2"/>
  <c r="K1640" i="2" s="1"/>
  <c r="K1638" i="2"/>
  <c r="K1637" i="2"/>
  <c r="K1635" i="2"/>
  <c r="K1634" i="2"/>
  <c r="K1633" i="2"/>
  <c r="K1632" i="2"/>
  <c r="K1636" i="2" s="1"/>
  <c r="K1629" i="2"/>
  <c r="K1628" i="2"/>
  <c r="K1627" i="2"/>
  <c r="K1626" i="2"/>
  <c r="K1625" i="2"/>
  <c r="K1623" i="2"/>
  <c r="K1622" i="2"/>
  <c r="K1621" i="2"/>
  <c r="K1620" i="2"/>
  <c r="K1624" i="2" s="1"/>
  <c r="K1618" i="2"/>
  <c r="K1617" i="2"/>
  <c r="K1616" i="2"/>
  <c r="K1619" i="2" s="1"/>
  <c r="K1614" i="2"/>
  <c r="K1613" i="2"/>
  <c r="K1615" i="2" s="1"/>
  <c r="K1612" i="2"/>
  <c r="K1611" i="2"/>
  <c r="K1609" i="2"/>
  <c r="K1608" i="2"/>
  <c r="K1607" i="2"/>
  <c r="K1610" i="2" s="1"/>
  <c r="K1605" i="2"/>
  <c r="K1606" i="2" s="1"/>
  <c r="K1604" i="2"/>
  <c r="K1603" i="2"/>
  <c r="K1602" i="2"/>
  <c r="K1601" i="2"/>
  <c r="K1600" i="2"/>
  <c r="K1599" i="2"/>
  <c r="K1597" i="2"/>
  <c r="K1596" i="2"/>
  <c r="K1595" i="2"/>
  <c r="K1594" i="2"/>
  <c r="K1592" i="2"/>
  <c r="K1591" i="2"/>
  <c r="K1590" i="2"/>
  <c r="K1589" i="2"/>
  <c r="K1593" i="2" s="1"/>
  <c r="K1588" i="2"/>
  <c r="K1587" i="2"/>
  <c r="K1586" i="2"/>
  <c r="K1585" i="2"/>
  <c r="K1583" i="2"/>
  <c r="K1582" i="2"/>
  <c r="K1581" i="2"/>
  <c r="K1584" i="2" s="1"/>
  <c r="K1570" i="2"/>
  <c r="K1569" i="2"/>
  <c r="K1568" i="2"/>
  <c r="K1567" i="2"/>
  <c r="K1566" i="2"/>
  <c r="K1565" i="2"/>
  <c r="K1564" i="2"/>
  <c r="K1562" i="2"/>
  <c r="K1561" i="2"/>
  <c r="K1560" i="2"/>
  <c r="K1559" i="2"/>
  <c r="K1558" i="2"/>
  <c r="K1557" i="2"/>
  <c r="K1556" i="2"/>
  <c r="K1554" i="2"/>
  <c r="K1553" i="2"/>
  <c r="K1552" i="2"/>
  <c r="K1551" i="2"/>
  <c r="K1550" i="2"/>
  <c r="K1549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4" i="2"/>
  <c r="K1533" i="2"/>
  <c r="K1532" i="2"/>
  <c r="K1531" i="2"/>
  <c r="K1530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29" i="2" s="1"/>
  <c r="K1514" i="2"/>
  <c r="K1513" i="2"/>
  <c r="K1512" i="2"/>
  <c r="K1511" i="2"/>
  <c r="K1510" i="2"/>
  <c r="K1509" i="2"/>
  <c r="K1508" i="2"/>
  <c r="K1507" i="2"/>
  <c r="K1506" i="2"/>
  <c r="K1505" i="2"/>
  <c r="K1515" i="2" s="1"/>
  <c r="K1503" i="2"/>
  <c r="K1502" i="2"/>
  <c r="K1501" i="2"/>
  <c r="K1500" i="2"/>
  <c r="K1499" i="2"/>
  <c r="K1498" i="2"/>
  <c r="K1497" i="2"/>
  <c r="K1504" i="2" s="1"/>
  <c r="K1495" i="2"/>
  <c r="K1494" i="2"/>
  <c r="K1493" i="2"/>
  <c r="K1492" i="2"/>
  <c r="K1491" i="2"/>
  <c r="K1490" i="2"/>
  <c r="K1489" i="2"/>
  <c r="K1488" i="2"/>
  <c r="K1487" i="2"/>
  <c r="K1496" i="2" s="1"/>
  <c r="K1486" i="2"/>
  <c r="K1485" i="2"/>
  <c r="K1484" i="2"/>
  <c r="K1483" i="2"/>
  <c r="K1481" i="2"/>
  <c r="K1480" i="2"/>
  <c r="K1479" i="2"/>
  <c r="K1478" i="2"/>
  <c r="K1477" i="2"/>
  <c r="K1476" i="2"/>
  <c r="K1475" i="2"/>
  <c r="K1482" i="2" s="1"/>
  <c r="K1473" i="2"/>
  <c r="K1472" i="2"/>
  <c r="K1474" i="2" s="1"/>
  <c r="K1470" i="2"/>
  <c r="K1469" i="2"/>
  <c r="K1468" i="2"/>
  <c r="K1467" i="2"/>
  <c r="K1466" i="2"/>
  <c r="K1471" i="2" s="1"/>
  <c r="K1464" i="2"/>
  <c r="K1463" i="2"/>
  <c r="K1465" i="2" s="1"/>
  <c r="K1462" i="2"/>
  <c r="K1461" i="2"/>
  <c r="K1460" i="2"/>
  <c r="K1458" i="2"/>
  <c r="K1457" i="2"/>
  <c r="K1456" i="2"/>
  <c r="K1459" i="2" s="1"/>
  <c r="K1454" i="2"/>
  <c r="K1453" i="2"/>
  <c r="K1452" i="2"/>
  <c r="K1451" i="2"/>
  <c r="K1450" i="2"/>
  <c r="K1449" i="2"/>
  <c r="K1455" i="2" s="1"/>
  <c r="K1447" i="2"/>
  <c r="K1446" i="2"/>
  <c r="K1448" i="2" s="1"/>
  <c r="K1445" i="2"/>
  <c r="K1444" i="2"/>
  <c r="K1442" i="2"/>
  <c r="K1441" i="2"/>
  <c r="K1440" i="2"/>
  <c r="K1439" i="2"/>
  <c r="K1438" i="2"/>
  <c r="K1443" i="2" s="1"/>
  <c r="K1437" i="2"/>
  <c r="K1435" i="2"/>
  <c r="K1434" i="2"/>
  <c r="K1433" i="2"/>
  <c r="K1432" i="2"/>
  <c r="K1431" i="2"/>
  <c r="K1436" i="2" s="1"/>
  <c r="K1430" i="2"/>
  <c r="K1429" i="2"/>
  <c r="K1428" i="2"/>
  <c r="K1427" i="2"/>
  <c r="K1426" i="2"/>
  <c r="K1425" i="2"/>
  <c r="K1423" i="2"/>
  <c r="K1422" i="2"/>
  <c r="K1424" i="2" s="1"/>
  <c r="K1421" i="2"/>
  <c r="K1420" i="2"/>
  <c r="K1419" i="2"/>
  <c r="K1418" i="2"/>
  <c r="K1417" i="2"/>
  <c r="K1415" i="2"/>
  <c r="K1414" i="2"/>
  <c r="K1416" i="2" s="1"/>
  <c r="K1413" i="2"/>
  <c r="K1411" i="2"/>
  <c r="K1410" i="2"/>
  <c r="K1409" i="2"/>
  <c r="K1408" i="2"/>
  <c r="K1407" i="2"/>
  <c r="K1406" i="2"/>
  <c r="K1405" i="2"/>
  <c r="K1404" i="2"/>
  <c r="K1412" i="2" s="1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0" i="2"/>
  <c r="K1389" i="2"/>
  <c r="K1388" i="2"/>
  <c r="K1387" i="2"/>
  <c r="K1386" i="2"/>
  <c r="K1385" i="2"/>
  <c r="K1391" i="2" s="1"/>
  <c r="K1383" i="2"/>
  <c r="K1382" i="2"/>
  <c r="K1381" i="2"/>
  <c r="K1380" i="2"/>
  <c r="K1379" i="2"/>
  <c r="K1384" i="2" s="1"/>
  <c r="K1378" i="2"/>
  <c r="K1376" i="2"/>
  <c r="K1375" i="2"/>
  <c r="K1374" i="2"/>
  <c r="K1377" i="2" s="1"/>
  <c r="K1373" i="2"/>
  <c r="K1371" i="2"/>
  <c r="K1370" i="2"/>
  <c r="K1369" i="2"/>
  <c r="K1368" i="2"/>
  <c r="K1372" i="2" s="1"/>
  <c r="K1366" i="2"/>
  <c r="K1365" i="2"/>
  <c r="K1364" i="2"/>
  <c r="K1363" i="2"/>
  <c r="K1367" i="2" s="1"/>
  <c r="K1361" i="2"/>
  <c r="K1360" i="2"/>
  <c r="K1359" i="2"/>
  <c r="K1358" i="2"/>
  <c r="K1362" i="2" s="1"/>
  <c r="K1354" i="2"/>
  <c r="K1353" i="2"/>
  <c r="K1352" i="2"/>
  <c r="K1351" i="2"/>
  <c r="K1349" i="2"/>
  <c r="K1348" i="2"/>
  <c r="K1347" i="2"/>
  <c r="K1346" i="2"/>
  <c r="K1345" i="2"/>
  <c r="K1344" i="2"/>
  <c r="K1342" i="2"/>
  <c r="K1341" i="2"/>
  <c r="K1340" i="2"/>
  <c r="K1339" i="2"/>
  <c r="K1338" i="2"/>
  <c r="K1336" i="2"/>
  <c r="K1335" i="2"/>
  <c r="K1334" i="2"/>
  <c r="K1333" i="2"/>
  <c r="K1332" i="2"/>
  <c r="K1331" i="2"/>
  <c r="K1329" i="2"/>
  <c r="K1328" i="2"/>
  <c r="K1330" i="2" s="1"/>
  <c r="K1327" i="2"/>
  <c r="K1326" i="2"/>
  <c r="K1325" i="2"/>
  <c r="K1323" i="2"/>
  <c r="K1322" i="2"/>
  <c r="K1324" i="2" s="1"/>
  <c r="K1318" i="2"/>
  <c r="K1317" i="2"/>
  <c r="K1319" i="2" s="1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0" i="2"/>
  <c r="K1299" i="2"/>
  <c r="K1298" i="2"/>
  <c r="K1297" i="2"/>
  <c r="K1296" i="2"/>
  <c r="K1295" i="2"/>
  <c r="K1294" i="2"/>
  <c r="K1293" i="2"/>
  <c r="K1301" i="2" s="1"/>
  <c r="K1291" i="2"/>
  <c r="K1290" i="2"/>
  <c r="K1289" i="2"/>
  <c r="K1292" i="2" s="1"/>
  <c r="K1287" i="2"/>
  <c r="K1286" i="2"/>
  <c r="K1285" i="2"/>
  <c r="K1288" i="2" s="1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4" i="2"/>
  <c r="K1263" i="2"/>
  <c r="K1262" i="2"/>
  <c r="K1265" i="2" s="1"/>
  <c r="K1261" i="2"/>
  <c r="K1260" i="2"/>
  <c r="K1259" i="2"/>
  <c r="K1258" i="2"/>
  <c r="K1256" i="2"/>
  <c r="K1255" i="2"/>
  <c r="K1254" i="2"/>
  <c r="K1257" i="2" s="1"/>
  <c r="K1253" i="2"/>
  <c r="K1252" i="2"/>
  <c r="K1251" i="2"/>
  <c r="K1250" i="2"/>
  <c r="K1246" i="2"/>
  <c r="K1245" i="2"/>
  <c r="K1244" i="2"/>
  <c r="K1243" i="2"/>
  <c r="K1242" i="2"/>
  <c r="K1241" i="2"/>
  <c r="K1240" i="2"/>
  <c r="K1238" i="2"/>
  <c r="K1237" i="2"/>
  <c r="K1236" i="2"/>
  <c r="K1234" i="2"/>
  <c r="K1233" i="2"/>
  <c r="K1232" i="2"/>
  <c r="K1230" i="2"/>
  <c r="K1229" i="2"/>
  <c r="K1227" i="2"/>
  <c r="K1226" i="2"/>
  <c r="K1225" i="2"/>
  <c r="K1224" i="2"/>
  <c r="K1223" i="2"/>
  <c r="K1222" i="2"/>
  <c r="K1221" i="2"/>
  <c r="K1220" i="2"/>
  <c r="K1228" i="2" s="1"/>
  <c r="K1218" i="2"/>
  <c r="K1217" i="2"/>
  <c r="K1216" i="2"/>
  <c r="K1219" i="2" s="1"/>
  <c r="K1215" i="2"/>
  <c r="K1213" i="2"/>
  <c r="K1212" i="2"/>
  <c r="K1211" i="2"/>
  <c r="K1214" i="2" s="1"/>
  <c r="K1210" i="2"/>
  <c r="K1208" i="2"/>
  <c r="K1207" i="2"/>
  <c r="K1206" i="2"/>
  <c r="K1209" i="2" s="1"/>
  <c r="K1205" i="2"/>
  <c r="K1203" i="2"/>
  <c r="K1202" i="2"/>
  <c r="K1201" i="2"/>
  <c r="K1204" i="2" s="1"/>
  <c r="K1200" i="2"/>
  <c r="K1199" i="2"/>
  <c r="K1198" i="2"/>
  <c r="K1197" i="2"/>
  <c r="K1195" i="2"/>
  <c r="K1196" i="2" s="1"/>
  <c r="K1194" i="2"/>
  <c r="K1190" i="2"/>
  <c r="K1191" i="2" s="1"/>
  <c r="K1189" i="2"/>
  <c r="K1188" i="2"/>
  <c r="K1187" i="2"/>
  <c r="K1185" i="2"/>
  <c r="K1184" i="2"/>
  <c r="K1183" i="2"/>
  <c r="K1182" i="2"/>
  <c r="K1186" i="2" s="1"/>
  <c r="K1181" i="2"/>
  <c r="K1179" i="2"/>
  <c r="K1177" i="2"/>
  <c r="K1176" i="2"/>
  <c r="K1178" i="2" s="1"/>
  <c r="K1174" i="2"/>
  <c r="K1173" i="2"/>
  <c r="K1172" i="2"/>
  <c r="K1171" i="2"/>
  <c r="K1170" i="2"/>
  <c r="K1169" i="2"/>
  <c r="K1168" i="2"/>
  <c r="K1163" i="2"/>
  <c r="K1162" i="2"/>
  <c r="K1161" i="2"/>
  <c r="K1160" i="2"/>
  <c r="K1158" i="2"/>
  <c r="K1157" i="2"/>
  <c r="K1156" i="2"/>
  <c r="K1155" i="2"/>
  <c r="K1159" i="2" s="1"/>
  <c r="K1153" i="2"/>
  <c r="K1152" i="2"/>
  <c r="K1154" i="2" s="1"/>
  <c r="K1151" i="2"/>
  <c r="K1150" i="2"/>
  <c r="K1148" i="2"/>
  <c r="K1147" i="2"/>
  <c r="K1146" i="2"/>
  <c r="K1145" i="2"/>
  <c r="K1149" i="2" s="1"/>
  <c r="K1143" i="2"/>
  <c r="K1142" i="2"/>
  <c r="K1141" i="2"/>
  <c r="K1140" i="2"/>
  <c r="K1139" i="2"/>
  <c r="K1138" i="2"/>
  <c r="K1137" i="2"/>
  <c r="K1136" i="2"/>
  <c r="K1144" i="2" s="1"/>
  <c r="K1134" i="2"/>
  <c r="K1133" i="2"/>
  <c r="K1132" i="2"/>
  <c r="K1131" i="2"/>
  <c r="K1130" i="2"/>
  <c r="K1135" i="2" s="1"/>
  <c r="K1129" i="2"/>
  <c r="K1128" i="2"/>
  <c r="K1127" i="2"/>
  <c r="K1126" i="2"/>
  <c r="K1124" i="2"/>
  <c r="K1123" i="2"/>
  <c r="K1122" i="2"/>
  <c r="K1121" i="2"/>
  <c r="K1120" i="2"/>
  <c r="K1125" i="2" s="1"/>
  <c r="K1118" i="2"/>
  <c r="K1117" i="2"/>
  <c r="K1116" i="2"/>
  <c r="K1115" i="2"/>
  <c r="K1119" i="2" s="1"/>
  <c r="K1113" i="2"/>
  <c r="K1112" i="2"/>
  <c r="K1111" i="2"/>
  <c r="K1110" i="2"/>
  <c r="K1109" i="2"/>
  <c r="K1108" i="2"/>
  <c r="K1107" i="2"/>
  <c r="K1114" i="2" s="1"/>
  <c r="K1105" i="2"/>
  <c r="K1104" i="2"/>
  <c r="K1103" i="2"/>
  <c r="K1102" i="2"/>
  <c r="K1101" i="2"/>
  <c r="K1100" i="2"/>
  <c r="K1099" i="2"/>
  <c r="K1106" i="2" s="1"/>
  <c r="K1097" i="2"/>
  <c r="K1096" i="2"/>
  <c r="K1095" i="2"/>
  <c r="K1094" i="2"/>
  <c r="K1093" i="2"/>
  <c r="K1092" i="2"/>
  <c r="K1091" i="2"/>
  <c r="K1098" i="2" s="1"/>
  <c r="K1089" i="2"/>
  <c r="K1088" i="2"/>
  <c r="K1090" i="2" s="1"/>
  <c r="K1087" i="2"/>
  <c r="K1086" i="2"/>
  <c r="K1085" i="2"/>
  <c r="K1084" i="2"/>
  <c r="K1081" i="2"/>
  <c r="K1080" i="2"/>
  <c r="K1079" i="2"/>
  <c r="K1082" i="2" s="1"/>
  <c r="K1078" i="2"/>
  <c r="K1076" i="2"/>
  <c r="K1075" i="2"/>
  <c r="K1074" i="2"/>
  <c r="K1077" i="2" s="1"/>
  <c r="K1072" i="2"/>
  <c r="K1071" i="2"/>
  <c r="K1070" i="2"/>
  <c r="K1068" i="2"/>
  <c r="K1067" i="2"/>
  <c r="K1066" i="2"/>
  <c r="K1065" i="2"/>
  <c r="K1064" i="2"/>
  <c r="K1063" i="2"/>
  <c r="K1062" i="2"/>
  <c r="K1060" i="2"/>
  <c r="K1059" i="2"/>
  <c r="K1058" i="2"/>
  <c r="K1057" i="2"/>
  <c r="K1056" i="2"/>
  <c r="K1055" i="2"/>
  <c r="K1054" i="2"/>
  <c r="K1052" i="2"/>
  <c r="K1051" i="2"/>
  <c r="K1050" i="2"/>
  <c r="K1049" i="2"/>
  <c r="K1047" i="2"/>
  <c r="K1046" i="2"/>
  <c r="K1045" i="2"/>
  <c r="K1044" i="2"/>
  <c r="K1043" i="2"/>
  <c r="K1042" i="2"/>
  <c r="K1040" i="2"/>
  <c r="K1039" i="2"/>
  <c r="K1038" i="2"/>
  <c r="K1037" i="2"/>
  <c r="K1035" i="2"/>
  <c r="K1034" i="2"/>
  <c r="K1033" i="2"/>
  <c r="K1032" i="2"/>
  <c r="K1031" i="2"/>
  <c r="K1029" i="2"/>
  <c r="K1028" i="2"/>
  <c r="K1027" i="2"/>
  <c r="K1026" i="2"/>
  <c r="K1025" i="2"/>
  <c r="K1023" i="2"/>
  <c r="K1022" i="2"/>
  <c r="K1021" i="2"/>
  <c r="K1020" i="2"/>
  <c r="K1018" i="2"/>
  <c r="K1017" i="2"/>
  <c r="K1016" i="2"/>
  <c r="K1015" i="2"/>
  <c r="K1013" i="2"/>
  <c r="K1012" i="2"/>
  <c r="K1011" i="2"/>
  <c r="K1009" i="2"/>
  <c r="K1008" i="2"/>
  <c r="K1002" i="2"/>
  <c r="K1001" i="2"/>
  <c r="K999" i="2"/>
  <c r="K998" i="2"/>
  <c r="K997" i="2"/>
  <c r="K996" i="2"/>
  <c r="K994" i="2"/>
  <c r="K993" i="2"/>
  <c r="K992" i="2"/>
  <c r="K991" i="2"/>
  <c r="K990" i="2"/>
  <c r="K989" i="2"/>
  <c r="K988" i="2"/>
  <c r="K987" i="2"/>
  <c r="K986" i="2"/>
  <c r="K984" i="2"/>
  <c r="K983" i="2"/>
  <c r="K982" i="2"/>
  <c r="K980" i="2"/>
  <c r="K979" i="2"/>
  <c r="K978" i="2"/>
  <c r="K977" i="2"/>
  <c r="K976" i="2"/>
  <c r="K974" i="2"/>
  <c r="K973" i="2"/>
  <c r="K972" i="2"/>
  <c r="K971" i="2"/>
  <c r="K970" i="2"/>
  <c r="K969" i="2"/>
  <c r="K968" i="2"/>
  <c r="K966" i="2"/>
  <c r="K965" i="2"/>
  <c r="K964" i="2"/>
  <c r="K963" i="2"/>
  <c r="K962" i="2"/>
  <c r="K960" i="2"/>
  <c r="K961" i="2" s="1"/>
  <c r="K959" i="2"/>
  <c r="K956" i="2"/>
  <c r="K955" i="2"/>
  <c r="K954" i="2"/>
  <c r="K953" i="2"/>
  <c r="K951" i="2"/>
  <c r="K950" i="2"/>
  <c r="K949" i="2"/>
  <c r="K945" i="2"/>
  <c r="K944" i="2"/>
  <c r="K943" i="2"/>
  <c r="K942" i="2"/>
  <c r="K941" i="2"/>
  <c r="K940" i="2"/>
  <c r="K946" i="2" s="1"/>
  <c r="K939" i="2"/>
  <c r="K938" i="2"/>
  <c r="K937" i="2"/>
  <c r="K936" i="2"/>
  <c r="K935" i="2"/>
  <c r="K934" i="2"/>
  <c r="K933" i="2"/>
  <c r="K931" i="2"/>
  <c r="K930" i="2"/>
  <c r="K929" i="2"/>
  <c r="K932" i="2" s="1"/>
  <c r="K927" i="2"/>
  <c r="K926" i="2"/>
  <c r="K928" i="2" s="1"/>
  <c r="K925" i="2"/>
  <c r="K924" i="2"/>
  <c r="K923" i="2"/>
  <c r="K922" i="2"/>
  <c r="K921" i="2"/>
  <c r="K920" i="2"/>
  <c r="K919" i="2"/>
  <c r="K917" i="2"/>
  <c r="K916" i="2"/>
  <c r="K915" i="2"/>
  <c r="K918" i="2" s="1"/>
  <c r="K914" i="2"/>
  <c r="K913" i="2"/>
  <c r="K911" i="2"/>
  <c r="K910" i="2"/>
  <c r="K912" i="2" s="1"/>
  <c r="K905" i="2"/>
  <c r="K904" i="2"/>
  <c r="K903" i="2"/>
  <c r="K906" i="2" s="1"/>
  <c r="K901" i="2"/>
  <c r="K900" i="2"/>
  <c r="K899" i="2"/>
  <c r="K902" i="2" s="1"/>
  <c r="K897" i="2"/>
  <c r="K896" i="2"/>
  <c r="K898" i="2" s="1"/>
  <c r="K891" i="2"/>
  <c r="K890" i="2"/>
  <c r="K889" i="2"/>
  <c r="K888" i="2"/>
  <c r="K887" i="2"/>
  <c r="K892" i="2" s="1"/>
  <c r="K882" i="2"/>
  <c r="K881" i="2"/>
  <c r="K880" i="2"/>
  <c r="K879" i="2"/>
  <c r="K883" i="2" s="1"/>
  <c r="K870" i="2"/>
  <c r="K869" i="2"/>
  <c r="K868" i="2"/>
  <c r="K866" i="2"/>
  <c r="K865" i="2"/>
  <c r="K864" i="2"/>
  <c r="K862" i="2"/>
  <c r="K861" i="2"/>
  <c r="K859" i="2"/>
  <c r="K858" i="2"/>
  <c r="K857" i="2"/>
  <c r="K854" i="2"/>
  <c r="K853" i="2"/>
  <c r="K855" i="2" s="1"/>
  <c r="K852" i="2"/>
  <c r="K851" i="2"/>
  <c r="K850" i="2"/>
  <c r="K843" i="2"/>
  <c r="K842" i="2"/>
  <c r="K841" i="2"/>
  <c r="K840" i="2"/>
  <c r="K839" i="2"/>
  <c r="K831" i="2"/>
  <c r="K830" i="2"/>
  <c r="K829" i="2"/>
  <c r="K832" i="2" s="1"/>
  <c r="K828" i="2"/>
  <c r="K827" i="2"/>
  <c r="K826" i="2"/>
  <c r="K825" i="2"/>
  <c r="K824" i="2"/>
  <c r="K823" i="2"/>
  <c r="K822" i="2"/>
  <c r="K820" i="2"/>
  <c r="K819" i="2"/>
  <c r="K818" i="2"/>
  <c r="K821" i="2" s="1"/>
  <c r="K817" i="2"/>
  <c r="K815" i="2"/>
  <c r="K814" i="2"/>
  <c r="K813" i="2"/>
  <c r="K816" i="2" s="1"/>
  <c r="K812" i="2"/>
  <c r="K810" i="2"/>
  <c r="K809" i="2"/>
  <c r="K808" i="2"/>
  <c r="K811" i="2" s="1"/>
  <c r="K807" i="2"/>
  <c r="K805" i="2"/>
  <c r="K804" i="2"/>
  <c r="K803" i="2"/>
  <c r="K806" i="2" s="1"/>
  <c r="K802" i="2"/>
  <c r="K801" i="2"/>
  <c r="K800" i="2"/>
  <c r="K799" i="2"/>
  <c r="K797" i="2"/>
  <c r="K796" i="2"/>
  <c r="K795" i="2"/>
  <c r="K794" i="2"/>
  <c r="K798" i="2" s="1"/>
  <c r="K792" i="2"/>
  <c r="K791" i="2"/>
  <c r="K790" i="2"/>
  <c r="K793" i="2" s="1"/>
  <c r="K788" i="2"/>
  <c r="K787" i="2"/>
  <c r="K786" i="2"/>
  <c r="K789" i="2" s="1"/>
  <c r="K785" i="2"/>
  <c r="K784" i="2"/>
  <c r="K783" i="2"/>
  <c r="K782" i="2"/>
  <c r="K780" i="2"/>
  <c r="K779" i="2"/>
  <c r="K778" i="2"/>
  <c r="K781" i="2" s="1"/>
  <c r="K775" i="2"/>
  <c r="K774" i="2"/>
  <c r="K773" i="2"/>
  <c r="K772" i="2"/>
  <c r="K776" i="2" s="1"/>
  <c r="K771" i="2"/>
  <c r="K770" i="2"/>
  <c r="K769" i="2"/>
  <c r="K768" i="2"/>
  <c r="K767" i="2"/>
  <c r="K761" i="2"/>
  <c r="K760" i="2"/>
  <c r="K759" i="2"/>
  <c r="K758" i="2"/>
  <c r="K757" i="2"/>
  <c r="K762" i="2" s="1"/>
  <c r="K755" i="2"/>
  <c r="K754" i="2"/>
  <c r="K753" i="2"/>
  <c r="K752" i="2"/>
  <c r="K751" i="2"/>
  <c r="K750" i="2"/>
  <c r="K749" i="2"/>
  <c r="K748" i="2"/>
  <c r="K756" i="2" s="1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47" i="2" s="1"/>
  <c r="K731" i="2"/>
  <c r="K730" i="2"/>
  <c r="K729" i="2"/>
  <c r="K728" i="2"/>
  <c r="K732" i="2" s="1"/>
  <c r="K727" i="2"/>
  <c r="K725" i="2"/>
  <c r="K724" i="2"/>
  <c r="K723" i="2"/>
  <c r="K726" i="2" s="1"/>
  <c r="K721" i="2"/>
  <c r="K720" i="2"/>
  <c r="K722" i="2" s="1"/>
  <c r="K719" i="2"/>
  <c r="K717" i="2"/>
  <c r="K716" i="2"/>
  <c r="K715" i="2"/>
  <c r="K714" i="2"/>
  <c r="K718" i="2" s="1"/>
  <c r="K704" i="2"/>
  <c r="K703" i="2"/>
  <c r="K702" i="2"/>
  <c r="K701" i="2"/>
  <c r="K700" i="2"/>
  <c r="K699" i="2"/>
  <c r="K698" i="2"/>
  <c r="K697" i="2"/>
  <c r="K696" i="2"/>
  <c r="K695" i="2"/>
  <c r="K694" i="2"/>
  <c r="K692" i="2"/>
  <c r="K691" i="2"/>
  <c r="K690" i="2"/>
  <c r="K689" i="2"/>
  <c r="K688" i="2"/>
  <c r="K686" i="2"/>
  <c r="K685" i="2"/>
  <c r="K684" i="2"/>
  <c r="K682" i="2"/>
  <c r="K681" i="2"/>
  <c r="K680" i="2"/>
  <c r="K679" i="2"/>
  <c r="K678" i="2"/>
  <c r="K676" i="2"/>
  <c r="K675" i="2"/>
  <c r="K673" i="2"/>
  <c r="K672" i="2"/>
  <c r="K670" i="2"/>
  <c r="K669" i="2"/>
  <c r="K668" i="2"/>
  <c r="K666" i="2"/>
  <c r="K665" i="2"/>
  <c r="K663" i="2"/>
  <c r="K662" i="2"/>
  <c r="K661" i="2"/>
  <c r="K660" i="2"/>
  <c r="K658" i="2"/>
  <c r="K657" i="2"/>
  <c r="K656" i="2"/>
  <c r="K655" i="2"/>
  <c r="K653" i="2"/>
  <c r="K652" i="2"/>
  <c r="K651" i="2"/>
  <c r="K650" i="2"/>
  <c r="K648" i="2"/>
  <c r="K647" i="2"/>
  <c r="K646" i="2"/>
  <c r="K645" i="2"/>
  <c r="K644" i="2"/>
  <c r="K643" i="2"/>
  <c r="K649" i="2" s="1"/>
  <c r="K642" i="2"/>
  <c r="K641" i="2"/>
  <c r="K640" i="2"/>
  <c r="K639" i="2"/>
  <c r="K638" i="2"/>
  <c r="K636" i="2"/>
  <c r="K635" i="2"/>
  <c r="K634" i="2"/>
  <c r="K637" i="2" s="1"/>
  <c r="K633" i="2"/>
  <c r="K632" i="2"/>
  <c r="K631" i="2"/>
  <c r="K629" i="2"/>
  <c r="K628" i="2"/>
  <c r="K630" i="2" s="1"/>
  <c r="K626" i="2"/>
  <c r="K627" i="2" s="1"/>
  <c r="K625" i="2"/>
  <c r="K624" i="2"/>
  <c r="K623" i="2"/>
  <c r="K621" i="2"/>
  <c r="K620" i="2"/>
  <c r="K619" i="2"/>
  <c r="K618" i="2"/>
  <c r="K622" i="2" s="1"/>
  <c r="K617" i="2"/>
  <c r="K615" i="2"/>
  <c r="K614" i="2"/>
  <c r="K613" i="2"/>
  <c r="K616" i="2" s="1"/>
  <c r="K612" i="2"/>
  <c r="K610" i="2"/>
  <c r="K611" i="2" s="1"/>
  <c r="K609" i="2"/>
  <c r="K607" i="2"/>
  <c r="K606" i="2"/>
  <c r="K605" i="2"/>
  <c r="K608" i="2" s="1"/>
  <c r="K604" i="2"/>
  <c r="K602" i="2"/>
  <c r="K601" i="2"/>
  <c r="K600" i="2"/>
  <c r="K603" i="2" s="1"/>
  <c r="K599" i="2"/>
  <c r="K597" i="2"/>
  <c r="K596" i="2"/>
  <c r="K595" i="2"/>
  <c r="K594" i="2"/>
  <c r="K598" i="2" s="1"/>
  <c r="K592" i="2"/>
  <c r="K591" i="2"/>
  <c r="K590" i="2"/>
  <c r="K589" i="2"/>
  <c r="K593" i="2" s="1"/>
  <c r="K588" i="2"/>
  <c r="K586" i="2"/>
  <c r="K585" i="2"/>
  <c r="K584" i="2"/>
  <c r="K583" i="2"/>
  <c r="K582" i="2"/>
  <c r="K581" i="2"/>
  <c r="K580" i="2"/>
  <c r="K579" i="2"/>
  <c r="K578" i="2"/>
  <c r="K577" i="2"/>
  <c r="K587" i="2" s="1"/>
  <c r="K576" i="2"/>
  <c r="K574" i="2"/>
  <c r="K573" i="2"/>
  <c r="K572" i="2"/>
  <c r="K571" i="2"/>
  <c r="K570" i="2"/>
  <c r="K569" i="2"/>
  <c r="K568" i="2"/>
  <c r="K567" i="2"/>
  <c r="K566" i="2"/>
  <c r="K565" i="2"/>
  <c r="K575" i="2" s="1"/>
  <c r="K563" i="2"/>
  <c r="K562" i="2"/>
  <c r="K564" i="2" s="1"/>
  <c r="K561" i="2"/>
  <c r="K560" i="2"/>
  <c r="K558" i="2"/>
  <c r="K557" i="2"/>
  <c r="K556" i="2"/>
  <c r="K555" i="2"/>
  <c r="K559" i="2" s="1"/>
  <c r="K554" i="2"/>
  <c r="K553" i="2"/>
  <c r="K552" i="2"/>
  <c r="K551" i="2"/>
  <c r="K549" i="2"/>
  <c r="K550" i="2" s="1"/>
  <c r="K547" i="2"/>
  <c r="K546" i="2"/>
  <c r="K548" i="2" s="1"/>
  <c r="K544" i="2"/>
  <c r="K543" i="2"/>
  <c r="K542" i="2"/>
  <c r="K541" i="2"/>
  <c r="K540" i="2"/>
  <c r="K539" i="2"/>
  <c r="K538" i="2"/>
  <c r="K537" i="2"/>
  <c r="K536" i="2"/>
  <c r="K545" i="2" s="1"/>
  <c r="K534" i="2"/>
  <c r="K533" i="2"/>
  <c r="K532" i="2"/>
  <c r="K531" i="2"/>
  <c r="K530" i="2"/>
  <c r="K529" i="2"/>
  <c r="K528" i="2"/>
  <c r="K527" i="2"/>
  <c r="K526" i="2"/>
  <c r="K535" i="2" s="1"/>
  <c r="K524" i="2"/>
  <c r="K523" i="2"/>
  <c r="K522" i="2"/>
  <c r="K525" i="2" s="1"/>
  <c r="K521" i="2"/>
  <c r="K520" i="2"/>
  <c r="K519" i="2"/>
  <c r="K518" i="2"/>
  <c r="K516" i="2"/>
  <c r="K515" i="2"/>
  <c r="K514" i="2"/>
  <c r="K517" i="2" s="1"/>
  <c r="K513" i="2"/>
  <c r="K512" i="2"/>
  <c r="K507" i="2"/>
  <c r="K506" i="2"/>
  <c r="K505" i="2"/>
  <c r="K504" i="2"/>
  <c r="K503" i="2"/>
  <c r="K508" i="2" s="1"/>
  <c r="K502" i="2"/>
  <c r="K500" i="2"/>
  <c r="K501" i="2" s="1"/>
  <c r="K499" i="2"/>
  <c r="K497" i="2"/>
  <c r="K496" i="2"/>
  <c r="K495" i="2"/>
  <c r="K498" i="2" s="1"/>
  <c r="K494" i="2"/>
  <c r="K493" i="2"/>
  <c r="K491" i="2"/>
  <c r="K490" i="2"/>
  <c r="K489" i="2"/>
  <c r="K487" i="2"/>
  <c r="K486" i="2"/>
  <c r="K485" i="2"/>
  <c r="K484" i="2"/>
  <c r="K483" i="2"/>
  <c r="K488" i="2" s="1"/>
  <c r="K481" i="2"/>
  <c r="K480" i="2"/>
  <c r="K479" i="2"/>
  <c r="K478" i="2"/>
  <c r="K477" i="2"/>
  <c r="K476" i="2"/>
  <c r="K475" i="2"/>
  <c r="K482" i="2" s="1"/>
  <c r="K473" i="2"/>
  <c r="K472" i="2"/>
  <c r="K471" i="2"/>
  <c r="K470" i="2"/>
  <c r="K474" i="2" s="1"/>
  <c r="K468" i="2"/>
  <c r="K467" i="2"/>
  <c r="K469" i="2" s="1"/>
  <c r="K465" i="2"/>
  <c r="K464" i="2"/>
  <c r="K463" i="2"/>
  <c r="K462" i="2"/>
  <c r="K466" i="2" s="1"/>
  <c r="K461" i="2"/>
  <c r="K459" i="2"/>
  <c r="K458" i="2"/>
  <c r="K457" i="2"/>
  <c r="K460" i="2" s="1"/>
  <c r="K456" i="2"/>
  <c r="K455" i="2"/>
  <c r="K454" i="2"/>
  <c r="K453" i="2"/>
  <c r="K451" i="2"/>
  <c r="K450" i="2"/>
  <c r="K449" i="2"/>
  <c r="K448" i="2"/>
  <c r="K447" i="2"/>
  <c r="K446" i="2"/>
  <c r="K445" i="2"/>
  <c r="K444" i="2"/>
  <c r="K452" i="2" s="1"/>
  <c r="K442" i="2"/>
  <c r="K441" i="2"/>
  <c r="K440" i="2"/>
  <c r="K439" i="2"/>
  <c r="K438" i="2"/>
  <c r="K437" i="2"/>
  <c r="K436" i="2"/>
  <c r="K435" i="2"/>
  <c r="K434" i="2"/>
  <c r="K443" i="2" s="1"/>
  <c r="K432" i="2"/>
  <c r="K431" i="2"/>
  <c r="K430" i="2"/>
  <c r="K433" i="2" s="1"/>
  <c r="K429" i="2"/>
  <c r="K428" i="2"/>
  <c r="K427" i="2"/>
  <c r="K426" i="2"/>
  <c r="K424" i="2"/>
  <c r="K423" i="2"/>
  <c r="K422" i="2"/>
  <c r="K425" i="2" s="1"/>
  <c r="K421" i="2"/>
  <c r="K420" i="2"/>
  <c r="K419" i="2"/>
  <c r="K417" i="2"/>
  <c r="K416" i="2"/>
  <c r="K415" i="2"/>
  <c r="K414" i="2"/>
  <c r="K413" i="2"/>
  <c r="K412" i="2"/>
  <c r="K418" i="2" s="1"/>
  <c r="K411" i="2"/>
  <c r="K409" i="2"/>
  <c r="K408" i="2"/>
  <c r="K407" i="2"/>
  <c r="K406" i="2"/>
  <c r="K410" i="2" s="1"/>
  <c r="K405" i="2"/>
  <c r="K404" i="2"/>
  <c r="K402" i="2"/>
  <c r="K401" i="2"/>
  <c r="K403" i="2" s="1"/>
  <c r="K400" i="2"/>
  <c r="K399" i="2"/>
  <c r="K398" i="2"/>
  <c r="K397" i="2"/>
  <c r="K396" i="2"/>
  <c r="K394" i="2"/>
  <c r="K393" i="2"/>
  <c r="K395" i="2" s="1"/>
  <c r="K392" i="2"/>
  <c r="K391" i="2"/>
  <c r="K390" i="2"/>
  <c r="K388" i="2"/>
  <c r="K387" i="2"/>
  <c r="K386" i="2"/>
  <c r="K385" i="2"/>
  <c r="K389" i="2" s="1"/>
  <c r="K384" i="2"/>
  <c r="K383" i="2"/>
  <c r="K382" i="2"/>
  <c r="K381" i="2"/>
  <c r="K380" i="2"/>
  <c r="K379" i="2"/>
  <c r="K378" i="2"/>
  <c r="K377" i="2"/>
  <c r="K376" i="2"/>
  <c r="K374" i="2"/>
  <c r="K375" i="2" s="1"/>
  <c r="K373" i="2"/>
  <c r="K372" i="2"/>
  <c r="K370" i="2"/>
  <c r="K369" i="2"/>
  <c r="K371" i="2" s="1"/>
  <c r="K368" i="2"/>
  <c r="K366" i="2"/>
  <c r="K367" i="2" s="1"/>
  <c r="K365" i="2"/>
  <c r="K364" i="2"/>
  <c r="K362" i="2"/>
  <c r="K361" i="2"/>
  <c r="K360" i="2"/>
  <c r="K359" i="2"/>
  <c r="K363" i="2" s="1"/>
  <c r="K358" i="2"/>
  <c r="K357" i="2"/>
  <c r="K354" i="2"/>
  <c r="K353" i="2"/>
  <c r="K352" i="2"/>
  <c r="K351" i="2"/>
  <c r="K350" i="2"/>
  <c r="K349" i="2"/>
  <c r="K348" i="2"/>
  <c r="K347" i="2"/>
  <c r="K355" i="2" s="1"/>
  <c r="K345" i="2"/>
  <c r="K344" i="2"/>
  <c r="K346" i="2" s="1"/>
  <c r="K342" i="2"/>
  <c r="K341" i="2"/>
  <c r="K343" i="2" s="1"/>
  <c r="K339" i="2"/>
  <c r="K338" i="2"/>
  <c r="K337" i="2"/>
  <c r="K336" i="2"/>
  <c r="K340" i="2" s="1"/>
  <c r="K335" i="2"/>
  <c r="K332" i="2"/>
  <c r="K333" i="2" s="1"/>
  <c r="K331" i="2"/>
  <c r="K329" i="2"/>
  <c r="K328" i="2"/>
  <c r="K327" i="2"/>
  <c r="K330" i="2" s="1"/>
  <c r="K324" i="2"/>
  <c r="K323" i="2"/>
  <c r="K322" i="2"/>
  <c r="K321" i="2"/>
  <c r="K325" i="2" s="1"/>
  <c r="K319" i="2"/>
  <c r="K318" i="2"/>
  <c r="K317" i="2"/>
  <c r="K316" i="2"/>
  <c r="K315" i="2"/>
  <c r="K320" i="2" s="1"/>
  <c r="K312" i="2"/>
  <c r="K311" i="2"/>
  <c r="K313" i="2" s="1"/>
  <c r="K309" i="2"/>
  <c r="K308" i="2"/>
  <c r="K310" i="2" s="1"/>
  <c r="K306" i="2"/>
  <c r="K305" i="2"/>
  <c r="K304" i="2"/>
  <c r="K303" i="2"/>
  <c r="K307" i="2" s="1"/>
  <c r="K301" i="2"/>
  <c r="K300" i="2"/>
  <c r="K299" i="2"/>
  <c r="K297" i="2"/>
  <c r="K298" i="2" s="1"/>
  <c r="K296" i="2"/>
  <c r="K295" i="2"/>
  <c r="K294" i="2"/>
  <c r="K290" i="2"/>
  <c r="K291" i="2" s="1"/>
  <c r="K289" i="2"/>
  <c r="K287" i="2"/>
  <c r="K288" i="2" s="1"/>
  <c r="K286" i="2"/>
  <c r="K284" i="2"/>
  <c r="K283" i="2"/>
  <c r="K285" i="2" s="1"/>
  <c r="K280" i="2"/>
  <c r="K279" i="2"/>
  <c r="K277" i="2"/>
  <c r="K278" i="2" s="1"/>
  <c r="K276" i="2"/>
  <c r="K275" i="2"/>
  <c r="K274" i="2"/>
  <c r="K273" i="2"/>
  <c r="K272" i="2"/>
  <c r="K271" i="2"/>
  <c r="K270" i="2"/>
  <c r="K269" i="2"/>
  <c r="K268" i="2"/>
  <c r="K267" i="2"/>
  <c r="K266" i="2"/>
  <c r="K263" i="2"/>
  <c r="K262" i="2"/>
  <c r="K261" i="2"/>
  <c r="K264" i="2" s="1"/>
  <c r="K259" i="2"/>
  <c r="K258" i="2"/>
  <c r="K257" i="2"/>
  <c r="K251" i="2"/>
  <c r="K250" i="2"/>
  <c r="K252" i="2" s="1"/>
  <c r="K249" i="2"/>
  <c r="K245" i="2"/>
  <c r="K246" i="2" s="1"/>
  <c r="K244" i="2"/>
  <c r="K243" i="2"/>
  <c r="K240" i="2"/>
  <c r="K239" i="2"/>
  <c r="K238" i="2"/>
  <c r="K236" i="2"/>
  <c r="K235" i="2"/>
  <c r="K237" i="2" s="1"/>
  <c r="K233" i="2"/>
  <c r="K232" i="2"/>
  <c r="K234" i="2" s="1"/>
  <c r="K230" i="2"/>
  <c r="K229" i="2"/>
  <c r="K228" i="2"/>
  <c r="K227" i="2"/>
  <c r="K231" i="2" s="1"/>
  <c r="K225" i="2"/>
  <c r="K224" i="2"/>
  <c r="K223" i="2"/>
  <c r="K222" i="2"/>
  <c r="K226" i="2" s="1"/>
  <c r="K219" i="2"/>
  <c r="K218" i="2"/>
  <c r="K220" i="2" s="1"/>
  <c r="K217" i="2"/>
  <c r="K216" i="2"/>
  <c r="K215" i="2"/>
  <c r="K212" i="2"/>
  <c r="K213" i="2" s="1"/>
  <c r="K209" i="2"/>
  <c r="K208" i="2"/>
  <c r="K207" i="2"/>
  <c r="K210" i="2" s="1"/>
  <c r="K205" i="2"/>
  <c r="K204" i="2"/>
  <c r="K203" i="2"/>
  <c r="K206" i="2" s="1"/>
  <c r="K201" i="2"/>
  <c r="K200" i="2"/>
  <c r="K202" i="2" s="1"/>
  <c r="K199" i="2"/>
  <c r="K198" i="2"/>
  <c r="K197" i="2"/>
  <c r="K193" i="2"/>
  <c r="K192" i="2"/>
  <c r="K194" i="2" s="1"/>
  <c r="K190" i="2"/>
  <c r="K191" i="2" s="1"/>
  <c r="K189" i="2"/>
  <c r="K185" i="2"/>
  <c r="K184" i="2"/>
  <c r="K183" i="2"/>
  <c r="K186" i="2" s="1"/>
  <c r="K180" i="2"/>
  <c r="K179" i="2"/>
  <c r="K181" i="2" s="1"/>
  <c r="K178" i="2"/>
  <c r="K177" i="2"/>
  <c r="K176" i="2"/>
  <c r="K174" i="2"/>
  <c r="K173" i="2"/>
  <c r="K175" i="2" s="1"/>
  <c r="K171" i="2"/>
  <c r="K170" i="2"/>
  <c r="K169" i="2"/>
  <c r="K168" i="2"/>
  <c r="K167" i="2"/>
  <c r="K172" i="2" s="1"/>
  <c r="K165" i="2"/>
  <c r="K164" i="2"/>
  <c r="K163" i="2"/>
  <c r="K166" i="2" s="1"/>
  <c r="K162" i="2"/>
  <c r="K160" i="2"/>
  <c r="K159" i="2"/>
  <c r="K158" i="2"/>
  <c r="K157" i="2"/>
  <c r="K161" i="2" s="1"/>
  <c r="K155" i="2"/>
  <c r="K154" i="2"/>
  <c r="K153" i="2"/>
  <c r="K156" i="2" s="1"/>
  <c r="K151" i="2"/>
  <c r="K150" i="2"/>
  <c r="K149" i="2"/>
  <c r="K148" i="2"/>
  <c r="K152" i="2" s="1"/>
  <c r="K147" i="2"/>
  <c r="K146" i="2"/>
  <c r="K145" i="2"/>
  <c r="K144" i="2"/>
  <c r="K143" i="2"/>
  <c r="K142" i="2"/>
  <c r="K140" i="2"/>
  <c r="K139" i="2"/>
  <c r="K141" i="2" s="1"/>
  <c r="K138" i="2"/>
  <c r="K136" i="2"/>
  <c r="K135" i="2"/>
  <c r="K134" i="2"/>
  <c r="K133" i="2"/>
  <c r="K137" i="2" s="1"/>
  <c r="K132" i="2"/>
  <c r="K129" i="2"/>
  <c r="K128" i="2"/>
  <c r="K127" i="2"/>
  <c r="K126" i="2"/>
  <c r="K124" i="2"/>
  <c r="K123" i="2"/>
  <c r="K122" i="2"/>
  <c r="K121" i="2"/>
  <c r="K120" i="2"/>
  <c r="K119" i="2"/>
  <c r="K118" i="2"/>
  <c r="K117" i="2"/>
  <c r="K116" i="2"/>
  <c r="K115" i="2"/>
  <c r="K125" i="2" s="1"/>
  <c r="K113" i="2"/>
  <c r="K114" i="2" s="1"/>
  <c r="K112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111" i="2" s="1"/>
  <c r="K97" i="2"/>
  <c r="K96" i="2"/>
  <c r="K95" i="2"/>
  <c r="K94" i="2"/>
  <c r="K93" i="2"/>
  <c r="K98" i="2" s="1"/>
  <c r="K92" i="2"/>
  <c r="K91" i="2"/>
  <c r="K90" i="2"/>
  <c r="K88" i="2"/>
  <c r="K87" i="2"/>
  <c r="K86" i="2"/>
  <c r="K84" i="2"/>
  <c r="K83" i="2"/>
  <c r="K82" i="2"/>
  <c r="K81" i="2"/>
  <c r="K80" i="2"/>
  <c r="K85" i="2" s="1"/>
  <c r="K79" i="2"/>
  <c r="K77" i="2"/>
  <c r="K76" i="2"/>
  <c r="K75" i="2"/>
  <c r="K74" i="2"/>
  <c r="K73" i="2"/>
  <c r="K78" i="2" s="1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4" i="2"/>
  <c r="K43" i="2"/>
  <c r="K42" i="2"/>
  <c r="K41" i="2"/>
  <c r="K40" i="2"/>
  <c r="K45" i="2" s="1"/>
  <c r="K38" i="2"/>
  <c r="K37" i="2"/>
  <c r="K36" i="2"/>
  <c r="K35" i="2"/>
  <c r="K39" i="2" s="1"/>
  <c r="K33" i="2"/>
  <c r="K32" i="2"/>
  <c r="K31" i="2"/>
  <c r="K34" i="2" s="1"/>
  <c r="K29" i="2"/>
  <c r="K28" i="2"/>
  <c r="K27" i="2"/>
  <c r="K26" i="2"/>
  <c r="K30" i="2" s="1"/>
  <c r="K24" i="2"/>
  <c r="K23" i="2"/>
  <c r="K22" i="2"/>
  <c r="K21" i="2"/>
  <c r="K25" i="2" s="1"/>
  <c r="K19" i="2"/>
  <c r="K18" i="2"/>
  <c r="K17" i="2"/>
  <c r="K16" i="2"/>
  <c r="K15" i="2"/>
  <c r="K14" i="2"/>
  <c r="K13" i="2"/>
  <c r="K12" i="2"/>
  <c r="K20" i="2" s="1"/>
  <c r="K10" i="2"/>
  <c r="K9" i="2"/>
  <c r="K8" i="2"/>
  <c r="K11" i="2" s="1"/>
  <c r="K7" i="2"/>
  <c r="K6" i="2"/>
  <c r="J73" i="1"/>
  <c r="D73" i="1"/>
  <c r="C73" i="1"/>
  <c r="B73" i="1"/>
  <c r="A73" i="1"/>
  <c r="D72" i="1"/>
  <c r="B72" i="1"/>
  <c r="J71" i="1"/>
  <c r="H71" i="1"/>
  <c r="F71" i="1"/>
  <c r="E71" i="1"/>
  <c r="D71" i="1"/>
  <c r="B71" i="1"/>
  <c r="A71" i="1"/>
  <c r="J70" i="1"/>
  <c r="H70" i="1"/>
  <c r="F70" i="1"/>
  <c r="E70" i="1"/>
  <c r="D70" i="1"/>
  <c r="B70" i="1"/>
  <c r="F69" i="1"/>
  <c r="D69" i="1"/>
  <c r="C69" i="1"/>
  <c r="B69" i="1"/>
  <c r="J68" i="1"/>
  <c r="H68" i="1"/>
  <c r="F68" i="1"/>
  <c r="E68" i="1"/>
  <c r="D68" i="1"/>
  <c r="B68" i="1"/>
  <c r="J67" i="1"/>
  <c r="H67" i="1"/>
  <c r="F67" i="1"/>
  <c r="E67" i="1"/>
  <c r="D67" i="1"/>
  <c r="B67" i="1"/>
  <c r="J66" i="1"/>
  <c r="H66" i="1"/>
  <c r="F66" i="1"/>
  <c r="E66" i="1"/>
  <c r="D66" i="1"/>
  <c r="B66" i="1"/>
  <c r="J65" i="1"/>
  <c r="H65" i="1"/>
  <c r="F65" i="1"/>
  <c r="E65" i="1"/>
  <c r="D65" i="1"/>
  <c r="B65" i="1"/>
  <c r="D64" i="1"/>
  <c r="C64" i="1"/>
  <c r="B64" i="1"/>
  <c r="A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F62" i="1"/>
  <c r="E62" i="1"/>
  <c r="D62" i="1"/>
  <c r="C62" i="1"/>
  <c r="B62" i="1"/>
  <c r="K61" i="1"/>
  <c r="J61" i="1"/>
  <c r="I61" i="1"/>
  <c r="H61" i="1"/>
  <c r="F61" i="1"/>
  <c r="E61" i="1"/>
  <c r="D61" i="1"/>
  <c r="C61" i="1"/>
  <c r="B61" i="1"/>
  <c r="K60" i="1"/>
  <c r="J60" i="1"/>
  <c r="I60" i="1"/>
  <c r="F60" i="1"/>
  <c r="E60" i="1"/>
  <c r="D60" i="1"/>
  <c r="C60" i="1"/>
  <c r="B60" i="1"/>
  <c r="J59" i="1"/>
  <c r="F59" i="1"/>
  <c r="D59" i="1"/>
  <c r="B59" i="1"/>
  <c r="J58" i="1"/>
  <c r="H58" i="1"/>
  <c r="F58" i="1"/>
  <c r="E58" i="1"/>
  <c r="D58" i="1"/>
  <c r="B58" i="1"/>
  <c r="J57" i="1"/>
  <c r="H57" i="1"/>
  <c r="F57" i="1"/>
  <c r="E57" i="1"/>
  <c r="D57" i="1"/>
  <c r="B57" i="1"/>
  <c r="J56" i="1"/>
  <c r="H56" i="1"/>
  <c r="F56" i="1"/>
  <c r="E56" i="1"/>
  <c r="D56" i="1"/>
  <c r="B56" i="1"/>
  <c r="J55" i="1"/>
  <c r="H55" i="1"/>
  <c r="F55" i="1"/>
  <c r="E55" i="1"/>
  <c r="D55" i="1"/>
  <c r="B55" i="1"/>
  <c r="J54" i="1"/>
  <c r="H54" i="1"/>
  <c r="G54" i="1"/>
  <c r="F54" i="1"/>
  <c r="E54" i="1"/>
  <c r="D54" i="1"/>
  <c r="B54" i="1"/>
  <c r="J53" i="1"/>
  <c r="H53" i="1"/>
  <c r="F53" i="1"/>
  <c r="E53" i="1"/>
  <c r="D53" i="1"/>
  <c r="B53" i="1"/>
  <c r="J52" i="1"/>
  <c r="H52" i="1"/>
  <c r="F52" i="1"/>
  <c r="E52" i="1"/>
  <c r="D52" i="1"/>
  <c r="B52" i="1"/>
  <c r="J51" i="1"/>
  <c r="H51" i="1"/>
  <c r="F51" i="1"/>
  <c r="E51" i="1"/>
  <c r="D51" i="1"/>
  <c r="B51" i="1"/>
  <c r="J50" i="1"/>
  <c r="H50" i="1"/>
  <c r="F50" i="1"/>
  <c r="E50" i="1"/>
  <c r="D50" i="1"/>
  <c r="B50" i="1"/>
  <c r="J49" i="1"/>
  <c r="H49" i="1"/>
  <c r="F49" i="1"/>
  <c r="E49" i="1"/>
  <c r="D49" i="1"/>
  <c r="B49" i="1"/>
  <c r="J48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H32" i="1"/>
  <c r="H73" i="1" s="1"/>
  <c r="F32" i="1"/>
  <c r="F73" i="1" s="1"/>
  <c r="E32" i="1"/>
  <c r="E73" i="1" s="1"/>
  <c r="G30" i="1"/>
  <c r="G71" i="1" s="1"/>
  <c r="F30" i="1"/>
  <c r="I29" i="1"/>
  <c r="I70" i="1" s="1"/>
  <c r="G29" i="1"/>
  <c r="G70" i="1" s="1"/>
  <c r="J28" i="1"/>
  <c r="J81" i="1" s="1"/>
  <c r="H28" i="1"/>
  <c r="H69" i="1" s="1"/>
  <c r="G28" i="1"/>
  <c r="I28" i="1" s="1"/>
  <c r="F28" i="1"/>
  <c r="E28" i="1"/>
  <c r="E69" i="1" s="1"/>
  <c r="I27" i="1"/>
  <c r="K27" i="1" s="1"/>
  <c r="G27" i="1"/>
  <c r="G68" i="1" s="1"/>
  <c r="I26" i="1"/>
  <c r="I67" i="1" s="1"/>
  <c r="G26" i="1"/>
  <c r="G67" i="1" s="1"/>
  <c r="I25" i="1"/>
  <c r="I66" i="1" s="1"/>
  <c r="G25" i="1"/>
  <c r="G66" i="1" s="1"/>
  <c r="G24" i="1"/>
  <c r="I24" i="1" s="1"/>
  <c r="J23" i="1"/>
  <c r="J64" i="1" s="1"/>
  <c r="H23" i="1"/>
  <c r="H64" i="1" s="1"/>
  <c r="F23" i="1"/>
  <c r="G23" i="1" s="1"/>
  <c r="E23" i="1"/>
  <c r="E64" i="1" s="1"/>
  <c r="G22" i="1"/>
  <c r="G21" i="1"/>
  <c r="G62" i="1" s="1"/>
  <c r="G20" i="1"/>
  <c r="G61" i="1" s="1"/>
  <c r="H19" i="1"/>
  <c r="H60" i="1" s="1"/>
  <c r="G19" i="1"/>
  <c r="G60" i="1" s="1"/>
  <c r="E18" i="1"/>
  <c r="E59" i="1" s="1"/>
  <c r="G17" i="1"/>
  <c r="G58" i="1" s="1"/>
  <c r="G16" i="1"/>
  <c r="I16" i="1" s="1"/>
  <c r="G15" i="1"/>
  <c r="G56" i="1" s="1"/>
  <c r="I14" i="1"/>
  <c r="I55" i="1" s="1"/>
  <c r="G14" i="1"/>
  <c r="G55" i="1" s="1"/>
  <c r="I13" i="1"/>
  <c r="I54" i="1" s="1"/>
  <c r="G13" i="1"/>
  <c r="I12" i="1"/>
  <c r="I53" i="1" s="1"/>
  <c r="G12" i="1"/>
  <c r="G53" i="1" s="1"/>
  <c r="G11" i="1"/>
  <c r="I11" i="1" s="1"/>
  <c r="G10" i="1"/>
  <c r="G51" i="1" s="1"/>
  <c r="G9" i="1"/>
  <c r="G50" i="1" s="1"/>
  <c r="G8" i="1"/>
  <c r="I8" i="1" s="1"/>
  <c r="J7" i="1"/>
  <c r="J79" i="1" s="1"/>
  <c r="F7" i="1"/>
  <c r="F31" i="1" s="1"/>
  <c r="F72" i="1" s="1"/>
  <c r="G64" i="1" l="1"/>
  <c r="I23" i="1"/>
  <c r="L27" i="1"/>
  <c r="M27" i="1" s="1"/>
  <c r="K68" i="1"/>
  <c r="I57" i="1"/>
  <c r="K16" i="1"/>
  <c r="K24" i="1"/>
  <c r="I65" i="1"/>
  <c r="I49" i="1"/>
  <c r="K8" i="1"/>
  <c r="K11" i="1"/>
  <c r="I52" i="1"/>
  <c r="K28" i="1"/>
  <c r="I69" i="1"/>
  <c r="I81" i="1"/>
  <c r="I10" i="1"/>
  <c r="K13" i="1"/>
  <c r="G18" i="1"/>
  <c r="K26" i="1"/>
  <c r="I30" i="1"/>
  <c r="G52" i="1"/>
  <c r="I68" i="1"/>
  <c r="G69" i="1"/>
  <c r="J80" i="1"/>
  <c r="I15" i="1"/>
  <c r="H18" i="1"/>
  <c r="J31" i="1"/>
  <c r="J72" i="1" s="1"/>
  <c r="F64" i="1"/>
  <c r="I9" i="1"/>
  <c r="K12" i="1"/>
  <c r="I17" i="1"/>
  <c r="K25" i="1"/>
  <c r="K29" i="1"/>
  <c r="F48" i="1"/>
  <c r="G65" i="1"/>
  <c r="J69" i="1"/>
  <c r="E7" i="1"/>
  <c r="K14" i="1"/>
  <c r="G32" i="1"/>
  <c r="G49" i="1"/>
  <c r="G57" i="1"/>
  <c r="L25" i="1" l="1"/>
  <c r="M25" i="1" s="1"/>
  <c r="K66" i="1"/>
  <c r="I51" i="1"/>
  <c r="K10" i="1"/>
  <c r="G73" i="1"/>
  <c r="I32" i="1"/>
  <c r="K65" i="1"/>
  <c r="L24" i="1"/>
  <c r="M24" i="1" s="1"/>
  <c r="K53" i="1"/>
  <c r="L12" i="1"/>
  <c r="M12" i="1" s="1"/>
  <c r="K57" i="1"/>
  <c r="L16" i="1"/>
  <c r="M16" i="1" s="1"/>
  <c r="K81" i="1"/>
  <c r="K69" i="1"/>
  <c r="L28" i="1"/>
  <c r="M28" i="1" s="1"/>
  <c r="L14" i="1"/>
  <c r="M14" i="1" s="1"/>
  <c r="K55" i="1"/>
  <c r="G7" i="1"/>
  <c r="E48" i="1"/>
  <c r="E31" i="1"/>
  <c r="K9" i="1"/>
  <c r="I50" i="1"/>
  <c r="I71" i="1"/>
  <c r="K30" i="1"/>
  <c r="K67" i="1"/>
  <c r="L26" i="1"/>
  <c r="M26" i="1" s="1"/>
  <c r="I18" i="1"/>
  <c r="G59" i="1"/>
  <c r="K17" i="1"/>
  <c r="I58" i="1"/>
  <c r="K52" i="1"/>
  <c r="L11" i="1"/>
  <c r="M11" i="1" s="1"/>
  <c r="H7" i="1"/>
  <c r="H59" i="1"/>
  <c r="K49" i="1"/>
  <c r="L8" i="1"/>
  <c r="M8" i="1" s="1"/>
  <c r="I80" i="1"/>
  <c r="I64" i="1"/>
  <c r="K23" i="1"/>
  <c r="K70" i="1"/>
  <c r="L29" i="1"/>
  <c r="M29" i="1" s="1"/>
  <c r="I56" i="1"/>
  <c r="K15" i="1"/>
  <c r="K54" i="1"/>
  <c r="L13" i="1"/>
  <c r="M13" i="1" s="1"/>
  <c r="K64" i="1" l="1"/>
  <c r="L23" i="1"/>
  <c r="M23" i="1" s="1"/>
  <c r="K80" i="1"/>
  <c r="L30" i="1"/>
  <c r="M30" i="1" s="1"/>
  <c r="K71" i="1"/>
  <c r="I73" i="1"/>
  <c r="K32" i="1"/>
  <c r="K58" i="1"/>
  <c r="L17" i="1"/>
  <c r="M17" i="1" s="1"/>
  <c r="L9" i="1"/>
  <c r="M9" i="1" s="1"/>
  <c r="K50" i="1"/>
  <c r="G31" i="1"/>
  <c r="E72" i="1"/>
  <c r="K51" i="1"/>
  <c r="L10" i="1"/>
  <c r="M10" i="1" s="1"/>
  <c r="L15" i="1"/>
  <c r="M15" i="1" s="1"/>
  <c r="K56" i="1"/>
  <c r="K18" i="1"/>
  <c r="I59" i="1"/>
  <c r="G48" i="1"/>
  <c r="I7" i="1"/>
  <c r="H48" i="1"/>
  <c r="H31" i="1"/>
  <c r="H72" i="1" s="1"/>
  <c r="L32" i="1" l="1"/>
  <c r="M32" i="1" s="1"/>
  <c r="K73" i="1"/>
  <c r="I48" i="1"/>
  <c r="K7" i="1"/>
  <c r="I79" i="1"/>
  <c r="G72" i="1"/>
  <c r="I31" i="1"/>
  <c r="L18" i="1"/>
  <c r="M18" i="1" s="1"/>
  <c r="K59" i="1"/>
  <c r="K79" i="1" l="1"/>
  <c r="L7" i="1"/>
  <c r="M7" i="1" s="1"/>
  <c r="K48" i="1"/>
  <c r="I72" i="1"/>
  <c r="K31" i="1"/>
  <c r="K72" i="1" s="1"/>
</calcChain>
</file>

<file path=xl/sharedStrings.xml><?xml version="1.0" encoding="utf-8"?>
<sst xmlns="http://schemas.openxmlformats.org/spreadsheetml/2006/main" count="5700" uniqueCount="2596">
  <si>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</si>
  <si>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</si>
  <si>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</si>
  <si>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</si>
  <si>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</si>
  <si>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</si>
  <si>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</si>
  <si>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</si>
  <si>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</si>
  <si>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</si>
  <si>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</si>
  <si>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</si>
  <si>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</si>
  <si>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</si>
  <si>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</si>
  <si>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</si>
  <si>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</si>
  <si>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</si>
  <si>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</si>
  <si>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</si>
  <si>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</si>
  <si>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</si>
  <si>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</si>
  <si>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</si>
  <si>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</si>
  <si>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</si>
  <si>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</si>
  <si>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</si>
  <si>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</si>
  <si>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ยืนยันตามวิจัย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</si>
  <si>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</si>
  <si>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</si>
  <si>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</si>
  <si>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</si>
  <si>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</si>
  <si>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</si>
  <si>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</si>
  <si>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</si>
  <si>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</si>
  <si>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</si>
  <si>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กลุ่มวิทย์สุขภาพ</t>
  </si>
  <si>
    <t>5) วิทยาลัยนวัตกรรมและการจัดการ</t>
  </si>
  <si>
    <t>6) วิทยาลัยโลจิสติกส์และซัพพลายเชน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</si>
  <si>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</si>
  <si>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</si>
  <si>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</si>
  <si>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</si>
  <si>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</si>
  <si>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วิทยาลัยการเมืองการปกครอง</t>
  </si>
  <si>
    <t>11.2) วิทยาลัยการจัดการอุตสาหกรรมบริการ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</si>
  <si>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</si>
  <si>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</si>
  <si>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</si>
  <si>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</si>
  <si>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</si>
  <si>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</si>
  <si>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</si>
  <si>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</si>
  <si>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</si>
  <si>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</si>
  <si>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</si>
  <si>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</si>
  <si>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</si>
  <si>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</si>
  <si>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-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</si>
  <si>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</si>
  <si>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</si>
  <si>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</si>
  <si>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</si>
  <si>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</si>
  <si>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</si>
  <si>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</si>
  <si>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</si>
  <si>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</si>
  <si>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</si>
  <si>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</si>
  <si>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</si>
  <si>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</si>
  <si>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</si>
  <si>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</si>
  <si>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</si>
  <si>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</si>
  <si>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</si>
  <si>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</si>
  <si>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</si>
  <si>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</si>
  <si>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</si>
  <si>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</si>
  <si>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</si>
  <si>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</si>
  <si>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</si>
  <si>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</si>
  <si>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น.ส.อนุธิดา แสงใส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</si>
  <si>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</si>
  <si>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</si>
  <si>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</si>
  <si>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</si>
  <si>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</si>
  <si>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</si>
  <si>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</si>
  <si>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</si>
  <si>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</si>
  <si>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</si>
  <si>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</si>
  <si>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</si>
  <si>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</si>
  <si>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พัฒนาออกแบบบรรจุภัณฑ์ผลิตภัณฑ์แปรรูปทางการเกษตรตามลักษณะบ่งชี้ทางภูมิศาสตร์ จังหวัดสมุทรสงคราม</t>
  </si>
  <si>
    <t>งบประมาณภายใน (รายได้)</t>
  </si>
  <si>
    <t xml:space="preserve">
</t>
  </si>
  <si>
    <t xml:space="preserve">อาจารย์ศุภวรรณ พันธ์เกาะเลิ่ง  96%
</t>
  </si>
  <si>
    <t xml:space="preserve"> คณะเทคโนโลยีอุตสาหกรรม
</t>
  </si>
  <si>
    <t>มหาวิทยาลัยราชภัฏสวนสุนันทา</t>
  </si>
  <si>
    <t>10824/2565</t>
  </si>
  <si>
    <t>อาจารย์ดวงรัตน์ ด่านไทยนำ  1%</t>
  </si>
  <si>
    <t>รองศาสตราจารย์ ดร.นารีนาถ รักสุนทร  1%</t>
  </si>
  <si>
    <t>ผู้ช่วยศาสตราจารย์ ดร. สหภพ กลีบลำเจียก  1%</t>
  </si>
  <si>
    <t>อาจารย์ภาณุพงศ์ จันทน์ผลิน  1%</t>
  </si>
  <si>
    <t xml:space="preserve"> คณะเทคโนโลยีอุตสาหกรรม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</si>
  <si>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</si>
  <si>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 xml:space="preserve">อาจารย์ ดร.ไสว ศิริทองถาวร  20%
</t>
  </si>
  <si>
    <t>10516/2565</t>
  </si>
  <si>
    <t>รองศาสตราจารย์ ดร. สมเกียรติ กอบัวแก้ว  15%</t>
  </si>
  <si>
    <t>รองศาตราจารย์ ดร.ฤดี นิยมรัตน์  10%</t>
  </si>
  <si>
    <t>ผู้ช่วยศาสตราจารย์อรัญ ขวัญปาน  15%</t>
  </si>
  <si>
    <t>ผู้ช่วยศาสตราจารย์ ดร.ศุภโยธิน ณ สงขลา  10%</t>
  </si>
  <si>
    <t>อาจารย์พิชา ศรีพระจันทร์ 10%</t>
  </si>
  <si>
    <t xml:space="preserve"> วิทยาลัยสถาปัตยกรรมศาสตร์
</t>
  </si>
  <si>
    <t>อาจารย์ ดร.รวิ อุตตมธนินทร์ 10%</t>
  </si>
  <si>
    <t>ผู้ช่วยศาสตราจารย์ขวัญเรือน รัศมี  10%</t>
  </si>
  <si>
    <t>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</si>
  <si>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 xml:space="preserve">รองศาสตราจารย์ ดร. สมเกียรติ กอบัวแก้ว  40%
</t>
  </si>
  <si>
    <t>10522/2565</t>
  </si>
  <si>
    <t xml:space="preserve">รองศาตราจารย์ ดร.ฤดี นิยมรัตน์  30%
</t>
  </si>
  <si>
    <t xml:space="preserve">อาจารย์ ดร.ไสว ศิริทองถาวร  20%
</t>
  </si>
  <si>
    <t>อาจารย์พิชา ศรีพระจันทร์  10%</t>
  </si>
  <si>
    <t xml:space="preserve"> วิทยาลัยสถาปัตยกรรมศาสตร์</t>
  </si>
  <si>
    <t>การศึกษาแนวทางการบริหารจัดการขยะเพื่อแปลงให้เป็นพลังงานเชื้อเพลิงและพลังงานไฟฟ้า</t>
  </si>
  <si>
    <t xml:space="preserve">
</t>
  </si>
  <si>
    <t xml:space="preserve">ผู้ช่วยศาตราจารย์ ดร.พรภวิษย์ บุญศรีเมือง  50%
</t>
  </si>
  <si>
    <t>10903/2565</t>
  </si>
  <si>
    <t xml:space="preserve">อาจารย์ณัฐิดา จันหอม  40%
</t>
  </si>
  <si>
    <t>ผู้ช่วยศาสตราจารย์ ดร.อธิสมัย โสพันธ์  5%</t>
  </si>
  <si>
    <t>อาจารย์ทศพร  นาคย้อย 5%</t>
  </si>
  <si>
    <t>การศึกษาการแปรสภาพขยะพลาสติกให้เป็นพลังงานเชื้อเพลิงด้วยกระบวนการไพโรไลซิส</t>
  </si>
  <si>
    <t xml:space="preserve">ผู้ช่วยศาตราจารย์ ดร.พรภวิษย์ บุญศรีเมือง 50%
</t>
  </si>
  <si>
    <t xml:space="preserve"> คณะเทคโนโลยีอุตสาหกรรม
 </t>
  </si>
  <si>
    <t>10921/2565</t>
  </si>
  <si>
    <t xml:space="preserve">คณะเทคโนโลยีอุตสาหกรรม
</t>
  </si>
  <si>
    <t>ผู้ช่วยศาสตราจารย์ ดร.อธิสมัย โสพันธ์  10%</t>
  </si>
  <si>
    <t>การออกแบบสภาพแวดล้อมภายในที่พักนักท่องเที่ยวที่สื่ออัตลักษณ์เชิงพื้นที่ เพื่อการท่องเที่ยวเชิงวัฒนธรรม กรณีศึกษา จังหวัดจันทบุรี</t>
  </si>
  <si>
    <t xml:space="preserve">ผู้ช่วยศาตราจารย์ปรีชญา ครูเกษตร  85%
</t>
  </si>
  <si>
    <t>10502/2565</t>
  </si>
  <si>
    <t>อาจารย์กิตติศักดิ์ เตชะกาญจนกิจ  5%</t>
  </si>
  <si>
    <t xml:space="preserve">อาจารย์ปิยะวรรค์ ปิ่นแก้ว  5%
</t>
  </si>
  <si>
    <t>อาจารย์ศุภโชค สนธิไชย 5%</t>
  </si>
  <si>
    <t>โครงการออกแบบสื่อประชาสัมพันธ์เพื่ออนุรักษ์รูปแบบสถาปัตยกรรมและวัฒนธรรมของชาวไทยทรงดำบ้านหัวเขาจีน จังหวัดราชบุรี</t>
  </si>
  <si>
    <t xml:space="preserve">ผู้ช่วยศาสตราจารย์กันยพัชร์ ธนกุลวุฒิโรจน์  35%
</t>
  </si>
  <si>
    <t>10491/2565</t>
  </si>
  <si>
    <t xml:space="preserve">ผู้ช่วยศาสตราจารย์วินัย หมั่นคติธรรม  10%
</t>
  </si>
  <si>
    <t xml:space="preserve">อาจารย์ดวงใจ ลิ้มศักดิ์ศรี  5%
</t>
  </si>
  <si>
    <t xml:space="preserve">อาจารย์วิสุทธิ์ ศิริพรนพคุณ  45%
</t>
  </si>
  <si>
    <t>อาจารย์นราทัศน์ ประมวลสุข  5%</t>
  </si>
  <si>
    <t>การยกระดับตราสัญลักษณ์และบรรจุภัณฑ์เพื่อส่งเสริมผลิตภัณฑ์กลุ่มธุรกิจสินค้าสปา บนฐานภูมิปัญญาท้องถิ่นและวัฒนธรรมชุมชน จังหวัดระนอง</t>
  </si>
  <si>
    <t>งบประมาณภายใน (แผ่นดิน)</t>
  </si>
  <si>
    <t xml:space="preserve">
</t>
  </si>
  <si>
    <t xml:space="preserve">อาจารย์ ดร.ไกรพ เจริญโสภา  60%
</t>
  </si>
  <si>
    <t>ทุนวิจัยด้านวิทยาศาสตร์ วิจัย และนวัตกรรม (ววน.)</t>
  </si>
  <si>
    <t>งป 11033/2565</t>
  </si>
  <si>
    <t>ผู้ช่วยศาสตราจารย์ ดร.วัฒน์ พลอยศรี  40%</t>
  </si>
  <si>
    <t>การยกระดับตราสัญลักษณ์และบรรจุภัณฑ์เพื่อสร้างมาตรฐานสินค้าสําหรับการท่องเที่ยว Green Travel สู่การเพิ่มขีดความสามารถในการแข่งขันได้อย่างยั่งยืน จังหวัดอุดรธานี</t>
  </si>
  <si>
    <t>อาจารย์ ดร.ไกรพ เจริญโสภา  60%</t>
  </si>
  <si>
    <t>งป 11044/2565</t>
  </si>
  <si>
    <t>การพัฒนาพื้นที่ “วิถีถิ่น วิถีไทย บางคนที Model” ด้วยการนำอัตลักษณ์ด้านวัฒนธรรม ประเพณี และการจัดการทรัพยากรไปสู่สินค้าของฝากของที่ระลึกผ่านการท่องเที่ยวโดยชุมชนในการยกระดับเศรษฐกิจฐานรากแบบมีส่วนร่วมในจังหวัดสมุทรสงคราม</t>
  </si>
  <si>
    <t xml:space="preserve">รองศาสตราจารย์ ดร.วิทยา เมฆขำ  45%
</t>
  </si>
  <si>
    <t>งป 11060/2565</t>
  </si>
  <si>
    <t xml:space="preserve">อาจารย์ ดร.วลีรักษ์ สิทธิสม  5%
</t>
  </si>
  <si>
    <t xml:space="preserve">วิทยาลัยนวัตกรรมและการจัดการ
</t>
  </si>
  <si>
    <t xml:space="preserve">อาจารย์ ดร.ธรรมรักษ์ ศรีมารุต  5%
</t>
  </si>
  <si>
    <t xml:space="preserve">รองศาสตราจารย์ ดร. นิศากร สังวาระนที  5%
</t>
  </si>
  <si>
    <t xml:space="preserve">คณะวิทยาศาสตร์และเทคโนโลยี
</t>
  </si>
  <si>
    <t xml:space="preserve">อาจารย์นภาศรี สุวรรณโชติ  5%
</t>
  </si>
  <si>
    <t xml:space="preserve">คณะมนุษยศาสตร์และสังคมศาสตร์
</t>
  </si>
  <si>
    <t xml:space="preserve">อาจารย์ ดร.ณิชานันทน์ เสริมศรี  5%
</t>
  </si>
  <si>
    <t xml:space="preserve">คณะศิลปกรรมศาสตร์
</t>
  </si>
  <si>
    <t xml:space="preserve">ผู้ช่วยศาตราจารย์นภดล แช่มช้อย 5%
</t>
  </si>
  <si>
    <t xml:space="preserve">อาจารย์ ดร.ศิริเพ็ญ เยี่ยมจรรยา  5%
</t>
  </si>
  <si>
    <t xml:space="preserve">วิทยาลัยการจัดการอุตสาหกรรมบริการ
</t>
  </si>
  <si>
    <t xml:space="preserve">ผู้ช่วยศาสตราจารย์ ดร.ชนมภัทร โตระสะ  5%
</t>
  </si>
  <si>
    <t xml:space="preserve">รองศาสตราจารย์ ดร.ณรงค์ สังวาระนที  5%
</t>
  </si>
  <si>
    <t>อาจารย์อลิสา เมฆขำ  5%</t>
  </si>
  <si>
    <t>คณะมนุษยศาสตร์และสังคมศาสตร์</t>
  </si>
  <si>
    <t>ผศ.วีระ โชติธรรมาภรณ์ 5%</t>
  </si>
  <si>
    <t>พัฒนาผลิตภัณฑ์ชุมชนของกลุ่มชาติพันธุ์มอแกน บ้านเกาะเหลา จังหวัดระนอง บนฐานชุมชนวิถีพอเพียง</t>
  </si>
  <si>
    <t xml:space="preserve">รองศาตราจารย์ ดร.ฤดี นิยมรัตน์  50%
</t>
  </si>
  <si>
    <t>งป 11068/2565</t>
  </si>
  <si>
    <t>อาจารย์ดวงรัตน์ ด่านไทยนำ  50%</t>
  </si>
  <si>
    <t>คณะเทคโนโลยีอุตสาหกรรม</t>
  </si>
  <si>
    <t>พัฒนาการผลิตผลิตภัณฑ์กะปิของชุมชนบ้านเกาะเหลา จังหวัดระนอง</t>
  </si>
  <si>
    <t xml:space="preserve">รองศาตราจารย์ ดร.ฤดี นิยมรัตน์  85%
</t>
  </si>
  <si>
    <t>งป 11069/2565</t>
  </si>
  <si>
    <t xml:space="preserve">รองศาสตราจารย์ ดร. สมเกียรติ กอบัวแก้ว  5%
</t>
  </si>
  <si>
    <t xml:space="preserve">อาจารย์ ดร.ไสว ศิริทองถาวร  5%
</t>
  </si>
  <si>
    <t>ผู้ช่วยศาสตราจารย์ ดร. ศุภโยธิน ณ สงขลา 5%</t>
  </si>
  <si>
    <t>การสรางมูลคาเพิ่มดวยอัตลักษณสินคาและการพัฒนากลยุทธการออกแบบสื่อ ประชาสัมพันธเพื่อสงเสริมการตลาดใหกับผลิตภัณฑชุมชนบานเกาะเหลา จังหวัดระนอง</t>
  </si>
  <si>
    <t xml:space="preserve">อาจารย์ดวงรัตน์ ด่านไทยนำ  80%
</t>
  </si>
  <si>
    <t>งป 11070/2565</t>
  </si>
  <si>
    <t xml:space="preserve">รองศาสตราจารย์ ดร. นารีนาถ รักสุนทร  5%
</t>
  </si>
  <si>
    <t xml:space="preserve">ผู้ช่วยศาสตราจารย์จิติมา เสือทอง  5%
</t>
  </si>
  <si>
    <t xml:space="preserve">อาจารย์ ดร.ฟาริดา วิรุฬหผล  5%
</t>
  </si>
  <si>
    <t xml:space="preserve"> คณะศิลปกรรมศาสตร์
</t>
  </si>
  <si>
    <t>ผู้ช่วยศาสตราจารย์ ดร.พิบูล ไวจิตรกรรม  5%</t>
  </si>
  <si>
    <t>การจัดการสวนปาล์มน้ำมันและผลิตภัณฑ์เกษตรแบบผสมผสานตามหลักปรัชญาเศรษฐกิจพอเพียงด้วยการผสมผสานเทคโนโลยีเพื่อเพิ่มความได้เปรียบทางการผลิตและการตลาด</t>
  </si>
  <si>
    <t xml:space="preserve">ผู้ช่วยศาสตราจารย์ ดร. ชนมภัทร โตระสะ  50%
</t>
  </si>
  <si>
    <t>งป 11130/2565</t>
  </si>
  <si>
    <t xml:space="preserve">อาจารย์ ดร.เศรษฐกาล โปร่งนุช  10%
</t>
  </si>
  <si>
    <t xml:space="preserve">อาจารย์ณัฐิดา จันหอม  10%
</t>
  </si>
  <si>
    <t xml:space="preserve">อาจารย์ปฏิญญาณ์ แสงอรุณ  10%
</t>
  </si>
  <si>
    <t xml:space="preserve">ผู้ช่ววยศาสตราจารย์ ดร.พิบูล ไวจิตรกรรม  10%
</t>
  </si>
  <si>
    <t>ผู้ช่วยศาสตราจารย์ ดร.กันยพัชร์ ธนกุลวุฒิโรจน์  10%</t>
  </si>
  <si>
    <t>การพัฒนาระบบจัดการนํ้าพลังงานแสงอาทิตย์ภายในสวนปาล์มนํ้ามัน</t>
  </si>
  <si>
    <t xml:space="preserve">ผู้ช่วยศาสตราจารย์ ดร. ชนมภัทร โตระสะ   90%
</t>
  </si>
  <si>
    <t>งป 11131/2565</t>
  </si>
  <si>
    <t>อาจารย์ ดร.ณิชานันทน์ เสริมศรี  10%</t>
  </si>
  <si>
    <t xml:space="preserve"> คณะศิลปกรรมศาสตร์</t>
  </si>
  <si>
    <t>การศึกษาแนวทางวิธีการเดินรถแทรกเตอร์ขนาดเล็กสําหรับตัดหญ้าเพื่อการลดต้นทุน</t>
  </si>
  <si>
    <t>อาจารย์เศรษฐกาล โปร่งนุช</t>
  </si>
  <si>
    <t>งป 11132/2565</t>
  </si>
  <si>
    <t>การวิเคราะห์อายุการเก็บผลิตภัณฑ์อาหารและผลผลิตการเกษตร เพื่อเพิ่มมูลค่าด้วยบรรจุภัณฑ์ศูนย์เรียนรู้การเพิ่มประสิทธิภาพการผลิตสินค้าเกษตรจังหวัด ระนอง</t>
  </si>
  <si>
    <t xml:space="preserve">อาจารย์ปฏิญญาณ์  แสงอรุณ 90%
</t>
  </si>
  <si>
    <t>อาจารย์อภิรักษ์ ธิตินฤมิต 10%</t>
  </si>
  <si>
    <t>นวัตกรรมเตาเผาถ่านไร้ควันและการผลิตถ่านชีวภาพจากเศษวัสดุปาล์มนํ้ามัน</t>
  </si>
  <si>
    <t xml:space="preserve">อาจารย์ณัฐิดา จันหอม  80%
</t>
  </si>
  <si>
    <t>งป 11134/2565</t>
  </si>
  <si>
    <t xml:space="preserve">อาจารย์ ดร.เปี่ยมจันทร์ ดวงมณี  5%
</t>
  </si>
  <si>
    <t xml:space="preserve">อาจารย์พิชา ศรีพระจันทร์  5%
</t>
  </si>
  <si>
    <t xml:space="preserve">วิทยาลัยสถาปัตยกรรมศาสตร์
</t>
  </si>
  <si>
    <t xml:space="preserve">ผู้ช่วยศาสตราจารย์ ดร.ศุภโยธิน ณ สงขลา  5%
</t>
  </si>
  <si>
    <t>ผู้ช่วยศาสตราจารย์ ดร.พรภวิษย์ บุญศรีเมือง  5%</t>
  </si>
  <si>
    <t>การคาดการณ์ผลผลิตปาล์มนํ้ามัน จ.ระนอง</t>
  </si>
  <si>
    <t xml:space="preserve">
</t>
  </si>
  <si>
    <t xml:space="preserve">ผู้ช่วยศาสตราจาร์ ดร. กันยพัชร์ ธนกุลวุฒิโรจน์  50%
</t>
  </si>
  <si>
    <t>งป 11136/2565</t>
  </si>
  <si>
    <t xml:space="preserve">อาจารย์วิสุทธิ์ ศิริพรนพคุณ 5%
</t>
  </si>
  <si>
    <t xml:space="preserve">อาจารย์นราทัศน์ ประมวลสุข  5%
</t>
  </si>
  <si>
    <t xml:space="preserve">ผู้ช่วยศาสตราจารย์วินัย หมั่นคติธรรม  5%
</t>
  </si>
  <si>
    <t xml:space="preserve">ผู้ช่วยศาสตราจารย์มรกต วรชัยรุ่งเรือง  15%
</t>
  </si>
  <si>
    <t xml:space="preserve"> คณะมนุษยศาสตร์และสังคมศาสตร์
</t>
  </si>
  <si>
    <t xml:space="preserve">อาจารย์ณยศ กุลพานิช  5%
</t>
  </si>
  <si>
    <t xml:space="preserve">ผู้ช่วยศาสตราจารย์วีระ โชติธรรมาภรณ์ 2%
</t>
  </si>
  <si>
    <t xml:space="preserve">ผู้ช่วยศาสตราจารย์อพิณญา มุ่งอ้อมกลาง  2%
</t>
  </si>
  <si>
    <t xml:space="preserve">อาจารย์พิชา ศรีพระจันทร์  2%
</t>
  </si>
  <si>
    <t xml:space="preserve">ผู้ช่วยศาสตราจารย์ ดร. ศิริลักษณ์ เกตุฉาย  2%
</t>
  </si>
  <si>
    <t xml:space="preserve"> คณะวิทยาศาสตร์และเทคโนโลยี
</t>
  </si>
  <si>
    <t>อาจารย์ศุภวรรณ พันธ์เกาะเลิ่ง  2%</t>
  </si>
  <si>
    <t>กลยุทธ์การออกแบบเพื่อสื่อสารกับผู้บริโภคยุคดิจิตอลสำหรับผลิตภัณฑ์อัตลักษณ์ชุมชน จังหวัดสมุทรสงคราม</t>
  </si>
  <si>
    <t xml:space="preserve">ผู้ช่วยศาสตราจารย์สุภัทรา ลูกรักษ์  90%
</t>
  </si>
  <si>
    <t>10709/2565</t>
  </si>
  <si>
    <t>ผู้ช่วยศาสตราจารย์พิบูล ไวจิตรกรรม  10%</t>
  </si>
  <si>
    <t>การออกแบบกราฟิกด้วยกลไกปัญญาประดิษฐ์เพื่อเพิ่มมูลค่าสินค้าตามแนวคิดเศรษฐกิจสร้างสรรค์ กรณีศึกษา : ของที่ระลึกประเภทสินค้าไลฟ์สไตล์ ตลาดน้ำอัมพวา จังหวัดสมุทรสงคราม</t>
  </si>
  <si>
    <t xml:space="preserve">ผู้ช่วยศาสตราจารย์ขวัญใจ สุขก้อน  35%
</t>
  </si>
  <si>
    <t>10684/2565</t>
  </si>
  <si>
    <t>อาจารย์เศรษฐกาล โปร่งนุช  25%</t>
  </si>
  <si>
    <t>ผู้ช่วยศาสตราจารย์จิติมา เสือทอง  5%</t>
  </si>
  <si>
    <t>ผู้ช่วยศาสตราจารย์สุภัทรา ลูกรักษ์ 5%</t>
  </si>
  <si>
    <t>ผู้ช่วยศาสตราจารย์ปรีชญา ครูเกษตร 5%</t>
  </si>
  <si>
    <t>อาจารย์ปิยะวรรค์ ปิ่นแก้ว  5%</t>
  </si>
  <si>
    <t>อาจารย์ศุภโชค สนธิไชย  5%</t>
  </si>
  <si>
    <t>ผู้ช่วยศาสตราจารย์จิตราวดี รุ่งอินทร์ กันกา  5%</t>
  </si>
  <si>
    <t>อาจารย์อภิรักษ์ ธิตินฤมิต  5%</t>
  </si>
  <si>
    <t>เศรษฐกิจสร้างสรรค์บนฐานงานสถาปัตยกรรมในพื้นที่เขตดุสิต กรุงเทพมหานคร</t>
  </si>
  <si>
    <t xml:space="preserve">อาจารย์เปี่ยมจันทร์ ดวงมณี  70%
</t>
  </si>
  <si>
    <t xml:space="preserve"> คณะเทคโนโลยีอุตสาหกรรม
</t>
  </si>
  <si>
    <t>10842/2565</t>
  </si>
  <si>
    <t>อาจารญ์ศิริวรรณ ศักดิ์ศิริฤทัย  10%</t>
  </si>
  <si>
    <t xml:space="preserve"> คณะวิทยาการจัดการ</t>
  </si>
  <si>
    <t>ผู้ช่วยศาสตราจารย์จิตราวดี รุ่งอินทร์ กันกา   10%</t>
  </si>
  <si>
    <t>อาจารย์ธงชัย ทองมา  10%</t>
  </si>
  <si>
    <t>การใช้หลักการบริหารทรัพยากรอาคาร สถานที่ในงานสถาปัตยกรรม เพื่อส่งเสริมเศรษฐกิจสร้างสรรค์ ในพื้นที่เขตดุสิต กรุงเทพมหานคร</t>
  </si>
  <si>
    <t>อาจารย์เปี่ยมจันทร์ ดวงมณี</t>
  </si>
  <si>
    <t>10853/2565</t>
  </si>
  <si>
    <t>การจัดการด้านความปลอดภัยในการทำงาน : กรณีศึกษา กระบวนการผลิตน้ำตาลมะพร้าว</t>
  </si>
  <si>
    <t>ผู้ช่วยศาสตราจารย์อรัญ ขวัญปาน  35%</t>
  </si>
  <si>
    <t>10605/2565</t>
  </si>
  <si>
    <t>ผู้ช่วยศาสตราจารย์รุจิพรรณ แฝงจันดา  20%</t>
  </si>
  <si>
    <t>ผู้ช่วยศาสตราจารย์ณัฐพร อารีรัชชกุล  15%</t>
  </si>
  <si>
    <t>อาจารย์ธรรมรักษ์ ศรีมารุต  15%</t>
  </si>
  <si>
    <t>อาจารย์เศรษฐกาล โปร่งนุช  15%</t>
  </si>
  <si>
    <t>การศึกษาเปรียบเทียบมูลค่าทางเศรษฐกิจของการแปรสภาพขยะให้เป็นพลังงานไฟฟ้ากับการใช้ประโยชน์ทุกมิติ</t>
  </si>
  <si>
    <t xml:space="preserve">ผู้ช่วยศาสตราจารย์อธิสมัย โสพันธ์ 70%
</t>
  </si>
  <si>
    <t>10946/2565</t>
  </si>
  <si>
    <t>อาจารย์ณรงค์ ณรงค์รัตน์ 15%</t>
  </si>
  <si>
    <t>อาจารย์ณัฐิดา จันหอม  15%</t>
  </si>
  <si>
    <t>สร้างสื่อประชาสัมพันธ์อาคารพื้นถิ่นลาวเวียง ตำบลบ้านเลือก อำเภอโพธาราม จังหวัดราชบุรี</t>
  </si>
  <si>
    <t>อาจารย์ดวงใจ ลิ้มศักดิ์ศรี  80%</t>
  </si>
  <si>
    <t>10510/2565</t>
  </si>
  <si>
    <t>ผู้ช่วยศาสตราจาร์ ดร.กันยพัชร์ ธนกุลวุฒิโรจน์  5%</t>
  </si>
  <si>
    <t>ผู้ช่วยศาสตราจารย์วินัย หมั่นคติธรรม  5%</t>
  </si>
  <si>
    <t>อาจารย์วิสุทธิ์ ศิริพรนพคุณ  5%</t>
  </si>
  <si>
    <t>การจัดการทรัพยากรกายภาพอาคาร รพ.สต.คลองโยง 2  เพื่อรองรับการจัดตั้งศูนย์การเรียนรู้การออกแบบและพัฒนาอัตลักษณ์ผลิตภัณฑ์ชุมชนคลองโยง.จังหวัดนครปฐม</t>
  </si>
  <si>
    <t xml:space="preserve">ผู้ช่วยศาสตราจารย์จิตราวดี รุ่งอินทร์ กันกา  70%
</t>
  </si>
  <si>
    <t>10530/2565</t>
  </si>
  <si>
    <t>อาจารย์ธงชัย ทองมา   20%</t>
  </si>
  <si>
    <t>อาจารย์พิชา ศรีพระจันทร์  5%</t>
  </si>
  <si>
    <t>วิทยาลัยสถาปัตยกรรมศาสตร์</t>
  </si>
  <si>
    <t>อาจารย์เปี่ยมจันทร์ ดวงมณี  5%</t>
  </si>
  <si>
    <t>โครงการออกแบบของที่ระลึกเซรามิกโดยใช้เปลือกหอยแมลงภู่เป็นวัตถุดิบสำหรับมูลนิธิฟื้นฟูทรัพยากร ทะเลสยาม</t>
  </si>
  <si>
    <t>ผู้ช่วยศาสตราจารย์สุรพันธุ์ รัตนาวะดี</t>
  </si>
  <si>
    <t>10900/2565</t>
  </si>
  <si>
    <t>รองศาสตราจารย์ ดร.จง บุญประชา</t>
  </si>
  <si>
    <t>อาจารย์จิรวุฒิ ด้วงอินทร์</t>
  </si>
  <si>
    <t>โครงการเสนอแนะการออกแบบตกแต่งภายในศูนย์บำบัดสุขภาพด้วยวิธี ธรรมชาติจากเกลือ จ.สมุทรสงคราม</t>
  </si>
  <si>
    <t xml:space="preserve">อาจารย์ปิยะวรรค์ ปิ่นแก้ว70%
</t>
  </si>
  <si>
    <t>10920/2565</t>
  </si>
  <si>
    <t>อาจารย์ศุภโชค สนธิไชย 10%</t>
  </si>
  <si>
    <t>ผู้ช่วยศาสตราจารย์ปรีชญา ครูเกษตร 10%</t>
  </si>
  <si>
    <t>อาจารย์กิตติศักดิ์ เตชะกาญจนกิจ  10%</t>
  </si>
  <si>
    <t>ระบบปลูกผักไฮโดรโปนิกส์แนวตั้งควบคุมผ่านสมาร์ทโฟน</t>
  </si>
  <si>
    <t xml:space="preserve">อาจารย์อภิรักษ์ ธิตินฤมิต  50%
</t>
  </si>
  <si>
    <t>10493/2565</t>
  </si>
  <si>
    <t>ผู้ช่วยศาสตราจารย์ชนมภัทร โตระสะ  40%</t>
  </si>
  <si>
    <t>อาจารย์ณิชานันทน์ เสริมศรี 5%</t>
  </si>
  <si>
    <t>อาจารย์กฤษกร อินต๊ะวิชัย  5%</t>
  </si>
  <si>
    <t>กลยุทธ์การออกแบบสื่อประชาสัมพันธ์และมัลติมีเดีย เพื่อเพิ่มช่องทางการจัด จำหน่ายสินค้าแปรรูปทางการเกษตรของศูนย์การเรียนรู้การเพิ่มประสิทธิภาพการผลิตสินค้า การเกษตร จ.ระนอง</t>
  </si>
  <si>
    <t xml:space="preserve">ผู้ช่วยศาสตราจารย์พิบูล ไวจิตรกรรม 60%
</t>
  </si>
  <si>
    <t>ทุนวิจัยด้านวิทยาศาสตร์ วิจัยและนวัตกรรม (ววน.)</t>
  </si>
  <si>
    <t>งป 11135/2565</t>
  </si>
  <si>
    <t>ผู้ช่วยศาสตราจารย์ขวัญใจ สุขก้อน  10%</t>
  </si>
  <si>
    <t>อาจารย์ดวงรัตน์ ด่านไทยนำ  10%</t>
  </si>
  <si>
    <t>ผู้ช่วยศาสตราจารย์จิติมา เสือทอง  10%</t>
  </si>
  <si>
    <t>ผู้ช่วยศาสตราจารย์สุภัทรา ลูกรักษ์  10%</t>
  </si>
  <si>
    <t>หมึกพิมพ์ออฟเซตฐานน้ำมันเมล็ดดอกทานตะวัน</t>
  </si>
  <si>
    <t>อาจารย์ ดร.ไกรพ เจริญโสภา60%</t>
  </si>
  <si>
    <t>11003/2565</t>
  </si>
  <si>
    <t>ผศ.ดร.วัฒน์ พลอยศรี 40%</t>
  </si>
  <si>
    <t>ศึกษาและออกแบบสื่อประชาสัมพันธ์รูปแบบสถาปัตยกรรมบ้านมอญโบราณ อำเภอโพธาราม จังหวัดราชบุรี</t>
  </si>
  <si>
    <t>อาจารย์ ดวงใจ ลิ้มศักดิ์ศรี 80%</t>
  </si>
  <si>
    <t>10513/2565</t>
  </si>
  <si>
    <t>ผศ.ดร.กันยพัชร์ ธนกุลวุฒิโรจน์ 5%</t>
  </si>
  <si>
    <t>อาจารย์ นราทัศน์ ประมวลสุข 5%</t>
  </si>
  <si>
    <t>ผศ.วินัย หมั่นคติธรรม 5%</t>
  </si>
  <si>
    <t>อาจารย์ วิสุทธิ์ ศิริพรนพคุณ 5%</t>
  </si>
  <si>
    <t>การพัฒนาระบบตรวจสอบความผิดปกติของตัวอักษรบนงานที่พิมพ์ด้วยการประมวลผลภาพแบบอัตโนมัติ</t>
  </si>
  <si>
    <t>บริษัททีเอ็ม เมนเทนแนนซ์ เทรดดิ้ง จำกัด</t>
  </si>
  <si>
    <t>อาจารย์ทศพล นาคย้อย</t>
  </si>
  <si>
    <t>28 กุมภาพันธ์ 2565</t>
  </si>
  <si>
    <t xml:space="preserve">โครงการจ้างที่ปรึกษาโครงการวิจัยการศึกษาคุณภาพชีวิตและประสบการณ์ของนักศึกษามหาวิทยาลัยศิลปากร พ.ศ. 2564 </t>
  </si>
  <si>
    <t>มหาวิทยาลัยศิลปากร</t>
  </si>
  <si>
    <t>อาจารย์ ดร.ธงชัย ทองมา  50%</t>
  </si>
  <si>
    <t>สวพ.1-2565</t>
  </si>
  <si>
    <t>ผู้ช่วยศาสตราจารย์สุรพันธุ์ รัตนาวะดี  25%</t>
  </si>
  <si>
    <t>ผู้ช่วยศาสตราจารย์จิตราวดี รุ่งอินทร์ กันกา  25%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</si>
  <si>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</si>
  <si>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>ผู้ช่วยศาสตราจารย์ ดร.สุมาลี เทียนทองดี</t>
  </si>
  <si>
    <t xml:space="preserve"> คณะครุศาสตร์</t>
  </si>
  <si>
    <t>10607/2565</t>
  </si>
  <si>
    <t>Development of Presentation Skills for 4-Year English Majors by Using Task-Based Instruction</t>
  </si>
  <si>
    <t>อาจารย์ ABIGAIL MELAD ESSIEN</t>
  </si>
  <si>
    <t>11021/2565</t>
  </si>
  <si>
    <t>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</si>
  <si>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 xml:space="preserve">ผู้ช่วยศาสตราจารย์กรกมล ชูช่วย  80%
</t>
  </si>
  <si>
    <t xml:space="preserve"> คณะครุศาสตร์
</t>
  </si>
  <si>
    <t>10865/2565</t>
  </si>
  <si>
    <t>อาจารย์ ดร.สุดารัตน์ ศรีมา  20%</t>
  </si>
  <si>
    <t>รูปแบบการจัดการเรียนรู้แบบไฮบริดที่เสริมสร้างสมรรถนะด้านการพัฒนาสื่อนวัตกรรมการเรียนรู้ของนักศึกษาวิชาชีพครู</t>
  </si>
  <si>
    <t>ผู้ช่วยศาสตราจารย์ ดร.ทับทิมทอง กอบัวแก้ว  80%.</t>
  </si>
  <si>
    <t>10579/2565</t>
  </si>
  <si>
    <t>รองศาสตราจาร์ ดร. สมเกียรติ กอบัวแก้ว  20%</t>
  </si>
  <si>
    <t>การส่งเสริมสมรรถนะการสร้างนวัตกรรมการเรียนรู้ภาษาอังกฤษของนักศึกษาโดยใช้รูปแบบการเรียนรู้แบบไฮบริดกับการโค้ชแบบเพื่อนช่วยเพื่อน</t>
  </si>
  <si>
    <t>อาจารย์ธีราภรณ์ พลายเล็ก</t>
  </si>
  <si>
    <t>10615/2565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</si>
  <si>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</si>
  <si>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รองศาสตราจารย์ ดร.นันทิยา น้อยจันทร์</t>
  </si>
  <si>
    <t>10780/2565</t>
  </si>
  <si>
    <t>ถอดบทเรียนกระบวนการกลายเป็นครูมืออาชีพระดับการศึกษาขั้นพื้นฐาน</t>
  </si>
  <si>
    <t xml:space="preserve">ผู้ช่วยศาสตราจารย์ ดร.บุญฤดี อุดมผล  60%
</t>
  </si>
  <si>
    <t>11013/2565</t>
  </si>
  <si>
    <t xml:space="preserve">ผู้ช่วยศาสตราจารย์ ดร.สมหมาย ปวะบุตร  10%
</t>
  </si>
  <si>
    <t xml:space="preserve">ผู้ช่วยศาสตราจารย์สงกรานณ์ ขุนทิพย์ทอง 10%
</t>
  </si>
  <si>
    <t xml:space="preserve">อาจารย์มาลัย ประดับศรี  10%
</t>
  </si>
  <si>
    <t>อาจารย์เอกภพ อินทรภู่  10%</t>
  </si>
  <si>
    <t>การพัฒนาสมรรถนะวิจัยของนักศึกษาครูสาขาวิชาการศึกษาปฐมวัย ด้วยกระบวนการโค้ชซึ่งกันและกัน</t>
  </si>
  <si>
    <t xml:space="preserve">ผู้ช่วยศาสตราจารย์สิริมณี บรรจง  60%
</t>
  </si>
  <si>
    <t>11016/2565</t>
  </si>
  <si>
    <t xml:space="preserve">อาจารย์ณัฐกา สุทธิธนกูล  20%
</t>
  </si>
  <si>
    <t>อาจารย์พัชราภรณ์ พิลาสมบัติ  20%</t>
  </si>
  <si>
    <t>การพัฒนาสมรรถนะการเขียนของนักศึกษาชั้นปีที่1 สาขาวิชาภาษาไทย โดยใช้แนวคิดการฝึกทางปัญญาจากต้นแบบร่วมกับการให้ข้อมูลย้อนกลับแบบ 360 องศา</t>
  </si>
  <si>
    <t xml:space="preserve">อาจารย์สิริอร จุลทรัพย์ แก้วมรกฎ  80%
</t>
  </si>
  <si>
    <t>11007/2565</t>
  </si>
  <si>
    <t xml:space="preserve">อาจารย์เสาวลักษณ์ แซ่ลี้  10%
</t>
  </si>
  <si>
    <t>อาจารย์อาทิมา พงศ์ไพบูลย์  10%</t>
  </si>
  <si>
    <t xml:space="preserve"> คณะมนุษยศาสตร์และสังคมศาสตร์</t>
  </si>
  <si>
    <t>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</si>
  <si>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 xml:space="preserve">ผู้ช่วยศาสตราจารย์สุพันธ์วดี ไวยรูป  80%
</t>
  </si>
  <si>
    <t>10697/2565</t>
  </si>
  <si>
    <t>ผู้ช่วยศาสตราจารย์ ภาวิณี โฆมานะสิน  20%</t>
  </si>
  <si>
    <t>การพัฒนาแบบทดสอบเชิงสถานการณ์เพื่อวัดสมรรถนะการให้คำปรึกษาวัยรุ่นของนักศึกษาฝึกประสบการณ์ทางวิชาชีพครู</t>
  </si>
  <si>
    <t>อาจารย์เพียงฤทัย พุฒิคุณเกษม</t>
  </si>
  <si>
    <t>11019/2565</t>
  </si>
  <si>
    <t>การประเมินความต้องการจำเป็นในการพัฒนาสมรรถนะการเขียนเพื่อการสื่อสารของนักศึกษาชั้นปีที่ 1 สาขาวิชาภาษาไทย</t>
  </si>
  <si>
    <t xml:space="preserve">อาจารย์ธิดาดาว เดชศรี  60%
</t>
  </si>
  <si>
    <t>11014/2565</t>
  </si>
  <si>
    <t>ผู้ช่วยศาสตราจารย์ ดร.วิภาวรรณ เอกวรรณัง  40%</t>
  </si>
  <si>
    <t>การพัฒนาศักยภาพของนักศึกษาครูในการสร้างสรรค์ผลงานโดยใช้รูปแบบการเรียนรู้เชิงผลิตภาพและกระบวนการพัฒนาสติปัญญาของบลูมสู่การเป็นครูมืออาชีพแห่งศตวรรษที่ 21</t>
  </si>
  <si>
    <t xml:space="preserve">ผู้ช่วยศาสตราจารย์ ดร.สุทธิพงศ์ บุญผดุง  50%
</t>
  </si>
  <si>
    <t>10566/2565</t>
  </si>
  <si>
    <t>อาจารย์พิณทิพา สืบแสง   50%</t>
  </si>
  <si>
    <t>การพัฒนาความสามารถของนักศึกษาครูในการสร้างสรรค์งานเขียนภาษาอังกฤษโดยใช้รูปแบบการเรียนรู้เชิงผลิตภาพร่วมกับกระบวนการพัฒนาสติปัญญาของบลูม</t>
  </si>
  <si>
    <t>อาจารย์พิณทิพา สืบแสง</t>
  </si>
  <si>
    <t>10568/2565</t>
  </si>
  <si>
    <t>การพัฒนาหลักสูตรเสริมสร้างสมรรถนะการให้คำปรึกษาวัยรุ่นสำหรับนักศึกษาฝึกประสบการณ์วิชาชีพครู</t>
  </si>
  <si>
    <t xml:space="preserve">อาจารย์สุทธิพร แท่นทอง  40%
</t>
  </si>
  <si>
    <t xml:space="preserve"> คณะครุศาสตร์
 </t>
  </si>
  <si>
    <t>11018/2565</t>
  </si>
  <si>
    <t xml:space="preserve">อาจารย์ธีรารัตน์ ทิพย์จรัสเมธา  20%
</t>
  </si>
  <si>
    <t xml:space="preserve">อาจารย์กุลทราภรณ์ สุพงษ์  20%
</t>
  </si>
  <si>
    <t>อาจารย์เพียงฤทัย พุฒิคุณเกษม  20%</t>
  </si>
  <si>
    <t>การพัฒนาสมรรถนะการให้คำปรึกษาวัยรุ่นของนักศึกษาฝึกประสบการณ์วิชาชีพครูโดยใช้โปรแกรมฝึกอบรมแบบผสมผสานตามแนวคิดการเรียนรู้เพื่อการเปลี่ยนแปลง</t>
  </si>
  <si>
    <t>11009/2565</t>
  </si>
  <si>
    <t>การพัฒนารูปแบบการสอนการเขียนโดยใช้แนวคิดการฝึกทางปัญญาจากต้นแบบร่วมกับการให้ข้อมูลย้อนกลับแบบ 360 องศา สำหรับนักศึกษาสาขาวิชาภาษาไทย</t>
  </si>
  <si>
    <t xml:space="preserve">อาจารย์สุมนา เขียนนิล  50%
</t>
  </si>
  <si>
    <t>11015/2565</t>
  </si>
  <si>
    <t>ผู้ช่วยศาสตราจารย์ ดร.ทัศนีย์ เศรษฐพงษ์  50%</t>
  </si>
  <si>
    <t>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</si>
  <si>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 xml:space="preserve">ผู้ช่วยศาสตราจารย์ ดร.เจษฎา ราษฎร์นิยม  70%
</t>
  </si>
  <si>
    <t>10535/2565</t>
  </si>
  <si>
    <t>ผู้ช่วยศาสตราจารย์ ดร.กรกมล ชูช่วย  30%</t>
  </si>
  <si>
    <t>ผลการใช้เทคนิคการตั้งคำถามร่วมกับการให้ข้อมูลย้อนกลับในการจัดการเรียนรู้แบบออนไลน์ที่มีต่อผลสัมฤทธิ์ทางการเรียนวิชาคณิตศาสตร์ของนักศึกษาชั้นปีที่ 1 สาขาวิชาคณิตศาสตร์ คณะครุศาสตร์ มหาวิทยาลัยราชภัฏกลุ่มรัตนโกสินทร์</t>
  </si>
  <si>
    <t xml:space="preserve">ผู้ช่วยศาสตราจารย์ธนวัฒน์ ศรีศิริวัฒน์  80%
</t>
  </si>
  <si>
    <t>10722/2565</t>
  </si>
  <si>
    <t xml:space="preserve">รองศาสตราจารย์ ดร. สมเกียรติ กอบัวแก้ว  10%
</t>
  </si>
  <si>
    <t>ผู้ช่วยศาสตราจารย์ปุณยพล จันทร์ฝอย  10%</t>
  </si>
  <si>
    <t>การพัฒนารูปแบบการเรียนรู้แบบปลั๊กอินไฮบริดเพื่อส่งเสริมความรู้ด้านการใช้ภาษาอังกฤษในงานวิชาการสำหรับนักศึกษาครู</t>
  </si>
  <si>
    <t>อาจารย์ธรรศนันต์ อุนนะนันทน์</t>
  </si>
  <si>
    <t>10608/2565</t>
  </si>
  <si>
    <t>การศึกษาผลการจัดการเรียนรู้แบบออนไลน์ของนักศึกษาสาขาวิชาคณิตศาสตร์ชั้นปีที่ 1 คณะครุศาสตร์ มหาวิทยาลัยราชภัฏสวนสุนันทา</t>
  </si>
  <si>
    <t xml:space="preserve">ผู้ช่วยศาสตราจารย์ปุณยพล จันทร์ฝอย   80%
</t>
  </si>
  <si>
    <t>10597/2565</t>
  </si>
  <si>
    <t xml:space="preserve">อาจารย์ ดร.สุรนนท์ เย็นศิริ  10%
</t>
  </si>
  <si>
    <t>ผู้ช่วยศาสตราจารย์ธนวัฒน์ ศรีศิริวัฒน์  10%</t>
  </si>
  <si>
    <t>การพัฒนารูปแบบการจัดการเรียนรู้แบบไฮบริดโดยการใช้การจัดนิทรรศการเสมือนจริงสำหรับนักศึกษาสาขาเทคโนโลยีดิจิทัล มหาวิทยาลัยราชภัฏสวนสุนันทา</t>
  </si>
  <si>
    <t>อาจารย์ ดร.ศิลป์ชัย พูลคล้าย</t>
  </si>
  <si>
    <t>10590/2565</t>
  </si>
  <si>
    <t>การพัฒนาความสามารถในการสร้างสรรค์งานวิจัยของนักศึกษาครู โดยใช้รูปแบบการเรียนรู้เชิงผลิตภาพร่วมกับกระบวนการพัฒนาสติปัญญาของบลูม</t>
  </si>
  <si>
    <t>ผู้ช่วยศาสตราจารย์ ดร.สุทธิพงศ์ บุญผดุง</t>
  </si>
  <si>
    <t>10567/2565</t>
  </si>
  <si>
    <t>การใช้รูปแบบการเรียนรู้แบบไฮบริดปลั๊กอิน ในยุควิถีใหม่ของการเรียนรู้</t>
  </si>
  <si>
    <t xml:space="preserve">อาจารย์ชัยวัฒน์ จิวพานิชย์  80%
</t>
  </si>
  <si>
    <t>10585/2565</t>
  </si>
  <si>
    <t>ผู้ช่วยศาสตราจารย์เสถียร จันทร์ปลา  10%</t>
  </si>
  <si>
    <t>อาจารย์บุตรศิรินทร์ จิวพานิชย์ 10%</t>
  </si>
  <si>
    <t xml:space="preserve"> โรงเรียนประถมสาธิต</t>
  </si>
  <si>
    <t>ผลการพัฒนาทักษะการจัดกิจกรรมทางคณิตศาสตร์แบบออนไลน์ โดยใช้วิจัยเป็นฐาน ของนักศึกษาครูคณิตศาสตร์ คณะครุศาสตร์ มหาวิทยาลัยราชภัฏสวนสุนันทา</t>
  </si>
  <si>
    <t>อาจารย์ช่อเอื้อง อุทิตะสาร</t>
  </si>
  <si>
    <t>10723/2565</t>
  </si>
  <si>
    <t>การพัฒนาสมรรถนะการสร้างนวัตกรรมเพื่อส่งเสริมคุณธรรมจริยธรรมของนักศึกษาครู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</si>
  <si>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ผู้ช่วยศาสตราจารย์กรรณิการ์ ภิรมย์รัตน์</t>
  </si>
  <si>
    <t>10677/2565</t>
  </si>
  <si>
    <t>การพัฒนาเครื่องมือประเมินสมรรถนะการสร้างนวัตกรรมเพื่อส่งเสริมคุณธรรมจริยธรรมของนักศึกษาครู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</si>
  <si>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10693/2565</t>
  </si>
  <si>
    <t>การสร้างเกมประกอบการสอนเพื่อส่งเสริมคุณธรรม จริยธรรมของนักศึกษาครูสาขาวิชาสังคมศึกษา คณะครุศาสตร์ มหาวิทยาลัยราชภัฏสวนสุนันทา  โดยใช้การจัดการเรียนรู้แบบโครงงานเป็นฐาน</t>
  </si>
  <si>
    <t>อาจารย์วีรพจน์ รัตนวาร</t>
  </si>
  <si>
    <t>10730/2565</t>
  </si>
  <si>
    <t>การพัฒนาทักษะการเรียนรู้แห่งศตวรรษที่ 21 โดยการจัดการเรียนรู้แบบ Active learning โรงเรียนขนาดเล็ก</t>
  </si>
  <si>
    <t xml:space="preserve">อาจารย์สุดารัตน์ ศรีมา  80%
</t>
  </si>
  <si>
    <t>10875/2565</t>
  </si>
  <si>
    <t>ผู้ช่วยศาสตราจารย์กรกมล ชูช่วย  20%</t>
  </si>
  <si>
    <t>การพัฒนาสมรรถนะวิจัยของนักศึกษาครู สาขาวิชาการศึกษาปฐมวัย คณะครุศาสตร์    มหาวิทยาลัยราชภัฎสวนสุนันทา</t>
  </si>
  <si>
    <t>อาจารย์ดวงกมล จงเจริญ</t>
  </si>
  <si>
    <t>11008/2565</t>
  </si>
  <si>
    <t>การพัฒนาสมรรถนะวิจัยของนักศึกษาครู สาขาวิชาการศึกษาปฐมวัย ผ่านกระบวนการสืบสอบแบบร่วมมือ</t>
  </si>
  <si>
    <t xml:space="preserve">อาจารย์ดวงกมล จงเจริญ  60%
</t>
  </si>
  <si>
    <t>11017/2565</t>
  </si>
  <si>
    <t>อาจารย์ธิติกาญจน์ ฐิติโสภณศักดิ์  20%</t>
  </si>
  <si>
    <t>อาจารย์ดิษิรา ผางสง่า  20%</t>
  </si>
  <si>
    <t>การพัฒนาสมรรถนะนักศึกษาครูสาขาวิชาภาษาอังกฤษโดยใช้การสอนแบบเน้นภาระงาน</t>
  </si>
  <si>
    <t>อาจารย์วิภาดา ประสารทรัพย์</t>
  </si>
  <si>
    <t>11010/2565</t>
  </si>
  <si>
    <t>การพัฒนาความสามารถในการอ่านบทความวิจัยภาษาอังกฤษของนักศึกษาครูสาขาวิชาภาษาอังกฤษโดยใช้วิธีสอนแบบเน้นภาระงาน</t>
  </si>
  <si>
    <t>ผู้ช่วยศาสตราจารย์ ดร.วิภาดา ประสารทรัพย์ 100%</t>
  </si>
  <si>
    <t>11020/2565</t>
  </si>
  <si>
    <t>การประเมินสมรรถนะของนักศึกษาคณะครุศาสตร์ ตามหลักสูตรครุศาสตรบัณฑิต สาขาวิชาคณิตศาสตร์ (หลักสูตรปรับปรุง พ.ศ.2562)</t>
  </si>
  <si>
    <t>ผู้ช่วยศาสตราจารย์ตีรวิชช์ ทินประภา 100%</t>
  </si>
  <si>
    <t>11011/2565</t>
  </si>
  <si>
    <t>การประเมินสมรรถนะของนักศึกษาครุศาสตรบัณฑิต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</si>
  <si>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>ผู้ช่วยศาสตราจารย์ ดร.ธนัชยศ จำปาหวาย 50%</t>
  </si>
  <si>
    <t>11022/2565</t>
  </si>
  <si>
    <t>อาจารย์ช่อเอื้อง อุทิตะสาร 50%</t>
  </si>
  <si>
    <t>การศึกษากลวิธีสอนที่ส่งผลต่อสมรรถนะของนักศึกษาครุศาสตรบัณฑิต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</si>
  <si>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 xml:space="preserve">	ผู้ช่วยศาสตราจารย์ตีรวิชช์ ทินประภา 50%</t>
  </si>
  <si>
    <t>11023/2565</t>
  </si>
  <si>
    <t>อาจารย์ ดร.สุรนนท์ เย็นศิริ 50%</t>
  </si>
  <si>
    <t>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ดาราศาสตร์และอวกาศของนักเรียนชั้นมัธยมศึกษาปีที่3 โรงเรียนกุศลศึกษา</t>
  </si>
  <si>
    <t>อาจารย์ ดร.ธัชชา ศุกระจันทร์ 70%</t>
  </si>
  <si>
    <t>10641/2565</t>
  </si>
  <si>
    <t>อาจารย์ ดร.พันทิพา พงศ์สัมพันธ์ 30%</t>
  </si>
  <si>
    <t>การพัฒนารูปแบบการเรียนการสอนตามแนวคิดการเรียนรู้ทางอารมณ์และสังคมและการสอนแบบผู้เรียนเป็นหุ้นส่วนร่วมเรียนรู้เพื่อเสริมสร้างความสามารถทางอารมณ์และสังคมของนักศึกษาครู สาขาวิชาการศึกษาปฐมวัย</t>
  </si>
  <si>
    <t>อาจารย์ธิติกาญจน์ ฐิติโสภณศักดิ์ 100%</t>
  </si>
  <si>
    <t>10994/2565</t>
  </si>
  <si>
    <t>แผนงานวิจัยและพัฒนาโปรแกรมเสริมสร้างความเป็นมืออาชีพของครูมือใหม่: ระยะพัฒนา</t>
  </si>
  <si>
    <t>รศ.ดร.สุชีรา มะหิเมือง</t>
  </si>
  <si>
    <t>11006/2565</t>
  </si>
  <si>
    <t>การศึกษาความต้องการจำเป็นของครูมือใหม่ด้านการเสริมสร้างความเป็นครูมืออาชีพ</t>
  </si>
  <si>
    <t>รศ.ดร.สุชีรา มะหิเมือง 70%</t>
  </si>
  <si>
    <t>11012/2565</t>
  </si>
  <si>
    <t>ผศ.ดร.วิภาวรรณ เอกวรรณัง 10%</t>
  </si>
  <si>
    <t>อาจารย์ ภาณุวัฒน์ ศิวะสกุลราช 10%</t>
  </si>
  <si>
    <t>อาจารย์ กลัญญู เพชราภรณ์ 10%</t>
  </si>
  <si>
    <t>รายการคำศัพท์ที่มีความถี่สูงสุดในข้อสอบโทอิค</t>
  </si>
  <si>
    <t xml:space="preserve">อาจารย์ ดร.อังค์วรา เหลืองนภา 90%
</t>
  </si>
  <si>
    <t>10695/2565</t>
  </si>
  <si>
    <t>อาจารย์ปทิตตา อัคราธนกุล  5%</t>
  </si>
  <si>
    <t>หลักไวยากรณ์ภาษาอังกฤษที่พบบ่อยในข้อสอบโทอิค</t>
  </si>
  <si>
    <t xml:space="preserve">อาจารย์จินต์จิรา บุญชูตระกูล  70%
</t>
  </si>
  <si>
    <t>10806/2565</t>
  </si>
  <si>
    <t xml:space="preserve">ผู้ช่วยศาสตราจารย์ ดร.สุวรีย์ ยอดฉิม  10%
</t>
  </si>
  <si>
    <t xml:space="preserve">ผู้ช่วยศาสตราจารย์อนันตชัย เอกะ  10%
</t>
  </si>
  <si>
    <t>ผู้ช่วยศาสตราจารย์ ดร.สุณัฐา กรุดทอง  10%</t>
  </si>
  <si>
    <t>การวิเคราะห์ความหมายและการใช้คำศัพท์สำหรับการสอบวัดระดับภาษาจีนเพื่อพัฒนาหนังสืออิเล็กทรอนิกส์ (E-book)</t>
  </si>
  <si>
    <t>อาจารย์ ดร.ชนิชา คิดประเสริฐ 60%</t>
  </si>
  <si>
    <t>10654/2565</t>
  </si>
  <si>
    <t>อาจารย์กัณฑริกา จึงสง่าสม 40%</t>
  </si>
  <si>
    <t>การวิเคราะห์ความหมายและการใช้คำคล้ายในภาษาจีนเพื่อพัฒนาหนังสืออิเล็กทรอนิกส์ (E-book)</t>
  </si>
  <si>
    <t>10663/2565</t>
  </si>
  <si>
    <t>กวีนิพนธ์การเมือง : การศึกษากลวิธีทางวรรณศิลป์กับแนวคิดทางการเมืองในมติชนสุดสัปดาห์ออนไลน์ช่วง พ.ศ. 2557-2564</t>
  </si>
  <si>
    <t>อาจารย์นพวรรณ งามรุ่งโรจน์</t>
  </si>
  <si>
    <t>10701/2565</t>
  </si>
  <si>
    <t>การศึกษาคำยืมที่ปรากฏในการสื่อสารข้ามวัฒนธรรม</t>
  </si>
  <si>
    <t xml:space="preserve">อาจารย์นันท์นลิน อินเสมียน 40%
</t>
  </si>
  <si>
    <t>10678/2565</t>
  </si>
  <si>
    <t>อาจารย์อังคณา สุขวิเศษ 20%</t>
  </si>
  <si>
    <t>อาจารย์กัญชลิกา ตรีกลางดอน 20%</t>
  </si>
  <si>
    <t>อาจารย์ Guillaume Paul, Napoleon 10%</t>
  </si>
  <si>
    <t>อาจารย์ James E.Harris 10%</t>
  </si>
  <si>
    <t>ประสิทธิผลของการสอนด้วยคลังข้อมูลภาษาเพื่อการเตรียมสอบโทอิค</t>
  </si>
  <si>
    <t xml:space="preserve">ผู้ช่วยศาสตราจารย์ ดร.สุวรีย์ ยอดฉิม 20%
</t>
  </si>
  <si>
    <t>10698/2565</t>
  </si>
  <si>
    <t>อาจารย์ ดร.อังค์วรา เหลืองนภา 15%</t>
  </si>
  <si>
    <t>อาจารย์จินต์จิรา บุญชูตระกูล 15%</t>
  </si>
  <si>
    <t>อาจารย์ปทิตตา อัคราธนกุล 50%</t>
  </si>
  <si>
    <t>การศึกษาภาษาอังกฤษในบริบทวัฒนธรรมไทย</t>
  </si>
  <si>
    <t>อาจารย์อังคณา สุขวิเศษ 100%</t>
  </si>
  <si>
    <t>10609/2565</t>
  </si>
  <si>
    <t>การศึกษาสภาพปัญหาและความต้องการของกลุ่มเกษตรกรรม กลุ่มบ้านโฉนด ชุมชนคลองโยง - ลานตากฟ้า อ.นครชัยศรี จ.นครปฐม เพื่อการพัฒนาอย่างยั่งยืน</t>
  </si>
  <si>
    <t>อาจารย์ ดร.อาริยา ภู่ระหงษ์ 50%</t>
  </si>
  <si>
    <t>10735/2565</t>
  </si>
  <si>
    <t>อาจารย์ ดร.วาสนา สุรีย์เดชะกุล 25%</t>
  </si>
  <si>
    <t>อาจารย์ศศิธร เจตานนท์ 25%</t>
  </si>
  <si>
    <t xml:space="preserve"> วิทยาลัยการจัดการอุตสาหกรรมบริการ</t>
  </si>
  <si>
    <t>โครงการวิจัยเพื่อพัฒนาทักษะทางด้านภาษาญี่ปุ่นผ่านการประยุกต์ใช้การสอนออนไลน์เต็มรูปแบบสำหรับผู้เรียนภาษาญี่ปุ่นเป็นวิชาเอก</t>
  </si>
  <si>
    <t>อาจารย์คชาภัช หลิมเจริญ 70%</t>
  </si>
  <si>
    <t>10497/2565</t>
  </si>
  <si>
    <t>ผู้ช่วยศาสตราจารย์ ดร.เปรมวดี ณ นครพนม 30%</t>
  </si>
  <si>
    <t>ปัจจัยที่ส่งผลกระทบต่อความสามารถการเรียนไวยากรณ์ภาษาญี่ปุ่นผ่านการเรียนการสอนรูปแบบออนไลน์</t>
  </si>
  <si>
    <t>อาจารย์ไพลิน กลิ่นเกษร 100%</t>
  </si>
  <si>
    <t>10578/2565</t>
  </si>
  <si>
    <t>การศึกษาคำประสมภาษาอังกฤษทางวัฒนธรรมประเพณีไทย</t>
  </si>
  <si>
    <t>ผู้ช่วยศาสตราจารย์วิชุดา ขุนหนู 20%</t>
  </si>
  <si>
    <t>10715/2565</t>
  </si>
  <si>
    <t>อาจารย์นิธิวดี โฆสรัสวดี 20%</t>
  </si>
  <si>
    <t>ผู้ช่วยศาสตราจารย์ดนยา ด่านสวัสดิ์ 20%</t>
  </si>
  <si>
    <t>ผู้ช่วยศาสตราจารย์จันทิมา หวังสมโชค 20%</t>
  </si>
  <si>
    <t>อาจารย์พัชราพรรณ ภูบุญศรี 20%</t>
  </si>
  <si>
    <t>ปัจจัยที่ส่งผลกระทบต่อความสามารถในการแปลภาษาญี่ปุ่นผ่านการเรียนการสอนรูปแบบออนไลน์</t>
  </si>
  <si>
    <t>11177/2565</t>
  </si>
  <si>
    <t>อาจารย์วิรุตม์ อินทร์ชูรันต์ 30%</t>
  </si>
  <si>
    <t>A Study on Estimating Land Value Distribution for the Talingchan District, Bangkok Using Points-of-Interest Data and Machine Learning Classiﬁcation</t>
  </si>
  <si>
    <t>ผู้ช่วยศาสตราจารย์มรกต วรชัยรุ่งเรือง 90%</t>
  </si>
  <si>
    <t>11201/2565</t>
  </si>
  <si>
    <t>ผู้ช่วยศาสตราจารย์ ดร.กันยพัชร์ ธนกุลวุฒิโรจน์ 10%</t>
  </si>
  <si>
    <t>ปัจจัยแห่งความสำเร็จของยุทธศาสตร์การพัฒนาองค์กรปกครองส่วนท้องถิ่น</t>
  </si>
  <si>
    <t>ผู้ช่วยศาสตราจารย์ ดร.มารดารัตน์ สุขสง่า 65%</t>
  </si>
  <si>
    <t xml:space="preserve"> วิทยาลัยการเมืองและการปกครอง</t>
  </si>
  <si>
    <t>10480/2565</t>
  </si>
  <si>
    <t>อาจารย์ ดร.ขันทอง ใจดี 5%</t>
  </si>
  <si>
    <t>อาจารย์สันต์ชัย รัตนะขวัญ 5%</t>
  </si>
  <si>
    <t>อาจารย์ศรัณย์ จิระพงษ์สุวรรณ 5%</t>
  </si>
  <si>
    <t>อาจารย์กฤษณ์ วงศ์วิเศษธร 5%</t>
  </si>
  <si>
    <t>ผู้ช่วยศาสตราจารย์ ดร.ณัฐพล ใจจริง 5%</t>
  </si>
  <si>
    <t>อาจารย์หัชชากร วงศ์สายัณห์ 5%</t>
  </si>
  <si>
    <t>อาจารย์อัยรวี วีระพันธ์พงศ์ 5%</t>
  </si>
  <si>
    <t>โครงการวิจัยเพื่อหันเหผู้กระทำผิดออกจากกระบวนการบุติธรรม:แนวทางการลดปริมาณคดีอาญาของกระบวนการยุติธรรม : บทบาทของยุติธรรมชุมชน</t>
  </si>
  <si>
    <t>สำนักงานกิจการยุติธรรม</t>
  </si>
  <si>
    <t>อาจารย์ ดร.นัดดาภา จิตต์แจ้ง</t>
  </si>
  <si>
    <t>สัญญา 5-2565</t>
  </si>
  <si>
    <t>ภาพแทนสังคมและการเมืองไทยในกวีนิพนธ์ร่วมสมัยของไทย ปี พ.ศ. 2557-2564</t>
  </si>
  <si>
    <t xml:space="preserve">อาจารย์วรุณญา อัจฉริยบดี </t>
  </si>
  <si>
    <t>10623/2565</t>
  </si>
  <si>
    <t>ภาพแทนสังคมและการเมืองไทยในกวีนิพนธ์ในวรรณกรรมรางวัลพานแว่นฟ้า ตั้งแต่ปี พ.ศ.2557-2564</t>
  </si>
  <si>
    <t>อาจารย์วรุณญา อัจฉริยบดี</t>
  </si>
  <si>
    <t>10660/2565</t>
  </si>
  <si>
    <t>แนวทางในการพัฒนาความยั่งยืนของเกษตรกรรมในกลุ่มบ้านโฉนดชุมชนคลองโยง-ลานตากฟ้า กรณีศึกษา โรงสีชุมชนวิสาหกิจชุมชนบ้านโฉนดชุมชนคลองโยง-ลานตากฟ้า ตำบลลานตากฟ้า อำเภอนครชัยศรี จังหวัดนครปฐม</t>
  </si>
  <si>
    <t>อาจารย์ ดร.วาสนา สุรีย์เดชะกุล 50%</t>
  </si>
  <si>
    <t>10748/2565</t>
  </si>
  <si>
    <t>ผู้ช่วยศาสตราจารย์ ดร.ชินวัฒน์ ศาสนนันทน์ 20%</t>
  </si>
  <si>
    <t xml:space="preserve"> คณะวิทยาศาสตร์และเทคโนโลยี</t>
  </si>
  <si>
    <t>อาจารย์ ดร.อาริยา ภู่ระหงษ์ 20%</t>
  </si>
  <si>
    <t>อาจารย์ ดร.สุจิตรา ริมดุสิต 10%</t>
  </si>
  <si>
    <t>การวิเคราะห์ความหมายและการใช้สุภาษิตสำนวนจีนเพื่อพัฒนาหนังสืออิเล็กทรอนิกส์ (E-Book)</t>
  </si>
  <si>
    <t>อาจารย์ ว่าที่ ร.ต. ดร.เกรียงไกร กองเส็ง</t>
  </si>
  <si>
    <t>10633/2565</t>
  </si>
  <si>
    <t>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</si>
  <si>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 90%</t>
  </si>
  <si>
    <t>10763/2565</t>
  </si>
  <si>
    <t>อาจารย์ ดร.ศิริมาลย์ วัฒนา 10%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</si>
  <si>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</si>
  <si>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อาจารย์ ดร.ศิริมาลย์ วัฒนา 30%</t>
  </si>
  <si>
    <t>10716/2565</t>
  </si>
  <si>
    <t>ผู้ช่วยศาสตราจารย์อนันตชัย เอกะ 40%</t>
  </si>
  <si>
    <t>อาจารย์ ดร.สุวรรณฤทธิ์ วงศ์ชะอุ่ม 30%</t>
  </si>
  <si>
    <t>การพัฒนาผลิตภัณฑ์ทางวัฒนธรรมสร้างสรรค์จากงานช่างฝีมือหัวโขน วัดใหม่ผดุงเขต</t>
  </si>
  <si>
    <t>อาจารย์ ดร.ศิริมาลย์ วัฒนา 40%</t>
  </si>
  <si>
    <t>10749/2565</t>
  </si>
  <si>
    <t>ผู้ช่วยศาสตราจารย์อนันตชัย เอกะ 50%</t>
  </si>
  <si>
    <t>อาจารย์ ดร.สุวรรณฤทธิ์ วงศ์ชะอุ่ม 10%</t>
  </si>
  <si>
    <t>สองทศวรรษแห่งการเปลี่ยนแปลงการใช้ประโยชน์ที่ดิน  บริเวณเกาะช้าง จังหวัดตราด ประเทศไทย</t>
  </si>
  <si>
    <t>อาจารย์คธาวุฒิ ไวยสุศรี</t>
  </si>
  <si>
    <t>10496/2565</t>
  </si>
  <si>
    <t>การเรียนรู้ของเครื่องเพื่อติดตามภัยแล้งทางการเกษตรในจังหวัดนครราชสีมาโดยใช้ข้อมูลการสำรวจระยะไกล</t>
  </si>
  <si>
    <t>ผู้ช่วยศาสตราจารย์มรกต วรชัยรุ่งเรือง 80%</t>
  </si>
  <si>
    <t>10544/2565</t>
  </si>
  <si>
    <t>อาจารย์พรสมิทธิ์ ฉายสมิทธิกุล 5%</t>
  </si>
  <si>
    <t>อาจารย์ณยศ กุลพานิช 5%</t>
  </si>
  <si>
    <t>อาจารย์พรเพิ่ม แซ่โง้ว 5%</t>
  </si>
  <si>
    <t>อาจารย์คธาวุฒิ ไวยสุศรี 5%</t>
  </si>
  <si>
    <t>การสร้างสรรค์นวัตกรรมการแข่งขันผ่านเกมและอีสปอร์ต เพื่อส่งเสริมกีฬาอีสปอร์ตไทยสู่สากล ภายใต้แนวคิด University eSports Championship</t>
  </si>
  <si>
    <t>ผู้ช่วยศาสตราจาร์ ดร.สุวรีย์ ยอดฉิม</t>
  </si>
  <si>
    <t>งป 11048/2565</t>
  </si>
  <si>
    <t>กลยุทธ์การสื่อสารภาษาอังกฤษและการศึกษาอุปสงค์ทางการตลาด เพื่อส่งเสริมการแข่งขันเกมและกีฬาอีสปอร์ตระดับสากล</t>
  </si>
  <si>
    <t>ผู้ช่วยศาสตราจารย์ ดร.สุวรีย์ ยอดฉิม</t>
  </si>
  <si>
    <t>งป 11049/2565</t>
  </si>
  <si>
    <t>การพัฒนาเศรษฐกิจฐานรากบนวิถีความหลากหลายของทุนทางปัญญาเพื่อยกระดับผลิตผลชุมชนเมืองเชิงคุณค่าสู่การสร้างมูลค่าของผลิตภัณฑ์อัตลักษณ์ดุสิตแบรนด์</t>
  </si>
  <si>
    <t>ผู้ช่วยศาสตราจารย์ ดร.ภูสิทธ์ ภูคำชะโนด 55%</t>
  </si>
  <si>
    <t>งป 11086/2565</t>
  </si>
  <si>
    <t>ผู้ช่วยศาสตราจารย์ ว่าที่ ร.ต.เพ็ญนภา ปาละปิน 15%</t>
  </si>
  <si>
    <t>ผู้ช่วยศาสตราจารย์ ดร.สุมิตรา นวลมีศรี 15%</t>
  </si>
  <si>
    <t>อาจารย์ พท.ป.วรรณี พรมด้าว 15%</t>
  </si>
  <si>
    <t xml:space="preserve"> วิทยาลัยสหเวชศาสตร์</t>
  </si>
  <si>
    <t>การมีส่วนร่วมของผู้นําชุมชนเมืองในการออกแบบผลิตผลจากความหลากหลายของทุนทางปัญญาทุนมนุษย์เพื่อสร้างศักยภาพการพึ่งตนบนวิถีพอเพียง</t>
  </si>
  <si>
    <t>ผู้ช่วยศาสตราจารย์ ดร.ภูสิทธ์ ภูคำชะโนด</t>
  </si>
  <si>
    <t>งป 11087/2565</t>
  </si>
  <si>
    <t>การยกระดับสมรรถนะผู้ประกอบการในสร้างมนต์เสน่ห์ทางวัฒนธรรมของผลิตภัณฑ์ชุมชนเมืองเพื่อสร้างมูลค่าเพิ่มเป็นสินค้าดุสิตแบรนด์</t>
  </si>
  <si>
    <t>ผู้ช่วยศาสตราจารย์ ว่าที่ ร.ต.เพ็ญนภา ปาละปิน 85%</t>
  </si>
  <si>
    <t>งป 11089/2565</t>
  </si>
  <si>
    <t>ผู้ช่วยศาสตราจารย์ ดร.ภูสิทธ์ ภูคำชะโนด 5%</t>
  </si>
  <si>
    <t>อาจารย์ไพลิน กลิ่นเกษร 5%</t>
  </si>
  <si>
    <t>อาจารย์ภาชญา เชี่ยวชาญ 5%</t>
  </si>
  <si>
    <t>ผศ.มรกต วรชัยรุ่งเรือง 90%</t>
  </si>
  <si>
    <t>ผศ.ดร.กันยพัชร์ ธนกุลวุฒิโรจน์ 10%</t>
  </si>
  <si>
    <t>การถ่ายทอดองค์ความรู้และเทคโนโลยีเพื่อพัฒนาศักยภาพด้านการปลูกข้าวด้วยระบบภูมิสารสนเทศ (Geo-informatics)สู่กลุ่มเกษตรกรผู้ปลูกข้าวในจังหวัดนครปฐม</t>
  </si>
  <si>
    <t>สำนักงานการวิจัยแห่งชาติ</t>
  </si>
  <si>
    <t>อาจารย์ณยศ กุลพานิช 50%</t>
  </si>
  <si>
    <t>N71B650084</t>
  </si>
  <si>
    <t>ผศ.มรกต วรชัยรุ่งเรือง 20%</t>
  </si>
  <si>
    <t>ผศ.ดร.กันยพัชร์ ธนกุลวุฒิโรจน์  20%</t>
  </si>
  <si>
    <t>ผู้ช่วยศาสตราจารย์ ดร.วลัยพร ผ่อนผัน  10%</t>
  </si>
  <si>
    <t>คณะวิทยาศาสตร์และเทคโนโลยี</t>
  </si>
  <si>
    <t>กลยุทธ์ในการจำหน่ายผลิตภัณฑ์เสริมอาหารเพื่อสุขภาพของผู้บริโภคในเขตกรุงเทพมหานคร</t>
  </si>
  <si>
    <t>อาจารย์ ดร.วิทยา อินทรพิมล 75%</t>
  </si>
  <si>
    <t>10757/2565</t>
  </si>
  <si>
    <t>ผู้ช่วยศาสตราจารย์กวินพัฒน์ เลิศพงษ์มณี 5%</t>
  </si>
  <si>
    <t>อาจารยืพรรณรังสี อินทร์พยุง 5%</t>
  </si>
  <si>
    <t>อาจารย์ชัชรินทร์ ศาสตร์เสริม 5%</t>
  </si>
  <si>
    <t>อาจารย์สุภาภรณ์ วิมลชัยฤกษ์ 5%</t>
  </si>
  <si>
    <t xml:space="preserve">	ผู้ช่วยศาสตราจารย์อาภาภรณ์ โพธิ์กระจ่าง 5%</t>
  </si>
  <si>
    <t xml:space="preserve"> วิทยาลัยนวัตกรรมและการจัดการ</t>
  </si>
  <si>
    <t>พฤติกรรมการบริโภคผลิตภัณฑ์เสริมอาหารของผู้บริโภคในเขตกรุงเทพมหานคร</t>
  </si>
  <si>
    <t>ผู้ช่วยศาสตราจารย์ ดร.อัญชนา สุขสมจิตร 5%</t>
  </si>
  <si>
    <t>10706/2565</t>
  </si>
  <si>
    <t>อาจารย์ ดร.อโนชา โรจนพานิช 5%</t>
  </si>
  <si>
    <t>อาจารย์ ดร.วิทยา อินทรพิมล 70%</t>
  </si>
  <si>
    <t>อาจารย์เปรมใจ เอื้อจิตร์ 5%</t>
  </si>
  <si>
    <t>การพัฒนารูปแบบการจัดกิจกรรมนันทนาการสำหรับผู้สูงอายุในเขตดุสิต  กรุงเทพมหานคร</t>
  </si>
  <si>
    <t>ผู้ช่วยศาสตราจารย์ ดร.มนันยา มีนคร 30%</t>
  </si>
  <si>
    <t>10592/2565</t>
  </si>
  <si>
    <t>อาจารย์ ดร.ยุทธภูมิ ธนากิจบริสุทธิ์ 5%</t>
  </si>
  <si>
    <t>อาจารย์ ดร.ขวัญชล หัสโยธิน 5%</t>
  </si>
  <si>
    <t>อาจารย์ณรงค์ อนุรักษ์ 5%</t>
  </si>
  <si>
    <t>ผู้ช่วยศาสตราจารย์ ดร.จันทร์เพ็ญ มีนคร 50%</t>
  </si>
  <si>
    <t>อาจารย์อรรณพ ปานพวง 5%</t>
  </si>
  <si>
    <t>ปัจจัยที่มีผลต่อการตัดสินใจซื้อผลิตภัณฑ์เสริมอาหารเพื่อสุขภาพของผู้บริโภคในเขตกรุงเทพมหานคร</t>
  </si>
  <si>
    <t>อาจารย์พรรณรังสี อินทร์พยุง 70%</t>
  </si>
  <si>
    <t>10798/2565</t>
  </si>
  <si>
    <t>อาจารย์ขจีรัตน์ พุ่มพฤกษ์ 5%</t>
  </si>
  <si>
    <t>อาจารย์เทพ เหมือนฟู 5%</t>
  </si>
  <si>
    <t>อาจารย์ ดร.ณัฐณิชา กลีบบัวบาน 5%</t>
  </si>
  <si>
    <t>ผู้ช่วยศาสตราจารย์อาภาภรณ์ โพธิ์กระจ่าง 5%</t>
  </si>
  <si>
    <t>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</si>
  <si>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อาจารย์รัศมี รัตนอุบล 60%</t>
  </si>
  <si>
    <t>10712/2565</t>
  </si>
  <si>
    <t>อาจารย์กนกวรรณ แก้วประเสริฐ 5%</t>
  </si>
  <si>
    <t>อาจารย์ ดร.กฤษณะ เชื้อชัยนาท 5%</t>
  </si>
  <si>
    <t>อาจารย์ประภัสรา วจีทองรัตนา 5%</t>
  </si>
  <si>
    <t>ผู้ช่วยศาสตราจารย์ ดร.ชารวี บุตรบำรุง 5%</t>
  </si>
  <si>
    <t>อาจารย์ส่งเสริม วจีทองรัตนา 5%</t>
  </si>
  <si>
    <t>ผู้ช่วยศาสตราจารย์ ดร.สมศักดิ์ คล้ายสังข์ 5%</t>
  </si>
  <si>
    <t xml:space="preserve">	ผู้ช่วยศาสตราจารย์ชุติมา คล้ายสังข์ 5%</t>
  </si>
  <si>
    <t>การจัดทำบัญชีและการจัดการความรู้ด้านการบัญชีภายใต้ความปกติใหม่ของวิสาหกิจชุมชนในกรุงเทพมหานคร</t>
  </si>
  <si>
    <t>อาจารย์รุ่งลักษมี รอดขำ 15%</t>
  </si>
  <si>
    <t>10604/2565</t>
  </si>
  <si>
    <t xml:space="preserve">	ผู้ช่วยศาสตราจารย์ลัดดา หิรัญยวา 55%</t>
  </si>
  <si>
    <t xml:space="preserve">	รองศาสตราจารย์อรุณรุ่ง วงศ์กังวาน 5%</t>
  </si>
  <si>
    <t xml:space="preserve">	ผู้ช่วยศาสตราจารย์ปราณี ตรีทศกุล 5%</t>
  </si>
  <si>
    <t xml:space="preserve">	อาจารย์ ดร.อโนชา โรจนพานิช 5%</t>
  </si>
  <si>
    <t>อาจารย์ ดร.หุดา วงษ์ยิ้ม 5%</t>
  </si>
  <si>
    <t>อาจารย์ ดร.สุภาพ อัครปทุมวงศ์ 5%</t>
  </si>
  <si>
    <t>รองศาสตราจารย์ ดร.กฤษฎา สังขมณี 5%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</si>
  <si>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</si>
  <si>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อาจารย์กนกวรรณ แก้วประเสริฐ</t>
  </si>
  <si>
    <t>10682/2565</t>
  </si>
  <si>
    <t>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</si>
  <si>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</si>
  <si>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อิทธิพลของดิจิตัลดิสรัปชั่นที่มีต่อการจัดการการเงินของประชากรวัยทำงาน เขตดุสิต กรุงเทพมหานคร</t>
  </si>
  <si>
    <t>ผู้ช่วยศาสตราจารย์ ดร.ชารวี บุตรบำรุง 80%</t>
  </si>
  <si>
    <t>10531/2565</t>
  </si>
  <si>
    <t>ผู้ช่วยศาสตราจารย์ ดร.สุพัตรา กาญจโนภาส 5%</t>
  </si>
  <si>
    <t>อาจารย์รัศมี รัตนอุบล 5%</t>
  </si>
  <si>
    <t>ศักยภาพการแข่งขันและการปรับตัวภายใต้ความปกติใหม่ของวิสาหกิจชุมชน ในกรุงเทพมหานคร</t>
  </si>
  <si>
    <t>รองศาสตราจารย์ ดร.วนิดา สุวรรณนิพนธ์ 60%</t>
  </si>
  <si>
    <t>10569/2565</t>
  </si>
  <si>
    <t>ผู้ช่วยศาสตราจารย์ ดร.ณัฐพงษ์ เตชะรัตนเสฏฐ์ 10%</t>
  </si>
  <si>
    <t>รองศาสตราจารย์ ดร.บัณฑิต ผังนิรันดร์ 10%</t>
  </si>
  <si>
    <t xml:space="preserve">	รองศาสตราจารย์อรุณรุ่ง วงศ์กังวาน 10%</t>
  </si>
  <si>
    <t>อาจารย์ ว่าที่ ร.ต. หญิงบุญญาดา พาหาสิงห์ 10%</t>
  </si>
  <si>
    <t>การจัดการการเงินและส่วนประสมทางการตลาดที่ส่งผลต่อความตั้งใจใช้กระเป๋าเงินอิเล็กทรอนิกส์: กรณีประชากรวัยทำงาน เขตดุสิต กรุงเทพมหานคร</t>
  </si>
  <si>
    <t>ผู้ช่วยศาสตราจารย์ ดร.สุพัตรา กาญจโนภาส 90%</t>
  </si>
  <si>
    <t>10721/2565</t>
  </si>
  <si>
    <t>ผู้ช่วยศาสตราจารย์ ดร.ชารวี บุตรบำรุง 10%</t>
  </si>
  <si>
    <t>ปัจจัยที่ส่งผลต่อความพึงพอใจในการใช้กระเป๋าเงินอิเล็กทรอนิกส์ของผู้บริโภควัยทำงาน ในเขตดุสิต กรุงเทพมหานคร</t>
  </si>
  <si>
    <t>ผู้ช่วยศาสตราจารย์ ดร.สุพัตรา กาญจโนภาส 70%</t>
  </si>
  <si>
    <t>10739/2565</t>
  </si>
  <si>
    <t>ผู้ช่วยศาสตราจารย์ ดร.สมศักดิ์ คล้ายสังข์ 10%</t>
  </si>
  <si>
    <t>ผู้ช่วยศาสตราจารย์ชุติมา คล้ายสังข์ 10%</t>
  </si>
  <si>
    <t>การสร้างเส้นทางการท่องเที่ยว กิจกรรมการท่องเที่ยว และการเล่าเรื่องราวทางประวัติศาสตร์ที่น่าสนใจของบ้านเชียงและคาชะโนด จังหวัดอุดรธานี</t>
  </si>
  <si>
    <t>รองศาสตราจารย์ ดร.บัณฑิต ผังนิรันดร์ 50%</t>
  </si>
  <si>
    <t>งป 11127/2565</t>
  </si>
  <si>
    <t>อาจารย์ ดร.ชญานันท์ เกิดพิทักษ์ 10%</t>
  </si>
  <si>
    <t>อาจารย์ธีรพงศ์ พงษ์เพ็ง 10%</t>
  </si>
  <si>
    <t>อาจารย์ ดร.นภัสสร เกิดพิทักษ์ 10%</t>
  </si>
  <si>
    <t>อาจารย์ ดร.นธายุ วันทยะกุล 10%</t>
  </si>
  <si>
    <t>อาจารย์โสภาวรรณ ตรีสุวรรณ์ 5%</t>
  </si>
  <si>
    <t>อาจารย์ ดร.นรินทร์ ยืนทน 5%</t>
  </si>
  <si>
    <t>การพัฒนาทุนมนุษย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</si>
  <si>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>อาจารย์สุวิตา พฤกษอาภรณ์ 80%</t>
  </si>
  <si>
    <t>งป 11159/2565</t>
  </si>
  <si>
    <t>อาจารย์ ดร.พนิดา นิลอรุณ 5%</t>
  </si>
  <si>
    <t>อาจารย์รติรัตน์ ณ สงขลา 5%</t>
  </si>
  <si>
    <t>ผู้ช่วยศาสตราจารย์ ดร.ชลภัสสรณ์ สิทธิวรงค์ชัย 5%</t>
  </si>
  <si>
    <t>อาจารย์ ดร.ธวัชชัย สู่เพื่อน 5%</t>
  </si>
  <si>
    <t>โครงการการพัฒนาเทคโนโลยีแบบชีวิตวิถีใหม่ (New Normal Lifestyle) สำหรับผู้ประกอบการท่องเที่ยวในจังหวัดสมุทรสงคราม เพื่อการแก้ไขวิกฤตสถานการณ์ COVID19 ในระยะสั้นและระยะยาว</t>
  </si>
  <si>
    <t>สำนักงานสภานโยบายการอุดมศึกษา วิทยาศาสตร์ วิจัยและนวัตกรรมแห่งชาติ(หน่วยบริหารและจัดการทุนด้านการพัฒนากำลังคน และทุนด้านการพัฒนาสถาบันอุดมศึกษาการวิจัยและการสร้างนวัตกรรม)</t>
  </si>
  <si>
    <t>ภาครัฐ</t>
  </si>
  <si>
    <t>ผู้ช่วยศาสตราจารย์ ดร.พิสิษฐ์ พจนจารุวิทย์ 80%</t>
  </si>
  <si>
    <t>คณะวิทยาการจัดการ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</si>
  <si>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</si>
  <si>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B17F640165</t>
  </si>
  <si>
    <t>ผู้ช่วยศาสตราจารย์ ดร. พิจิตรา จอมศรี 10%</t>
  </si>
  <si>
    <t>ดร.วัฒนา พันธุ์พืช 10%</t>
  </si>
  <si>
    <t>ศักยภาพการแข่งขันด้วยนวัตกรรมการตลาดดิจิทัลภายใต้ความปกติใหม่ของวิสาหกิจชุมชน ในกรุงเทพมหานคร</t>
  </si>
  <si>
    <t>ผู้ช่วยศาสตราจารย์ ดร.ณัฐพงษ์ เตชะรัตนเสฏฐ์ 60%</t>
  </si>
  <si>
    <t>10732/2565</t>
  </si>
  <si>
    <t>รองศาสตราจารย์ ดร.วนิดา สุวรรณนิพนธ์ 10%</t>
  </si>
  <si>
    <t>รองศาสตราจารย์อรุณรุ่ง วงศ์กังวาน 10%</t>
  </si>
  <si>
    <t>ผู้ช่วยศาสตราจารย์ปราณี ตรีทศกุล 10%</t>
  </si>
  <si>
    <t>การเพิ่มมูลค่าสินค้าน้ำตาลมะพร้าวด้วยการตลาดสมัยใหม่และแพลตฟอร์มอีคอมเมิร์ซ (E-Commerce) เพื่อพัฒนาศักยภาพเศรษฐกิจชุมชนจังหวัดสมุทรสงคราม</t>
  </si>
  <si>
    <t>อาจารย์พิชามณต์ ชาญสุไชย 80%</t>
  </si>
  <si>
    <t>10724/2565</t>
  </si>
  <si>
    <t>ผู้ช่วยศาสตราจารย์สัคพัศ แสงฉาย 20%</t>
  </si>
  <si>
    <t>แนวทางการส่งเสริมการประกอบอาชีพของกลุ่มเรือนำเที่ยวทะเลบัวแดงในสถานการณ์การแพร่ระบาดของโรคติดเชื้อไวรัสโคโรนา 2019 (COVID - 19)</t>
  </si>
  <si>
    <t>รองศาสตราจารย์ ดร. ธนสุวิทย์ ทับหิรัญรักษ์ 10%</t>
  </si>
  <si>
    <t>10818/2565</t>
  </si>
  <si>
    <t>ผู้ช่วยศาสตราจารย์ ดร.สิทธิชัย ธรรมเสน่ห์ 10%</t>
  </si>
  <si>
    <t>อาจารย์ ดร.อดุลย์ ทานาราช 10%</t>
  </si>
  <si>
    <t xml:space="preserve"> บัณฑิตวิทยาลัย (กลุ่มมนุษยศาสตร์ฯ)</t>
  </si>
  <si>
    <t>อาจารย์ ดร.ปรามศึก หวลประไพ 10%</t>
  </si>
  <si>
    <t>รองศาสตราจารย์ ดร.ดวงสมร รุ่งสวรรค์โพธิ์ 50%</t>
  </si>
  <si>
    <t>อาจารย์ ดร.พอดี สุขพันธ์ 10%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</si>
  <si>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</t>
  </si>
  <si>
    <t>กองทุนพัฒนาดิจิทัลเพื่อเศรษฐกิจและสังคม</t>
  </si>
  <si>
    <t>ผู้ช่วยศาสตราจารย์ ดร.ศิริลักษณ์ เกตุฉาย 70%</t>
  </si>
  <si>
    <t>กท1 046/64</t>
  </si>
  <si>
    <t>ผู้ช่วยศาสตราจารย์ ดร.กันยพัชร์ ธนกุลวุฒิโรจน์ 30%</t>
  </si>
  <si>
    <t>ปัญหากฎหมายเกี่ยวกับการใช้พยานหลักฐานทางวิทยาศาสตร์ในคดีอาญา</t>
  </si>
  <si>
    <t>อาจารย์ทศพล ชูโชติ 25%</t>
  </si>
  <si>
    <t>10846/2565</t>
  </si>
  <si>
    <t>อาจารย์ ดร.ณิช วงศ์ส่องจ้า 25%</t>
  </si>
  <si>
    <t>อาจารย์ธนวัฒ พิสิฐจินดา 25%</t>
  </si>
  <si>
    <t>อาจารย์จตุรงค์ เพิ่มรุ่งเรือง 15%</t>
  </si>
  <si>
    <t>อาจารย์ราชพง ภูมิพงศ์ 10%</t>
  </si>
  <si>
    <t>การพัฒนานวัตกรรมต้นแบบเกม เพื่อเสริมสร้างแรงจูงใจต่อการเรียนการสอนออนไลน์ รองรับชีวิตปกติวิถีใหม่ สำหรับผู้เรียนระดับปริญญาตรี</t>
  </si>
  <si>
    <t xml:space="preserve">	ผู้ช่วยศาสตราจารย์ ดร.ปรีดาวรรณ เกษเมธีการุณ 50%</t>
  </si>
  <si>
    <t>10610/2565</t>
  </si>
  <si>
    <t>ผู้ช่วยศาสตราจารย์ ดร.พิจิตรา จอมศรี 5%</t>
  </si>
  <si>
    <t>ผู้ช่วยศาสตราจารย์ ดร.ศิริลักษณ์ เกตุฉาย 5%</t>
  </si>
  <si>
    <t>อาจารย์ ดร.บุศรินทร์ เอี่ยมธนากุล 5%</t>
  </si>
  <si>
    <t>อาจารย์ ดร.ดุลยวิทย์ ปรางชุมพล 15%</t>
  </si>
  <si>
    <t>อาจารย์ชัชพล ชอบวิทยาคุณ 5%</t>
  </si>
  <si>
    <t>การพัฒนาเกมโมบายแอปพลิเคชันเสริมสร้างแรงจูงใจต่อการเรียนการสอนออนไลน์ เพื่อรองรับชีวิตปกติวิถีใหม่</t>
  </si>
  <si>
    <t>ผู้ช่วยศาสตราจารย์ ดร.ปรีดาวรรณ เกษเมธีการุณ 50%</t>
  </si>
  <si>
    <t>10612/2565</t>
  </si>
  <si>
    <t>ผู้ช่วยศาสตราจารย์ ดร.สุมิตรา นวลมีศรี 19%</t>
  </si>
  <si>
    <t xml:space="preserve">	ผู้ช่วยศาสตราจารย์ณัฐภัทร แก้วรัตนภัทร์ 3%</t>
  </si>
  <si>
    <t>อาจารย์ ดร.ดุลยวิทย์ ปรางชุมพล 5%</t>
  </si>
  <si>
    <t>อาจารย์กมลวรรณ ตั้งเจริญบำรุงสุข 3%</t>
  </si>
  <si>
    <t>การออกแบบยูสเซอร์อินเตอร์เฟสด้านการเรียนการสอนด้วยเกม เพื่อยกระดับผลสัมฤทธิ์ต่อการเรียนออนไลน์ รองรับชีวิตปกติวิถีใหม่</t>
  </si>
  <si>
    <t>อาจารย์ ดร.ดุลยวิทย์ ปรางชุมพล 50%</t>
  </si>
  <si>
    <t>10639/2565</t>
  </si>
  <si>
    <t>ผู้ช่วยศาสตราจารย์ ดร.พิจิตรา จอมศรี 25%</t>
  </si>
  <si>
    <t>อาจารย์ ดร.บุศรินทร์ เอี่ยมธนากุล 10%</t>
  </si>
  <si>
    <t>ผู้ช่วยศาสตราจารย์ ดร.สุมิตรา นวลมีศรี 2%</t>
  </si>
  <si>
    <t>ผู้ช่วยศาสตราจารย์ ดร.ปรีดาวรรณ เกษเมธีการุณ 2%</t>
  </si>
  <si>
    <t>อาจารย์ชัชพล ชอบวิทยาคุณ 2%</t>
  </si>
  <si>
    <t>อาจารย์กิตติยา พูนศิลป์ 2%</t>
  </si>
  <si>
    <t>ผู้ช่วยศาสตราจารย์ ดร.อรวรรณ ริ้วทอง 2%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</si>
  <si>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</si>
  <si>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ผู้ช่วยศาสตราจารย์ ดร.ปิยะดา อาชายุทธการ 90%</t>
  </si>
  <si>
    <t>10622/2565</t>
  </si>
  <si>
    <t>ผู้ช่วยศาสตราจารย์ ดร.จรรยพัฒน์ แสงสุวรรณ 10%</t>
  </si>
  <si>
    <t>ผลกระทบของเวลาในการให้กระแสไฟฟ้าพัลส์ต่อคุณสมบัติทางกายภาพแป้งสาลี</t>
  </si>
  <si>
    <t>ผู้ช่วยศาสตราจารย์ ดร.ปิยะดา อาชายุทธการ 100%</t>
  </si>
  <si>
    <t>10620/2565</t>
  </si>
  <si>
    <t>การเปลี่ยนแปลงความหลากชนิดของนก และการใช้ประโยชน์พื้นที่ของนก บริเวณแนวชายฝั่งทะเล  อำเภอเมือง จังหวัดสมุทรสงคราม</t>
  </si>
  <si>
    <t xml:space="preserve">	ผู้ช่วยศาสตราจารย์นิธินาถ เจริญโภคราช 80%</t>
  </si>
  <si>
    <t>10884/2565</t>
  </si>
  <si>
    <t>อาจารย์เพชรพนม จิตมั่น 10%</t>
  </si>
  <si>
    <t>ผู้ช่วยศาสตราจารย์ ดร.วลัยพร ผ่อนผัน 10%</t>
  </si>
  <si>
    <t>การพัฒนาแอปพลิเคชันวินิจฉัย และติดตามผู้ป่วยโรคเบาหวานในชุมชน</t>
  </si>
  <si>
    <t xml:space="preserve">	รองศาสตราจารย์ ดร.กัลยณัฎฐ์ กุหลาบเพ็ชรทอง 85%</t>
  </si>
  <si>
    <t>10595/2565</t>
  </si>
  <si>
    <t>ผู้ช่วยศาสตราจารย์จารุวรรณ ฉัตรทอง 5%</t>
  </si>
  <si>
    <t>ผู้ช่วยศาสตราจารย์ ดร.จรรยพัฒน์ แสงสุวรรณ 5%</t>
  </si>
  <si>
    <t xml:space="preserve">	ผู้ช่วยศาสตราจารย์รุจิจันทร์ วิชิวานิเวศน์ 5%</t>
  </si>
  <si>
    <t>การสร้างมูลค่าเพิ่มการท่องเที่ยวสปาไทยด้วยนวัตกรรมต้นแบบผลิตภัณฑ์อาหารและเครื่องดื่มสมุนไพรแปรรูปบนฐานภูมิปัญญาท้องถิ่นจังหวัดระนอง</t>
  </si>
  <si>
    <t>อาจารย์ชเนศ วรรณะ 85%</t>
  </si>
  <si>
    <t>งป 11031/2565</t>
  </si>
  <si>
    <t xml:space="preserve">	ผู้ช่วยศาสตราจารย์ ดร.นฤมล บุญมั่น 5%</t>
  </si>
  <si>
    <t>อาจารย์ศิริรัตน์ พักปากน้ำ 5%</t>
  </si>
  <si>
    <t>ผู้ช่วยศาสตราจารย์ ดร.วชิราภรณ์ พิกุลทอง 5%</t>
  </si>
  <si>
    <t>แพลตฟอร์มท่องเที่ยวสปาสร้างสรรค์บนฐานภูมิปัญญาท้องถิ่นและวัฒนธรรมจังหวัดระนอง</t>
  </si>
  <si>
    <t>อาจารย์ณัฐชา วัฒนประภา 60%</t>
  </si>
  <si>
    <t>งป 11035/2565</t>
  </si>
  <si>
    <t>อาจารย์จิรวัฒน์ สุดสวาท 8%</t>
  </si>
  <si>
    <t>อาจารย์ภาชญา เชี่ยวชาญ 4%</t>
  </si>
  <si>
    <t>อาจารย์ ดร.ธนากร อุยพานิชย์ 4%</t>
  </si>
  <si>
    <t xml:space="preserve">	ผู้ช่วยศาสตราจารย์ณัฐภัทร แก้วรัตนภัทร์ 4%</t>
  </si>
  <si>
    <t>อาจารย์ ดร.จารุมน หนูคง 4%</t>
  </si>
  <si>
    <t>อาจารย์วรรณรัตน์ บรรจงเขียน 4%</t>
  </si>
  <si>
    <t>อาจารย์ทัศนันท์ ชูโตศรี 4%</t>
  </si>
  <si>
    <t>อาจารย์พงพิสิษฐ์ เลี้ยงอยู่ 4%</t>
  </si>
  <si>
    <t>อาจารย์พงศกร กิ่งสุวรรณกุล 4%</t>
  </si>
  <si>
    <t>การยกระดับคุณภาพมาตรฐานการท้องเที่ยวสีเขียวโดยชุมชนเขตพื้นที่จังหวัดอุดรธานีด้วยต้นแบบนวัตกรรมผลิตภัณฑ์อาหารสุขภาพแปรรูปบนฐานภูมิปัญญาท้องถิ่นอย่างยั่งยืน</t>
  </si>
  <si>
    <t>อาจารย์ชเนศ วรรณะ</t>
  </si>
  <si>
    <t>งป 11041/2565</t>
  </si>
  <si>
    <t>แพลตฟอร์มการท้องเที่ยวเชิงการอนุรักษ Ecotourism จังหวัดอุดรธานี สู่การยกระดับมาตรฐานสินค้าและบริการสู่การเพิ่มขีดความสามารถในการแข่งขันได้อย่างยั่งยืน</t>
  </si>
  <si>
    <t>งป 11046/2565</t>
  </si>
  <si>
    <t>อาจารย์ ดร.ธนากร อุยพานิชย์ 5%</t>
  </si>
  <si>
    <t xml:space="preserve">	ผู้ช่วยศาสตราจารย์ณัฐภัทร แก้วรัตนภัทร์ 5%</t>
  </si>
  <si>
    <t>อาจารย์ ดร.จารุมน หนูคง 5%</t>
  </si>
  <si>
    <t>อาจารย์ ดร.สาวิตรี ผิวงาม 4%</t>
  </si>
  <si>
    <t xml:space="preserve"> โรงเรียนมัธยมสาธิต</t>
  </si>
  <si>
    <t>การพัฒนานวัตกรรมเครื่องสําอางจากข้าวไรซ์เบอรี่</t>
  </si>
  <si>
    <t>ผู้ช่วยศาสตราจารย์ ดร.ยุทธนา สุดเจริญ 60%</t>
  </si>
  <si>
    <t>งป 11054/2565</t>
  </si>
  <si>
    <t>อาจารย์ ดร.นรินทร์ กากะทุม 20%</t>
  </si>
  <si>
    <t>ผู้ช่วยศาสตราจารย์ ดร.คณิตดา ทองขาว 10%</t>
  </si>
  <si>
    <t>รองศาสตราจารย์ ดร.รจนา จันทราสา 5%</t>
  </si>
  <si>
    <t>ผู้ช่วยศาสตราจารย์ ดร.พิมพร ทองเมือง 5%</t>
  </si>
  <si>
    <t>การพัฒนาผลิตภัณฑ์สุขภาพจากสมุนไพรท้องถิ่นเอกลักษณ์จังหวัดสมุทรสงคราม</t>
  </si>
  <si>
    <t>ผู้ช่วยศาสตราจารย์ ดร.ยุทธนา สุดเจริญ 35%</t>
  </si>
  <si>
    <t>งป 11056/2565</t>
  </si>
  <si>
    <t>ผู้ช่วยศาสตราจารย์ ดร.คณิตดา ทองขาว 30%</t>
  </si>
  <si>
    <t>อาจารย์ ดร.นรินทร์ กากะทุม 30%</t>
  </si>
  <si>
    <t>ผลิตภัณฑ์ส่งเสริมสุขภาพช่องปากและลําคอจากผลมะม่วงหาวมะนาวโห่</t>
  </si>
  <si>
    <t>ผู้ช่วยศาสตราจารย์ ดร.ยุทธนา สุดเจริญ 55%</t>
  </si>
  <si>
    <t>งป 11057/2565</t>
  </si>
  <si>
    <t>ผู้ช่วยศาสตราจารย์ ดร.คณิตดา ทองขาว 20%</t>
  </si>
  <si>
    <t>ผลิตภัณฑ์บํารุงดูแลผิวจากชะคราม</t>
  </si>
  <si>
    <t>ผู้ช่วยศาสตราจารย์ ดร.คณิตดา ทองขาว 50%</t>
  </si>
  <si>
    <t>งป 11058/2565</t>
  </si>
  <si>
    <t>ผู้ช่วยศาสตราจารย์ ดร.ยุทธนา สุดเจริญ 25%</t>
  </si>
  <si>
    <t>การจัดการเชิงพื้นที่ด้วยเทคโนโลยีภูมิสารสนเทศ สำหรับการผลิตเกลือบนพื้นฐานภูมิปัญญาท้องถิ่น จังหวัดสมุทรสงคราม</t>
  </si>
  <si>
    <t>ผู้ช่วยศาสตราจารย์ ดร.วลัยพร ผ่อนผัน 90%</t>
  </si>
  <si>
    <t>งป 11062/2565</t>
  </si>
  <si>
    <t>ผู้ช่วยศาสตราจารย์ ดร.ทัศนาวลัย อุฑารสกุล 10%</t>
  </si>
  <si>
    <t>ต้นแบบอาหารปลากัดสำเร็จรูปสูตรเร่งสี และสูตรเสริมภูมิคุ้มกันโรคปลากัด</t>
  </si>
  <si>
    <t>อาจารย์ ดร.วัฒนา พันธุ์พืช 55%</t>
  </si>
  <si>
    <t>งป 11066/2565</t>
  </si>
  <si>
    <t xml:space="preserve">	ผู้ช่วยศาสตราจารย์กานต์ชนา สิทธิ์เหล่าถาวร 15%</t>
  </si>
  <si>
    <t>ผู้ช่วยศาสตราจารย์ธนขวัญ บุษบัน 15%</t>
  </si>
  <si>
    <t>อาจารย์ ดร.มนัสวี เดชกล้า 15%</t>
  </si>
  <si>
    <t>การพัฒนาวัคซีนชนิดกินเพื่อป้องกันโรคติดเชื้อเมกาโลไซติไวรัสในปลากัดไทย</t>
  </si>
  <si>
    <t>ผู้ช่วยศาสตราจารย์ธนขวัญ บุษบัน 40%</t>
  </si>
  <si>
    <t>งป 11067/2565</t>
  </si>
  <si>
    <t>อาจารย์ ดร.วัฒนา พันธุ์พืช 30%</t>
  </si>
  <si>
    <t>ผู้ช่วยศาสตราจารย์กานต์ชนา สิทธิ์เหล่าถาวร 10%</t>
  </si>
  <si>
    <t>อาจารย์ ดร.มนัสวี เดชกล้า 10%</t>
  </si>
  <si>
    <t xml:space="preserve">	ผู้ช่วยศาสตราจารย์กัญญารัตน์ บุษบรรณ 10%</t>
  </si>
  <si>
    <t>การพัฒนาดิจิทัลการตลาดอัจฉริยะด้วยเทคโนโลยีเสมือนจริง สู่การเผยแพร่องค์ความรู้และส่งเสริมการท่องเที่ยวเชิงเกษตรสร้างสรรค์ เพื่อพัฒนาเศรษฐกิจฐานรากบ้านในวงใต้ อำเภอละอุ่น จังหวัดระนอง</t>
  </si>
  <si>
    <t xml:space="preserve">	ผู้ช่วยศาสตราจารย์ ดร.พิจิตรา จอมศรี 40%</t>
  </si>
  <si>
    <t>งป 11090/2565</t>
  </si>
  <si>
    <t>อาจารย์ ดร.ทมนี สุขใส 40%</t>
  </si>
  <si>
    <t xml:space="preserve"> วิทยาลัยโลจิสติกส์และซัพพลายเชน</t>
  </si>
  <si>
    <t>อาจารย์กิตติยา พูนศิลป์ 10%</t>
  </si>
  <si>
    <t>อาจารย์ ดร.ดุลยวิทย์ ปรางชุมพล 10%</t>
  </si>
  <si>
    <t>การพัฒนาอัตลักษณ์สินค้าดุสิตแบรนด์สู่ตลาดอัจฉริยะ (Intelligence Market) สร้างคุณค่าและมูลค่าให้เศรษฐกิจฐานรากมั่นคง ยั่งยืน</t>
  </si>
  <si>
    <t>ผู้ช่วยศาสตราจารย์ ดร.สุมิตรา นวลมีศรี 95%</t>
  </si>
  <si>
    <t>งป 11091/2565</t>
  </si>
  <si>
    <t>ผู้ช่วยศาสตราจารย์ ดร.ปรีดาวรรณ เกษเมธีการุณ 5%</t>
  </si>
  <si>
    <t>การพัฒนากระบวนการผลิตและควบคุมคุณภาพผลิตภัณฑ์เกลือทะเลจังหวัดสมุทรสงคราม เพื่อเข้าสู่มาตรฐานอุตสาหกรรม</t>
  </si>
  <si>
    <t xml:space="preserve">อาจารย์ ดร.พลอยทราย โอฮาม่า </t>
  </si>
  <si>
    <t>งป 11092/2565</t>
  </si>
  <si>
    <t>การพัฒนากระบวนการผลิตเพื่อยกระดับคุณภาพเกลือทะเลจังหวัดสมุทรสงครามเข้าสู่มาตรฐานเกลือบริโภค</t>
  </si>
  <si>
    <t>ผู้ช่วยศาสตราจารย์ ดร.จิตรลดา ชูมี 35%</t>
  </si>
  <si>
    <t>งป 11093/2565</t>
  </si>
  <si>
    <t>อาจารย์ ดร.พลอยทราย โอฮาม่า 35%</t>
  </si>
  <si>
    <t>ผู้ช่วยศาสตราจารย์ ดร.ชินวัฒน์ ศาสนนันทน์ 10%</t>
  </si>
  <si>
    <t>อาจารย์ ดร.สาริสา ปิ่นคำ 10%</t>
  </si>
  <si>
    <t>ผู้ช่วยศาสตราจารย์กัญญารัตน์ บุษบรรณ 10%</t>
  </si>
  <si>
    <t>ดิน นํ้า ลม แดด โมเดล : นวัตกรรมพลังงานทดแทนในนาเกลือเพื่อส่งเสริมการประกอบอาชีพอย่างยั่งยืน</t>
  </si>
  <si>
    <t xml:space="preserve">	ผู้ช่วยศาสตราจารย์ ดร.ศันสนีย์ แสนศิริพันธ์ 60%</t>
  </si>
  <si>
    <t>งป 11095/2565</t>
  </si>
  <si>
    <t>อาจารย์ ดร.พลอยทราย โอฮาม่า 20%</t>
  </si>
  <si>
    <t>ผู้ช่วยศาสตราจารย์ ดร.ณรัล ลือวรศิริกุล 10%</t>
  </si>
  <si>
    <t>การศึกษาเปรียบเทียบผลของเกลือที่มีต่อคุณภาพอาหารหมักดอง</t>
  </si>
  <si>
    <t>งป 11097/2565</t>
  </si>
  <si>
    <t xml:space="preserve">ผู้ช่วยศาสตราจารย์ ดร.จิตรลดา ชูมี 20% </t>
  </si>
  <si>
    <t>ผู้ช่วยศาสตราจารย์ ดร.รินรดา พัฒนใหญ่ยิ่ง 10%</t>
  </si>
  <si>
    <t>รองศาสตราจารย์ ดร.ศิริลักษณ์ นามวงษ์ 10%</t>
  </si>
  <si>
    <t>อาจารย์ ดร.สกุลตรา ค้ำชู 10%</t>
  </si>
  <si>
    <t>อาจารย์ ดร.เสาวณีย์ คำพันธ์ 30%</t>
  </si>
  <si>
    <t>นวัตกรรมผลิตภัณฑ์เกลือทะเลเพื่อสุขภาพและความงาม</t>
  </si>
  <si>
    <t>ผู้ช่วยศาสตราจารย์ ดร.วนิดา วอนสวัสดิ์ 50%</t>
  </si>
  <si>
    <t>งป 11100/2565</t>
  </si>
  <si>
    <t>ผู้ช่วยศาสตราจารย์กัญญารัตน์ บุษบรรณ 30%</t>
  </si>
  <si>
    <t>อาจารย์รัตนชัย ไทยประทุม 10%</t>
  </si>
  <si>
    <t>อาจารย์ ดร.จาริวัฒน์ พิษณุวงศ์ 10%</t>
  </si>
  <si>
    <t>การพัฒนาศักยภาพในการผลิตพืชเศรษฐกิจในพื้นที่จังหวัดสมุทรสงคราม</t>
  </si>
  <si>
    <t xml:space="preserve">ผู้ช่วยศาสตราจารย์ ดร.โสพิศ สว่างจิตร 40%
</t>
  </si>
  <si>
    <t>งป 11102/2565</t>
  </si>
  <si>
    <t xml:space="preserve">ผู้ช่วยศาสตราจารย์ ดร.จันทนา กาญจน์กมล 20%
</t>
  </si>
  <si>
    <t xml:space="preserve">ผู้ช่วยศาสตราจารย์ ดร.รินรดา พัฒนใหญ่ยิ่ง 20%
</t>
  </si>
  <si>
    <t>ผู้ช่วยศาสตราจารย์ ดร.สุมิตรา นวลมีศรี 20%</t>
  </si>
  <si>
    <t>การพัฒนาศักยภาพการอนุรักษ์ทรัพยากรธรรมชาติ สิ่งแวดล้อมและสร้างเครือข่ายเส้นทางท่องเที่ยว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</si>
  <si>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>ผู้ช่วยศาสตราจารย์ ดร.ทัศนาวลัย อุฑารสกุล 70%</t>
  </si>
  <si>
    <t>งป 11104/2565</t>
  </si>
  <si>
    <t xml:space="preserve">ผู้ช่วยศาสตราจารย์ ดร.ฒาลิศา เนียมมณี 10%
</t>
  </si>
  <si>
    <t xml:space="preserve">ผู้ช่วยศาสตราจารย์ นิธินาถ เจริญโภคราช 10%
</t>
  </si>
  <si>
    <t>การศึกษาเปรียบเทียบปริมาณของธาตุ สารอาหาร สารพฤกษเคมี และฤทธิ์ต้านอนุมูลอิสระของส้มโอพันธุ์ขาวใหญ่ที่ปลูกในสภาวะของดิน และปุ๋ยที่แตกต่างกัน ในเขตอําเภอบางคนที จังหวัดสมุทรสงคราม</t>
  </si>
  <si>
    <t xml:space="preserve">ผู้ช่วยศาสตราจารย์ ดร. จันทนา กาญจน์กมล 90%
</t>
  </si>
  <si>
    <t>งป 11105/2565</t>
  </si>
  <si>
    <t>ผู้ช่วยศาสตราจารย์ ดร.โสพิศ สว่างจิตร 10%</t>
  </si>
  <si>
    <t>การศึกษาความหลากหลายของแบคทีเรียแลคติก และแบคทีเรียที่มีคุณสมบัติในการกระตุ้นการเจริญของพืชในนํ้าหมักจากวัสดุเศษเหลือทางการเกษตร</t>
  </si>
  <si>
    <t xml:space="preserve">ผู้ช่วยศาสตราจารย์ ดร.รินรดา พัฒนใหญ่ยิ่ง 70%
</t>
  </si>
  <si>
    <t>งป 11108/2565</t>
  </si>
  <si>
    <t xml:space="preserve">ผู้ช่วยศาสตราจารย์ ดร.โสพิศ สว่างจิตร 20%
</t>
  </si>
  <si>
    <t>รองศาสตราจารย์ ดร.ชัยศรี ธาราสวัสดิ์พิพัฒน์ 10%</t>
  </si>
  <si>
    <t>การควบคุมจุลินทรีย์สาเหตุโรคของส้มโอและกล้วยหอมทองในจังหวัดสมุทรสงครามโดยอนุภาคซิลเวอร์นาโนที่เป็นมิตรต่อสิ่งแวดล้อม</t>
  </si>
  <si>
    <t xml:space="preserve">ผู้ช่วยศาสตราจารย์ ดร.โสพิศ สว่างจิตร 95%
</t>
  </si>
  <si>
    <t>งป 11111/2565</t>
  </si>
  <si>
    <t>ผู้ช่วยศาสตราจารย์ ดร.รินรดา พัฒนใหญ่ยิ่ง 5%</t>
  </si>
  <si>
    <t>การพัฒนาการวิเคราะห์ค่านํ้าตาลจากผลไม้สุกด้วยเทคนิคการเรียนรู้เชิงลึก (Deep Learning) บนโมบายแอปพลิเคชันและระบบฐานข้อมูล QR Code เพื่อการสร้างช่องทางการตลาดบนสื่อสังคมออนไลน์ของผลไม้สุกแบบปัจเจกบุคคลสําหรับผู้ป่วยโรคเบาหวาน</t>
  </si>
  <si>
    <t xml:space="preserve">ผู้ช่วยศาสตราจารย์ ดร.สุมิตรา นวลมีศรี 95% 
</t>
  </si>
  <si>
    <t>งป 11114/2565</t>
  </si>
  <si>
    <t>ผู้ช่วยศาสตราจารย์ ดร.ปรีดาวรรณ เกษเมธีการุณ  5%</t>
  </si>
  <si>
    <t>การพัฒนาและแปรรูปผลผลิตเพื่อเพิ่มมูลค่าพืชเศรษฐกิจในพื้นที่จังหวัดสมุทรสงคราม</t>
  </si>
  <si>
    <t xml:space="preserve">
</t>
  </si>
  <si>
    <t xml:space="preserve">ผู้ช่วยศาสตราจารย์ ดร.รินรดา พัฒนใหญ่ยิ่ง  30%
</t>
  </si>
  <si>
    <t>งป 11117/2565</t>
  </si>
  <si>
    <t xml:space="preserve">อาจารย์สกุลตรา ค้ำชู 25%
</t>
  </si>
  <si>
    <t xml:space="preserve">ผู้ช่วยศาสตราจารย์จารุวรรณ ฉัตรทอง 10%
</t>
  </si>
  <si>
    <t xml:space="preserve">อาจารย์ ดร.พิมลพร พงศ์ทองคำ 10%
</t>
  </si>
  <si>
    <t>อาจารย์กมลวรรณ ตั้งเจริญบำรุงสุข 25%</t>
  </si>
  <si>
    <t>การพัฒนาผลิตภัณฑ์คีเฟอร์นํ้ามะพร้าวเพื่อเพิ่มมูลค่าผลผลิตทางการเกษตรในจังหวัดสมุทรสงคราม</t>
  </si>
  <si>
    <t xml:space="preserve">ผู้ช่วยศาสตราจารย์ ดร.รินรดา พัฒนใหญ่ยิ่ง 50%
</t>
  </si>
  <si>
    <t>งป 11119/2565</t>
  </si>
  <si>
    <t xml:space="preserve">ผู้ช่วยศาสตราจารย์จารุวรรณ ฉัตรทอง 15%
</t>
  </si>
  <si>
    <t>อาจารย์ ดร.พิมลพร พงศ์ทองคำ 35%</t>
  </si>
  <si>
    <t>การศึกษาเอกลักษณทางเภสัชเวทของยาสมุนไพรไทย จำนวน 10 ชนิด</t>
  </si>
  <si>
    <t xml:space="preserve">ผู้ช่วยศาสตราจารย์ธนขวัญ บุษบัน 70%
</t>
  </si>
  <si>
    <t>งป 11138/2565</t>
  </si>
  <si>
    <t xml:space="preserve">อาจารย์ พท.ป.กิตติศักดิ์ แคล้ว จันทร์สุข 10%
</t>
  </si>
  <si>
    <t xml:space="preserve"> วิทยาลัยสหเวชศาสตร์
</t>
  </si>
  <si>
    <t xml:space="preserve">อาจารย์ พท.ป.อนงค์นุช ทุมปัด 10%
</t>
  </si>
  <si>
    <t xml:space="preserve">ผู้ช่วยศาสตราจารย์ชุติมา คล้ายสังข์  5%
</t>
  </si>
  <si>
    <t xml:space="preserve"> คณะวิทยาการจัดการ
</t>
  </si>
  <si>
    <t>การจัดทำฐานข้อมูลการผลิตอาหารทะเลพื้นบ้านจังหวัดระนองเพื่อการบริหารจัดการและการพยากรณ์ผลผลิตสู่การวางแผนพัฒนาการผลิตอย่างอย่างยั่งยืน</t>
  </si>
  <si>
    <t xml:space="preserve">
</t>
  </si>
  <si>
    <t xml:space="preserve">ผู้ช่วยศาสตราจารย์ ดร.กิตติคุณ มีทองจันทร์ 30%
</t>
  </si>
  <si>
    <t>งป 11171/2565</t>
  </si>
  <si>
    <t xml:space="preserve">ผู้ช่วยศาสตราจารย์ ดร.ปรีชา วรารัตน์ไชย 10%
</t>
  </si>
  <si>
    <t xml:space="preserve">วิทยาลัยโลจิสติกส์และซัพพลายเชน
</t>
  </si>
  <si>
    <t xml:space="preserve">อาจารย์ ดร.ชูเกียรติ ผุดพรมราช 10%
</t>
  </si>
  <si>
    <t xml:space="preserve">ผู้ช่วยศาสตราจารย์เสถียร จันทร์ปลา 10%
</t>
  </si>
  <si>
    <t xml:space="preserve">ผู้ช่วยศาสตราจารย์นิศานาถ เตชะเพชรไพบูลย์ 10%
</t>
  </si>
  <si>
    <t xml:space="preserve">อาจารย์ ดร.นิรชราภา ทองธรรมชาติ 5%
</t>
  </si>
  <si>
    <t xml:space="preserve">ผู้ช่วยศาสตราจารย์ ดร.นิยม สุวรรณเดช 5%
</t>
  </si>
  <si>
    <t xml:space="preserve">อาจารย์ศิริเดช ศิริสมบูรณ์ 5%
</t>
  </si>
  <si>
    <t xml:space="preserve">วิทยาลัยนิเทศศาสตร์
</t>
  </si>
  <si>
    <t xml:space="preserve">อาจารย์เอกพจน์ ธนะสิริ 5%
</t>
  </si>
  <si>
    <t>วิทยาลัยนิเทศศาสตร์</t>
  </si>
  <si>
    <t xml:space="preserve">ผู้ช่วยศาสตราจารย์ ดร.เจตน์สฤษฎิ์ อังศุกาญจนกุล 5%
</t>
  </si>
  <si>
    <t xml:space="preserve">วิทยาลัยการเมืองและการปกครอง
</t>
  </si>
  <si>
    <t>อาจารย์วทัญญู ชูภักตร์ 5%</t>
  </si>
  <si>
    <t>วิทยาลัยโลจิสติกส์และซัพพลายเชน</t>
  </si>
  <si>
    <t>โครงการศึกษาและพัฒนาต้นแบบการจัดทำสำมะโนประชากรและเคหะแบบบูรณาการ (One census)</t>
  </si>
  <si>
    <t>ผู้ช่วยศาสตราจารย์ ดร.วลัยพร ผ่อนผัน 50%</t>
  </si>
  <si>
    <t>สำนักงานสถิติแห่งชาติ</t>
  </si>
  <si>
    <t>002/2565</t>
  </si>
  <si>
    <t>ดร.ณิช วงศ์ส่องจ้า 10%</t>
  </si>
  <si>
    <t>ผู้ช่วยศาสตราจารย์ ดร.ฒาลิศา  เนียมมณี 10%</t>
  </si>
  <si>
    <t>ผู้ช่วยศาสตราจารย์มรกต วรชัยรุ่งเรือง 10%</t>
  </si>
  <si>
    <t>ดร.บุศรินทร์ เอี่ยมธนากุล 5%</t>
  </si>
  <si>
    <t>ผลกระทบของเวลาในการให้กระแสไฟฟ้าพัลส์ต่อการแปรรูปผลิตภัณฑ์ขนมปัง</t>
  </si>
  <si>
    <t>อาจารย์ณัฐพล ประเทิงจิตต์ 85%</t>
  </si>
  <si>
    <t>10838/2565</t>
  </si>
  <si>
    <t>อาจารย์กัญญาพัชร เพชราภรณ์ 5%</t>
  </si>
  <si>
    <t>อาจารย์ ดร.ณิช วงศ์ส่องจ้า 5%</t>
  </si>
  <si>
    <t>ผู้ช่วยศาสตราจารย์ ดร.ปิยะดา อาชายุทธการ 5%</t>
  </si>
  <si>
    <t>เปรียบเทียบอิทธิพลของการทำแห้งแบบลมร้อนกับแบบแช่เยือกแข็งต่อคุณสมบัติทางเคมีกายภาพและเชิงหน้าที่ของผงเคล</t>
  </si>
  <si>
    <t>ผู้ช่วยศาสตราจารย์ ดร.ธนิดา ฉั่วเจริญ 80%</t>
  </si>
  <si>
    <t>10777/2565</t>
  </si>
  <si>
    <t>อาจารย์จุฑามาศ มูลวงศ์ 10%</t>
  </si>
  <si>
    <t>อาจารย์กัญญาพัชร เพชราภรณ์ 10%</t>
  </si>
  <si>
    <t>การพัฒนาเส้นพาสต้าสดเสริมผงผักเคลเพื่อเพิ่มคุณค่าทางโภชนาการและฤทธิ์ต้านอนุมูลอิสระ</t>
  </si>
  <si>
    <t>อาจารย์จุฑามาศ มูลวงศ์ 90%</t>
  </si>
  <si>
    <t>10790/2565</t>
  </si>
  <si>
    <t>ผู้ช่วยศาสตราจารย์ ดร.ธนิดา ฉั่วเจริญ 5%</t>
  </si>
  <si>
    <t>การผลิตภัณฑ์คุกกี้เนยสดเสริมพัฒนาผงเห็ดนางฟ้า</t>
  </si>
  <si>
    <t>อาจารย์กัญญาพัชร เพชราภรณ์ 80%</t>
  </si>
  <si>
    <t>10807/2565</t>
  </si>
  <si>
    <t>อาจารย์จุฑามาศ มูลวงศ์ 5%</t>
  </si>
  <si>
    <t>อาจารย์ณัฐพล ประเทิงจิตต์ 5%</t>
  </si>
  <si>
    <t>อาจารย์กฤษณธร สาเอี่ยม 5%</t>
  </si>
  <si>
    <t>การติดตามการเปลี่ยนแปลงของแนวชายฝั่งทะเลต่อความหลากชนิดของนก และการใช้ประโยชน์พื้นที่ของนก จังหวัดสมุทรสงคราม</t>
  </si>
  <si>
    <t>ผู้ช่วยศาสตราจารย์ ดร.วลัยพร ผ่อนผัน 25%</t>
  </si>
  <si>
    <t>10828/2565</t>
  </si>
  <si>
    <t>ผู้ช่วยศาสตราจารย์ ดร.พรรณทิพย์ กาหยี 6%</t>
  </si>
  <si>
    <t>รองศาสตราจารย์ศิวพันธุ์ ชูอินทร์ 5%</t>
  </si>
  <si>
    <t>ผู้ช่วยศาสตราจารย์ ดร.ฒาลิศา เนียมมณี 35%</t>
  </si>
  <si>
    <t>ผู้ช่วยศาสตราจารย์ ดร.ทัศนาวลัย อุฑารสกุล 5%</t>
  </si>
  <si>
    <t>ผู้ช่วยศาสตราจารย์นิธินาถ เจริญโภคราช 5%</t>
  </si>
  <si>
    <t>ผู้ช่วยศาสตราจารย์ ดร.ณรัล ลือวรศิริกุล 2%</t>
  </si>
  <si>
    <t>รองศาสตราจารย์ ดร.อมรา อิทธิพงษ์ 2%</t>
  </si>
  <si>
    <t>ผู้ช่วยศาสตราจารย์ ดร.วิชาญ เลิศลพ 2%</t>
  </si>
  <si>
    <t>อาจาร์ ดร.อเสข ขันธวิชัย 2%</t>
  </si>
  <si>
    <t>อาจารย์ธนัฐ กรอบทอง 2%</t>
  </si>
  <si>
    <t>ผู้ช่วยศาสตราจารย์ ดร.ไพลิน ชยาภัม 2%</t>
  </si>
  <si>
    <t>รองศาสตราจารย์ ดร.โกมล ไพศาล 2%</t>
  </si>
  <si>
    <t>ผู้ช่วยศาสตราจารย์ ดร.รณบรรจบ อภิรติกุล 5%</t>
  </si>
  <si>
    <t>การประยุกต์ใช้ภูมิสารสนเทศเพื่อประเมินพื้นที่ป่าชายเลนและหาดเลนที่เป็นแหล่งอาศัยของนก จังหวัดสมุทรสงคราม</t>
  </si>
  <si>
    <t>ผู้ช่วยศาสตราจารย์ ดร.วลัยพร ผ่อนผัน 40%</t>
  </si>
  <si>
    <t>10765/2565</t>
  </si>
  <si>
    <t>อาจารย์ ดร.บุศรินทร์ เอี่ยมธนากุล 2%</t>
  </si>
  <si>
    <t>ผู้ช่วยศาสตราจารย์สมฤดี พงษ์เสนา 2%</t>
  </si>
  <si>
    <t>อาจารย์กัญญา บวรโชคชัย 2%</t>
  </si>
  <si>
    <t>ผู้ช่วยศาสตราจารย์กัญญารัตน์ บุษบรรณ 2%</t>
  </si>
  <si>
    <t>ผู้ช่วยศาสตราจารย์ ดร.ฒาลิศา เนียมมณี 45%</t>
  </si>
  <si>
    <t>ประสิทธิผลของการออกกำลังกาย ด้วยรำวงมาตรฐานต่อสุขภาพผู้สูงอายุในชุมชน</t>
  </si>
  <si>
    <t>ผู้ช่วยศาสตราจารย์ ดร.คมกฤช รัตตะมณี 80%</t>
  </si>
  <si>
    <t>10851/2565</t>
  </si>
  <si>
    <t>ผู้ช่วยศาสตราจารย์ ดร.วรรณวิมล เมฆวิมล กิ่งแก้ว 5%</t>
  </si>
  <si>
    <t>ผู้ช่วยศาสตราจารย์ ดร.ปิยดา วงศ์วิวัฒน์ 5%</t>
  </si>
  <si>
    <t>อาจารย์ ดร.กันตพงษ์ ปราบสงบ 5%</t>
  </si>
  <si>
    <t>อาจารย์นิวัฒน์ ทรงศิลป์ 5%</t>
  </si>
  <si>
    <t>น้ำส้มสายชูหมักจากน้ำตาลสด</t>
  </si>
  <si>
    <t>น้ำส้มสายชูหมักจากน้ำต่าลสด</t>
  </si>
  <si>
    <t>ผู้ช่วยศาสตราจารย์ ดร.วนิดา วอนสวัสดิ์</t>
  </si>
  <si>
    <t>10525/2565</t>
  </si>
  <si>
    <t>The radioluminescence investigation of lead sodium borate doped with  Sm3+ glass scintillator</t>
  </si>
  <si>
    <t>รองศาสตราจารย์ ดร.ณรงค์ สังวาระนที</t>
  </si>
  <si>
    <t>11189/2565</t>
  </si>
  <si>
    <t>LUMINESCENCE PROPERTIES OF DY3+ IONS DOPED IN  B2O3-AL2O3-CAO-NA2O GLASS FOR SOLID STATE  LIGHTING APPLICATIONS</t>
  </si>
  <si>
    <t>11190/2565</t>
  </si>
  <si>
    <t>Physical and Luminescence Studies of Er3+-Doped into Borate Glass for IR Lighting Application</t>
  </si>
  <si>
    <t>11193/2565</t>
  </si>
  <si>
    <t>Effects of maltodextrin on physicochemical properties of freeze-dried avocado powder</t>
  </si>
  <si>
    <t>ผู้ช่วยศาสตราจารย์ ดร.ธนิดา ฉั่วเจริญ90%</t>
  </si>
  <si>
    <t>11199/2565</t>
  </si>
  <si>
    <t>การพัฒนาผลิตภัณฑ์ใหม่จากมันสำปะหลัง : ผลิตภัณฑ์มันบดจากมันสำปะหลัง</t>
  </si>
  <si>
    <t>อาจารย์ กฤษณธร สาเอี่ยม 50%</t>
  </si>
  <si>
    <t>10986/2565</t>
  </si>
  <si>
    <t>อาจารย์ นฤมล เปียซื่อ 10%</t>
  </si>
  <si>
    <t>อาจารย์ นันท์ยง เฟื่องขจรฟุ้ง 10%</t>
  </si>
  <si>
    <t>อาจารย์ ปัทมา หิรัญโญภาส 10%</t>
  </si>
  <si>
    <t>อาจารย์ จิราพร วีณุตตรานนท์ 10%</t>
  </si>
  <si>
    <t>อาจารย์ ธิดารัตน์ แสนพรม 10%</t>
  </si>
  <si>
    <t>การศึกษาผลของอุณหภูมิและบรรจุภัณฑ์ในการเก็บรักษาต่อคุณลักษณะทางประสาทสัมผัสของคีเฟอร์น้ำมะพร้าว</t>
  </si>
  <si>
    <t>อาจารย์ ดร.พิมลพร พงศ์ทองคำ</t>
  </si>
  <si>
    <t>10988/2565</t>
  </si>
  <si>
    <t>ครีมกันแดดแบบ broad spectrum จากสารสกัดดอกไม้</t>
  </si>
  <si>
    <t>อาจารย์ ดร.พลอยทราย โอฮาม่า 60%</t>
  </si>
  <si>
    <t>10970/2565</t>
  </si>
  <si>
    <t>อาจารย์ ดร.เสาวณีย์ คำพันธ์ 20%</t>
  </si>
  <si>
    <t>ผู้ช่วยศาสตราจารย์ ดร. จิตรลดา ชูมี 20%</t>
  </si>
  <si>
    <t>การศึกษาคุณค่าทางโภชนาการของการเลี้ยงปลากะพงขาวในพื้นที่แหล่งน้ำธรรมชาติ ตามหลักปรัชญาเศรษฐกิจพอเพียง ศูนย์การศึกษาจังหวัดสมุทรสงคราม มหาวิทยาลัยราชภัฏ สวนสุนันทา และเกษตรกรผู้เลี้ยงปลากะพงขาวในพื้นที่จังหวัดสมุทรสงคราม</t>
  </si>
  <si>
    <t>อาจารย์ ชเนศ วรรณะ 60%</t>
  </si>
  <si>
    <t>11510/2565</t>
  </si>
  <si>
    <t>อาจารย์ ดร.แก่นเพชร ศรานนทวัฒน์ 20%</t>
  </si>
  <si>
    <t>วิทยาลัยนวัตกรรมและการจัดการ</t>
  </si>
  <si>
    <t>ผู้ช่วยศาสตราจารย์ ดร.ภญ.พิมพร ทองเมือง 20%</t>
  </si>
  <si>
    <t>นวัตกรรมการควบคุมและเฝ้าระวังปัจจัยทางกายภาพ และชีวภาพ ต่อการผลิตเกลือทะเลไทย จังหวัดสมุทรสงคราม</t>
  </si>
  <si>
    <t>รองศาสตราจารย์ ดร.ชัยศรี ธาราสวัสดิ์พิพัฒน์ 50%</t>
  </si>
  <si>
    <t>งป 11061/2565</t>
  </si>
  <si>
    <t>ผู้ช่วยศาสตราจารย์ ดร.มณฑารพ สุธาธรรม 25%</t>
  </si>
  <si>
    <t>การคัดแยกและจําแนกจุลินทรีย์ประจําถิ่นบริเวณบ้านบางแก้ว จ.สมุทรสงคราม เพื่อหาการปนเปื้อนของมลพิษทางนํ้าต่อการผลิตเกลือให้มีคุณภาพตามข้อกําหนดมาตรฐานสินค้าเกษตร : เกลือทะเลธรรมชาติ</t>
  </si>
  <si>
    <t>ผู้ช่วยศาสตราจารย์ ดร.มณฑารพ สุธาธรรม 50%</t>
  </si>
  <si>
    <t>งป 11064/2565</t>
  </si>
  <si>
    <t>อาจารย์ ศิริรัตน์ พักปากน้ำ 25%</t>
  </si>
  <si>
    <t>อาจารย์ mohammad bagher javadinobandegani 25%</t>
  </si>
  <si>
    <t>นวัตกรรมการตรวจสอบ ควบคุมคุณภาพน้ำ สำหรับการผลิตเกลือที่มีคุณภาพ จังหวัดสมุทรสงคราม</t>
  </si>
  <si>
    <t>รองศาสตราจารย์ ดร.ชัยศรี ธาราสวัสดิ์พิพัฒน์ 70%</t>
  </si>
  <si>
    <t>งป 11063/2565</t>
  </si>
  <si>
    <t>รองศาสตราจารย์ ศิวพันธุ์ ชูอินทร์ 10%</t>
  </si>
  <si>
    <t>ผู้ช่วยศาสตราจารย์ ดร.รณบรรจบ อภิรติกุล 10%</t>
  </si>
  <si>
    <t>อาจารย์ สุวิมล คุปติวุฒิ 10%</t>
  </si>
  <si>
    <t>ผู้ช่วยศาสตราจารย์ ดร.รินรดา พัฒนใหญ่ยิ่ง 50%</t>
  </si>
  <si>
    <t>ผู้ช่วยศาสตราจารย์ จารุวรรณ ฉัตรทอง 15%</t>
  </si>
  <si>
    <t>การแปรรูปผลิตภัณฑ์จากส้มโอตกเกรด กลุ่มบางสะแก จังหวัดสมุทรสงคราม</t>
  </si>
  <si>
    <t>อาจารย์ สกุลตรา ค้ำชู 80%</t>
  </si>
  <si>
    <t>งป 11121/2565</t>
  </si>
  <si>
    <t>อาจารย์ กมลวรรณ ตั้งเจริญบำรุงสุข 10%</t>
  </si>
  <si>
    <t>การยกระดับกระบวนการผลิตและเพิ่มคุณค่าทางอาหารของผลิตภัณฑ์จากส้มโอ กลุ่มบางสะแก จังหวัดสมุทรสงคราม</t>
  </si>
  <si>
    <t>อาจารย์ กมลวรรณ ตั้งเจริญบำรุงสุข 70%</t>
  </si>
  <si>
    <t>งป 11125/2565</t>
  </si>
  <si>
    <t>อาจารย์ สกุลตรา ค้ำชู 20%</t>
  </si>
  <si>
    <t>ผู้ช่วยศาสตราจารย์ รุจิจันทร์ วิชิวานิเวศน์ 5%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</si>
  <si>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ประเภทพืช ผัก ผลไม้ ปลาและหอยที่บริโภครวมทั้งดินและน้ำที่ประชาชนสัมผัสเป็นประจำ และการจัดทำแผนที่ความเสี่ยงสุขภาพและการติดตามสภาวะสุขภาพของกลุ่มเสี่ยงสุขภาพในชุมชน ตามมาตรการป้องกันและแก้ไขผลกระทบสิ่งแวดล้อมโครงการโรงไฟฟ้าพลังความร้อน 150 MW ปี พ.ศ.2564 </t>
  </si>
  <si>
    <t>บริษัท ทีพีไอ โพลีน เพาเวอร์ จำกัด (มหาชน)</t>
  </si>
  <si>
    <t>ภาคเอกชน</t>
  </si>
  <si>
    <t>รองศาสตราจารย์ ดร.ศิวพันธุ์ ชูอินทร์ 25%</t>
  </si>
  <si>
    <t>ใบสั่งจ้างเลขที่ H203203</t>
  </si>
  <si>
    <t>รองศาสตราจารย์ ดร.ไพบูลย์ แจ่มพงษ์  25%</t>
  </si>
  <si>
    <t>อาจารย์ ดร.ฒาลิศา เนียมมณี  25%</t>
  </si>
  <si>
    <t>ผู้ช่วยศาสตราจารย์ ดร.พรรณทิพย์ กาหยี  25%</t>
  </si>
  <si>
    <t xml:space="preserve">การจัดการความรู้และถ่ายทอดเทคโนโลยีการผลิตเครื่องดื่มเพื่อสุขภาพคีเฟอร์น้ำสับปะรดเพื่อการส่งเสริมและยกระดับรายได้ชองเกษตรชาวไร่สับปะรด จังหวัดระยอง </t>
  </si>
  <si>
    <t>สำนักงานการวิจัยแห่งชาติ (วช.)</t>
  </si>
  <si>
    <t>ผู้ช่วยศาสตราจารย์ ดร.รินรดา พัฒนใหญ่ยิ่ง 45%</t>
  </si>
  <si>
    <t>สัญญาเลขที่ N71B650031</t>
  </si>
  <si>
    <t>อาจารย์ ดร.พลอยทราย โอฮาม่า  15%</t>
  </si>
  <si>
    <t xml:space="preserve">การส่งเสริมการเรียนรู้ด้านระบบเฝ้าระวังการเปลี่ยนแปลงคุณภาพน้ำบนวิถีชุมชนเกษตรกรที่มีความเสี่ยงต่อการประกอบอาชีพในพื้นที่จังหวัดสมุทรสงคราม </t>
  </si>
  <si>
    <t>รองศาสตราจารย์ ดร.ชัยศรี ธาราสวัสดิ์พิพัฒน์  50%</t>
  </si>
  <si>
    <t>สัญญาเลขที่ N71B650072</t>
  </si>
  <si>
    <t>รองศาสตราจารย์ ดร.วิทยา เมฆขำ  30%</t>
  </si>
  <si>
    <t>ผู้ช่วยศาสตราจารย์ ดร.พรรณทิพย์ กาหยี   10%</t>
  </si>
  <si>
    <t>รองศาสตราจารย์ ดร.ศิวพันธุ์ ชูอินทร์  10%</t>
  </si>
  <si>
    <t>การจัดการความรู้การวิจัยและพัฒนาสับปะรดปัตตาเวีย จังหวัดระยอง ด้วยนวัตกรรมอาหารสร้างมูลค่าเพิ่มและบรรจุภัณฑ์จากของเหลือทิ้งทางการเกษตร เพื่อแก้ไขปัญหาสับปะรดล้นตลาด</t>
  </si>
  <si>
    <t>อาจารย์ ดร.พลอยทราย โอฮาม่า 25%</t>
  </si>
  <si>
    <t>สัญญาเลขที่ N71B650032</t>
  </si>
  <si>
    <t>อาจารย์ ดร.เสาวณีย์ คำพันธ์ 25%</t>
  </si>
  <si>
    <t>ผู้ช่วยศาสตราจารย์ ดร. จิตรลดา ชูมี 25%</t>
  </si>
  <si>
    <t>ผู้ช่วยศาสตราจารย์ ดร.รินรดา พัฒนใหญ่ยิ่ง  15%</t>
  </si>
  <si>
    <t>อาจารย์สกุลตรา ค้ำชู  10%</t>
  </si>
  <si>
    <t>เครื่องมือวิเคราะห์อัตราส่วนจำนวนชั่วโมงสอนออนไลน์ต่อออนไซต์ กรณี รายวิชาหลักสูตรวิทยาการคอมพิวเตอร์และนวัตกรรมข้อมูล คณะวิทยาศาสตร์และเทคโนโลยี มหาวิทยาลัยราชภัฏสวนสุนันทา</t>
  </si>
  <si>
    <t>รศ.ดร.นลินี โสพัศสถิตย์</t>
  </si>
  <si>
    <t>วจ/วท. 1 / 2565</t>
  </si>
  <si>
    <t>การตรวจหาคราบเลือดแห้งบนผ้าฝ้ายที่ผ่านการซักด้วยผงซักฟอกและน้ำยาซักผ้าขาว  ด้วยการทดสอบฟีนอล์ฟทาลีนและฮีมาสติกซ</t>
  </si>
  <si>
    <t>อาจารย์ ดร.ฤทัยรัตน์ สิริวัฒนรัชต์</t>
  </si>
  <si>
    <t>วจ/วท. 2/2565</t>
  </si>
  <si>
    <t>การพัฒนาแอปพลิเคชันการแนะนำการท่องเที่ยวแบบปรับตัวเพื่อส่งเสริมการท่องเที่ยวในเมืองใหม่</t>
  </si>
  <si>
    <t>ผศ.ดร.สุมิตรา นวลมีศรี</t>
  </si>
  <si>
    <t>10960/2565</t>
  </si>
  <si>
    <t>Unraveling Techniques for Plant Microbiome Structure Analysis</t>
  </si>
  <si>
    <t>อาจารย์ mohammad bagher javadinobandegani</t>
  </si>
  <si>
    <t>11545/2565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</si>
  <si>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</si>
  <si>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 xml:space="preserve">อาจารย์อวัสดากานต์ ภูมี </t>
  </si>
  <si>
    <t>10580/2565</t>
  </si>
  <si>
    <t>การพัฒนาชุดสอนดนตรีรูปแบบออนไลน์เครื่องเอกทักษะขับร้องพื้นฐาน โรงเรียนในพื้นที่ตำบลแพรกหนามแดง</t>
  </si>
  <si>
    <t>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</si>
  <si>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</si>
  <si>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การพัฒนาชุดสอนดนตรีรูปแบบออนไลน์เครื่องเอกกีตาร์  โรงเรียนในพื้นที่ตำบลแพรกหนามแดง</t>
  </si>
  <si>
    <t xml:space="preserve">อาจารย์ปฐมวัส ธรรมชาติ 50%
</t>
  </si>
  <si>
    <t>10638/2565</t>
  </si>
  <si>
    <t xml:space="preserve">ผู้ช่วยศาสตราจารย์ ดร.รุ่งเกียรติ สิริวงษ์สุวรรณ 15%
</t>
  </si>
  <si>
    <t xml:space="preserve">อาจารย์กฤตวิทย์ ภูมิถาวร 15%
</t>
  </si>
  <si>
    <t xml:space="preserve">ผู้ช่วยศาสตราจารย์ยุทธกร สริกขกานนท์ 10%
</t>
  </si>
  <si>
    <t>อาจารย์ชาคริต เฉลิมสุข 10%</t>
  </si>
  <si>
    <t>การออกแบบนิทรรศการโครงการพิเศษการออกแบบนิเทศศิลป์ ครั้งที่ 30  ปีการศึกษา 2564</t>
  </si>
  <si>
    <t xml:space="preserve">อาจารย์ภาณุวัฒน์ กาหลิบ </t>
  </si>
  <si>
    <t>10461/2565</t>
  </si>
  <si>
    <t>นวัตกรรมผลิตภัณฑ์ต้นแบบ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</si>
  <si>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รองศาสตราจารย์ ดร.รจนา จันทราสา </t>
  </si>
  <si>
    <t>งป 11032/2565</t>
  </si>
  <si>
    <t>แนวทางการออกแบบตกแต่งร้านสปา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</si>
  <si>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อาจารย์ ดร.ภานุ พัฒนปณิธิพงศ์ </t>
  </si>
  <si>
    <t>งป 11034/2565</t>
  </si>
  <si>
    <t>การพัฒนาสินค้าไลฟ์สไตล์ส่งเสริมการท้องเที่ยว Green travel จังหวัดอุดรธานี</t>
  </si>
  <si>
    <t>รองศาสตราจารย์ ดร.รจนา จันทราสา</t>
  </si>
  <si>
    <t>งป 11043/2565</t>
  </si>
  <si>
    <t>แนวทางการออกแบบสภาพแวดล้อมร้านค้าสินค้าไลฟ์สไตล เพิ่มขีดความสามารถในการแข่งขันได้สําหรับการท่องเที่ยว Green travel จังหวัดอุดรธานี</t>
  </si>
  <si>
    <t>งป 11045/2565</t>
  </si>
  <si>
    <t>การพัฒนาผลิตภัณฑ์สุขภาพจากข้าวไรซ์เบอรี่ กลุ่มเศรษฐกิจฐานราก อำเภอบางระจัน จังหวัดสิงห์บุรี</t>
  </si>
  <si>
    <t>รองศาสตราจารย์ ดร.รจนา จันทราสา 95%</t>
  </si>
  <si>
    <t>คณะศิลปกรรมศาสตร์</t>
  </si>
  <si>
    <t>งป 11052/2565</t>
  </si>
  <si>
    <t>อาจารย์ ดร.แก่นเพชร ศรานนทวัฒน์ 5%</t>
  </si>
  <si>
    <t>การพัฒนาตราสัญลักษณ์ และบรรจุภัณฑ์ของผลิตภัณฑ์สุขภาพจากข้าวไรซ์เบอรี่</t>
  </si>
  <si>
    <t>งป 11055/2565</t>
  </si>
  <si>
    <t>ศิลปวัฒนธรรมในเกาะรัตนโกสินทร์กับการประยุกต์ใช้ในการออกแบบผลิตภัณฑ์ด้วยแนวคิดเศรษฐกิจ</t>
  </si>
  <si>
    <t xml:space="preserve">ผู้ช่วยศาสตราจารย์ ดร.ชนกนาถ มะยูโซ๊ะ </t>
  </si>
  <si>
    <t>งป 11071/2565</t>
  </si>
  <si>
    <t>ทุนทางวัฒนธรรมศิลปะกรุงรัตนโกสินทร์ในเกาะรัตนโกสินทร์สู่แนวทางการออกแบบเครื่องประดับร่วมสมัยเพื่อสร้างมูลค่าเพิ่มสู่การแข่งขันในระดับสากล</t>
  </si>
  <si>
    <t xml:space="preserve">ผู้ช่วยศาสตราจารย์ ดร.ชนกนาถ มะยูโซ๊ะ 60%
</t>
  </si>
  <si>
    <t>งป 11073/2565</t>
  </si>
  <si>
    <t xml:space="preserve">ผู้ช่วยศาสตราจารย์สิรัชชา สำลีทอง 20%
</t>
  </si>
  <si>
    <t>อาจารย์สุภาวดี จุ้ยศุขะ 20%</t>
  </si>
  <si>
    <t>แนวทางการพัฒนาผลิตภัณฑ์สร้างสรรค์จากวัสดุพื้นถิ่นและทุนทางวัฒนธรรม ด้วยการมีส่วนร่วมของชุมชน เพื่อสร้างนวัตกรรมและยกระดับรายได้ชุมชนบนฐานปรัชญาเศรษฐกิจพอเพียง “วิถีถิ่น คีรีวงกต” จังหวัด อุดรธานี</t>
  </si>
  <si>
    <t xml:space="preserve">ผู้ช่วยศาสตราจารย์ ดร.เอกพงศ์ อินเกื้อ 80%
</t>
  </si>
  <si>
    <t>งป 11074/2565</t>
  </si>
  <si>
    <t>ผู้ช่วยศาสตราจารย์ ดร.ปิยดา วงศ์วิวัฒน์ 20%</t>
  </si>
  <si>
    <t>นวัตกรรมการสร้างสรรค์ลวดลายผ้าทอจากทุนวัฒนธรรม “วิถีถิ่น คีรีวงกต” สู่ต้นแบบเครื่องแต่งกายร่วมสมัย ภายใต้ปรัชญาเศรษฐกิจพอเพียง</t>
  </si>
  <si>
    <t>ผู้ช่วยศาสตราจารย์ ดร.ชนกนาถ มะยูโซ๊ะ 40%</t>
  </si>
  <si>
    <t>งป 11075/2565</t>
  </si>
  <si>
    <t>ผู้ช่วยศาสตราจารย์ ดร.เตชิต เฉยพ่วง 30%</t>
  </si>
  <si>
    <t>อาจารย์สุภาวดี จุ้ยศุขะ 30%</t>
  </si>
  <si>
    <t>แนวทางการพัฒนาผ้าทอสีย้อมธรรมชาติจากทุนวัฒนธรรมชุมชนเพื่อยกระดับรายได้และการพึ่งพาตนเอง หมู่บ้าน คีรีวงกต จังหวัด อุดรธานี</t>
  </si>
  <si>
    <t>อาจารย์ ดร.เตือนตา พรมุตตาวรงค์ 40%</t>
  </si>
  <si>
    <t>งป 11076/2565</t>
  </si>
  <si>
    <t>ผู้ช่วยศาสตราจารย์สิรัชชา สำลีทอง 30%</t>
  </si>
  <si>
    <t>ผู้ช่วยศาสตราจารย์สุวิธธ์ สาดสังข์ 30%</t>
  </si>
  <si>
    <t>นวัตกรรมการแปรรูปพืชพื้นถิ่นสู่ผลิตภัณฑ์สร้างสรรค “วิถีถิ่น คีรีวงกต” ด้วยการมีส่วนร่วมของชุมชน เพื่อสร้างนวัตกรรมชุมชนบนฐานปรัชญาเศรษฐกิจพอเพียง</t>
  </si>
  <si>
    <t xml:space="preserve">ผู้ช่วยศาสตราจารย์ ดร.เอกพงศ์ อินเกื้อ 
</t>
  </si>
  <si>
    <t>งป 11077/2565</t>
  </si>
  <si>
    <t>การพัฒนาและสร้างภาพลักษณ์ผลิตภัณฑ์สร้างสรรค์จากวัสดุพื้นถิ่นและทุนทางวัฒนธรรมเพื่อสร้างการรับรู้และเพิ่มขีดความสามารถในการแข่งขัน “วิถีถิ่น คีรีวงกต”</t>
  </si>
  <si>
    <t xml:space="preserve">อาจารย์คณิน ไพรวันรัตน์ </t>
  </si>
  <si>
    <t>งป 11078/2565</t>
  </si>
  <si>
    <t>แนวทางการออกแบบศูนย์บริการและจําหน่ายผลิตภัณฑ์สร้างสรรค์ชุมชน บนฐานปรัชญาเศรษฐกิจพอเพียง</t>
  </si>
  <si>
    <t xml:space="preserve">ผู้ช่วยศาสตราจารย์นภดล สังวาลเพ็ชร </t>
  </si>
  <si>
    <t>งป 11079/2565</t>
  </si>
  <si>
    <t>การพัฒนาจังหวัดสมุทรสงครามด้วยนวัตกรรมการแปรรูปวัสดุเหลือทิ้งจากภาคการเกษตรและประมง เพื่อเพิ่มอัตราการขยายตัวของผลิตภัณฑ์มวลรวม(GPP) สู่การพัฒนาจังหวัดสมุทรสงครามเป็น “เมืองแห่งวิถี 3 น้ำอย่างยั่งยืน”</t>
  </si>
  <si>
    <t>งป 11080/2565</t>
  </si>
  <si>
    <t>นวัตกรรมการแปรรูปวัสดุเหลือทิ้งจากภาคการเกษตรของจังหวัดสมุทรสงคราม เพื่อใช้ในการสรางผลิตภัณฑวัฒนธรรมจังหวัดสมุทรสงคราม เพื่อลดปญหาขยะและควาเหลื่อมล้ำ</t>
  </si>
  <si>
    <t>งป 11081/2565</t>
  </si>
  <si>
    <t>การพัฒนาและสรางภาพลักษณจังหวัดสมุทรสงครามดวยธุรกิจเชิงวัฒนธรรม เพื่อสร้างการรับรูและสนับสนุนการทองเที่ยวเชิงวัฒนธรรม “เมืองแหงวิถี 3 น้าอยางยั่งยืน”</t>
  </si>
  <si>
    <t xml:space="preserve">ผู้ช่วยศาสตราจารย์ ดร.เอกพงศ์ อินเกื้อ </t>
  </si>
  <si>
    <t>งป 11082/2565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</si>
  <si>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เพื่อลดปัญหาขยะและควาเหลื่อมลํ้า</t>
  </si>
  <si>
    <t>อาจารย์คณิน ไพรวันรัตน์</t>
  </si>
  <si>
    <t>งป 11094/2565</t>
  </si>
  <si>
    <t>คริปโทเคอร์เรนซีและเศรษฐกิจสร้างสรรค์: กรณีศึกษา เอ๊กซ์อาร์พี และ เอ็นเอฟที</t>
  </si>
  <si>
    <t>ระดับชาติ</t>
  </si>
  <si>
    <t>บริษัท ควอลิตี้ อัลลัยแอนซ์ (ประเทศไทย) จำกัด</t>
  </si>
  <si>
    <t>อาจารย์ ดร.ฟาริดา วิรุฬหผล   25%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</si>
  <si>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</si>
  <si>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</si>
  <si>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</si>
  <si>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ผู้ช่วยศาสตราจารย์ ดร.ดวงกมล ฐิติเวส  25%</t>
  </si>
  <si>
    <t>คณะครุศาสตร์</t>
  </si>
  <si>
    <t>การสร้างรูปแบบการเรียนการสอนเชิงบูรณาการกับการทำงานในหลักสูตรดนตรีระดับปริญญาตรี</t>
  </si>
  <si>
    <t>อาจารย์ ปราโมทย์ เที่ยงตรง</t>
  </si>
  <si>
    <t>10937/2565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</si>
  <si>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</si>
  <si>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อาจารย์ ภาณุวัฒน์ กาหลิบ</t>
  </si>
  <si>
    <t>11528/2565</t>
  </si>
  <si>
    <t>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</si>
  <si>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11529/2565</t>
  </si>
  <si>
    <t>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</si>
  <si>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 นวภรณ์ ศรีสราญกุลวงศ์ 80%</t>
  </si>
  <si>
    <t>11530/2565</t>
  </si>
  <si>
    <t>อาจารย์ กรีธา ธรรมเจริญสถิต 5%</t>
  </si>
  <si>
    <t>อาจารย์ ดร.พีระพล ชัชวาลย์ 5%</t>
  </si>
  <si>
    <t>ออาจารย์ ดร.ฟาริดา วิรุฬหผล 5%</t>
  </si>
  <si>
    <t>อาจารย์ มารุต พิเชษฐวิทย์ 5%</t>
  </si>
  <si>
    <t>การออกแบบหนังสือชุดภาพประกอบเรื่อง “ เมนูหนูทำได้ ”</t>
  </si>
  <si>
    <t>อาจารย์ นวภรณ์ ศรีสราญกุลวงศ์</t>
  </si>
  <si>
    <t>10908/2565</t>
  </si>
  <si>
    <t>โครงการจัดการอัตลักษณ์ยูนิฟอร์มพนักงานโรงแรมจากผลกระทบโควิด-19  		    (กรณีศึกษาโรงแรมLet's Sea Hua Hin Al Fresco)</t>
  </si>
  <si>
    <t>อาจารย์ สุภาวดี จุ้ยศุขะ</t>
  </si>
  <si>
    <t>10987/2565</t>
  </si>
  <si>
    <t>การออกแบบเครื่องแต่งกายสตรีด้วยแรงบันดาลใจจากชาติพันธุ์ไทลื้อ</t>
  </si>
  <si>
    <t>ผู้ช่วยศาสตราจารย์ ดร.ชนกนาถ มะยูโซ๊ะ</t>
  </si>
  <si>
    <t>10968/2565</t>
  </si>
  <si>
    <t>การพัฒนาผลิตภัณฑ์ ภาชนะจากหญ้าแฝก</t>
  </si>
  <si>
    <t>อาจารย์ ดร.ภานุ พัฒนปณิธิพงศ์ 80%</t>
  </si>
  <si>
    <t>11005/2565</t>
  </si>
  <si>
    <t>รองศาสตราจารย์ ดร.รจนา จันทราสา 20%</t>
  </si>
  <si>
    <t>ลวดลายจากงานศิลปกรรมในเกาะรัตนโกสินทร์ สู่การออกแบบสิ่งทอที่สามารถสะท้อนอัตลักษณ์และสร้างมูลค่าเพิ่มด้วยแนวคิดเศรษฐกิจสร้างสรรค์</t>
  </si>
  <si>
    <t>ผู้ช่วยศาสตราจารย์ สุวิธธ์ สาดสังข์ 40%</t>
  </si>
  <si>
    <t>งป 11072/2565</t>
  </si>
  <si>
    <t>อาจารย์ ดร.เตือนตา พรมุตตาวรงค์ 30%</t>
  </si>
  <si>
    <t>การถ่ายทอดเทคโนโลยีการแปรรูป สาหร่าย วัชพืชในนากุ้ง เป็นวัสดุสำหรับการออกแบบผลิตภัณฑ์ที่เป็นมิตรต่อสิ่งแวดล้อม ชุมชนแพรกหนามแดง อำเภออัมพวา จังหวัดสมุทรสงคราม</t>
  </si>
  <si>
    <t>อาจารย์ ดร.ภานุ พัฒนปณิธพงศ์ 60%</t>
  </si>
  <si>
    <t>สัญญาเลขที่ N71B650097</t>
  </si>
  <si>
    <t>ผู้ช่วยศาสตราจารย์นภดล สังวาลเพ็ชร 20%</t>
  </si>
  <si>
    <t>ผลิตภัณฑ์จากปูนขาวสำหรับปรับสภาพดิน</t>
  </si>
  <si>
    <t>ผศ.นภดล สังวาลเพ็ชร</t>
  </si>
  <si>
    <t>10969/2565</t>
  </si>
  <si>
    <t>กระดาษจากต้นกล้วยไม้ตัดดอก</t>
  </si>
  <si>
    <t>11002/2565</t>
  </si>
  <si>
    <t>โครงการออกแบบกระเป๋าสุภาพสตรีจากกาบมะพร้าวแรงบันดาลใจผัดกะเพรา</t>
  </si>
  <si>
    <t>อาจารย์ ดร.ณิชานันทน์ เสริมศรี</t>
  </si>
  <si>
    <t>11527/2565</t>
  </si>
  <si>
    <t>ชุดรับประทานอาหารกลางแจ้งจากเสื่อต้นกก</t>
  </si>
  <si>
    <t>รศ.ดร.รจนา จันทราสา 80%</t>
  </si>
  <si>
    <t>10967/2565</t>
  </si>
  <si>
    <t>อาจารย์ ดร.ภานุ พัฒนปณิธิพงศ์ 20%</t>
  </si>
  <si>
    <t>โครงการการจัดการเรียนการสอนแบบออนไลน์ในสถานะการณ์การแพร่ระบาดไวรัสโควิด-๑๙ ของหลักสูตรศิลปกรรมศาสตร์บัณฑิต สาขาวิชาศิลปกะการแสดง (นาฏศิลป์ไทย) คณะศิลปกรรมศษสตร์ มหาวิทยาลัยราชภัฏสวนสุนันทา</t>
  </si>
  <si>
    <t>ผศ.ดร.มณิศา วศินารมณ์ 60%</t>
  </si>
  <si>
    <t>01/2565</t>
  </si>
  <si>
    <t>ผศ.ดร.ผกามาศ จิรจารุภัทร 10%</t>
  </si>
  <si>
    <t>อาจารย์ วุฒิชัย ค้าทวี 10%</t>
  </si>
  <si>
    <t>อาจารย์ รติพัทธ์ ศิริพงษ์ 10%</t>
  </si>
  <si>
    <t>อาจารย์ มนัญชยา เพชรูจี 10%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</si>
  <si>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</si>
  <si>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 xml:space="preserve">
</t>
  </si>
  <si>
    <t xml:space="preserve">อาจารย์ ดร.สิริกร อมฤตวาริน 70%
</t>
  </si>
  <si>
    <t xml:space="preserve"> บัณฑิตวิทยาลัย (กลุ่มมนุษยศาสตร์ฯ)
</t>
  </si>
  <si>
    <t>10864/2565</t>
  </si>
  <si>
    <t xml:space="preserve">ศาสตราจารย์ นพ.สรรใจ แสงวิเชียร 10%
</t>
  </si>
  <si>
    <t xml:space="preserve"> บัณฑิตวิทยาลัย (กลุ่มวิทยาศาสตร์ฯ)
</t>
  </si>
  <si>
    <t xml:space="preserve">อาจารย์ นพ.วิชัย โชควิวัฒน 10%
</t>
  </si>
  <si>
    <t xml:space="preserve">ผู้ช่วยศาสตราจารย์ ดร.พท.ป.ศุภะลักษณ์ ฟักคำ 10%
</t>
  </si>
  <si>
    <t>โครงการการพัฒนาผลิตภัณฑ์สบู่สมุนไพรดอกบัวแดง จังหวัดอุดรธานี</t>
  </si>
  <si>
    <t xml:space="preserve">อาจารย์ ดร.สิริกร อมฤตวาริน  70%
</t>
  </si>
  <si>
    <t>10930/2565</t>
  </si>
  <si>
    <t xml:space="preserve"> บัณฑิตวิทยาลัย (กลุ่มวิทยาศาสตร์ฯ)</t>
  </si>
  <si>
    <t xml:space="preserve">ผู้ช่วยศาสตราจารย์ ดร.พท.ป.ศุภะลักษณ์ ฟักคำ  10%
</t>
  </si>
  <si>
    <t>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</si>
  <si>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 xml:space="preserve">ศาสตราจารย์ นพ.สรรใจ แสงวิเชียร 50%
</t>
  </si>
  <si>
    <t>10919/2565</t>
  </si>
  <si>
    <t xml:space="preserve">ผู้ช่วยศาสตราจารย์ ดร.พท.ป.ศุภะลักษณ์ ฟักคำ  20%
</t>
  </si>
  <si>
    <t>การส่งเสริมผลิตภัณฑ์และสินค้าชุมชนเพื่อการตลาดออนไลน์ในวิถี New normal ในจังหวัดอุดรธานี</t>
  </si>
  <si>
    <t>พ.ต.อ.นพดล บุรณนัฏ 50%</t>
  </si>
  <si>
    <t>10917/2565</t>
  </si>
  <si>
    <t>อาจารย์ ดร.สุมาลี มีพงษ์ 10%</t>
  </si>
  <si>
    <t>อาจารย์ ดร.พลอมร ธรรมประทีป 10%</t>
  </si>
  <si>
    <t>อาจารย์ ดร. ปัญญารัตน์ ปานทอง 10%</t>
  </si>
  <si>
    <t>อาจารย์ ดร.ชยภรณ์ ธนาบริบูรณ์ 10%</t>
  </si>
  <si>
    <t>ผู้ช่วยศาสตราจารย์ วินัย หมั่นคติธรรม 10%</t>
  </si>
  <si>
    <t>การพัฒนาผลิตภัณฑ์จากวัตถุดิบในท้องถิ่นของจังหวัดอุดรธานี</t>
  </si>
  <si>
    <t>10928/2565</t>
  </si>
  <si>
    <t>ผู้ช่วยศาสตราจารย์ ดร.สุคนธ์ เครือน้ำคำ 10%</t>
  </si>
  <si>
    <t>บัณฑิตวิทยาลัย (กลุ่มมนุษยศาสตร์ฯ)</t>
  </si>
  <si>
    <t>อาจารย์ ดร.สาโรจน์ วสุวานิช 10%</t>
  </si>
  <si>
    <t>อาจารย์ ดร. อวัสดา ปกมนตรี 10%</t>
  </si>
  <si>
    <t>อาจารย์ ดร.เกรียงศักดิ์ แสงสว่าง 10%</t>
  </si>
  <si>
    <t>อาจารย์ ดร.สุมาลี ศรีสุภรวาณิชย์ย์ 10%</t>
  </si>
  <si>
    <t>กระบวนการส่งเสริมและพัฒนาผลิตภาพแรงงานสูงอายุนอกระบบในเขตเทศบาลตำบลสามโคก อำเภอสามโคก จังหวัดปทุมธานี ในสถานการณ์การแพร่ระบาดของโรคโควิด 19</t>
  </si>
  <si>
    <t>ผู้ช่วยศาสตราจารย์ ดร.สุดาวรรณ สมใจ</t>
  </si>
  <si>
    <t>10998/2565</t>
  </si>
  <si>
    <t xml:space="preserve"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จังหวัดชายแดนใต้ </t>
  </si>
  <si>
    <t>กองอำนวยการรักษาความมั่นคงภายในราชอาณาจักร</t>
  </si>
  <si>
    <t>อาจารย์ ดร.เมธา หริมเทพาธิป</t>
  </si>
  <si>
    <t>สัญญาจ้างเลขที่ 6/2565</t>
  </si>
  <si>
    <t>การพัฒนาผลิตภัณฑ์นิสตเซรั่มวิบวับด้วยเกลือหิมาลายัน</t>
  </si>
  <si>
    <t>บริษัท โว้ค อัพ ทาวน์ จำกัด</t>
  </si>
  <si>
    <t>ผู้ช่วยศาสตราจารย์ ดร.ณัฐณภรณ์ เอกนราจินดาวัฒน์ 50%</t>
  </si>
  <si>
    <t>สัญญาเลขที่ 1/2565</t>
  </si>
  <si>
    <t>อาจารย์ ดร.ดำเกิง อัศวสุนทรางกุล  25%</t>
  </si>
  <si>
    <t>ศูนย์การศึกษาจังหวัดอุดรธานี (วิทยาลัยการเมืองฯ)</t>
  </si>
  <si>
    <t>อาจารย์ ดร.ณัฏฐชัย เอกนราจินดาวัฒน์  25%</t>
  </si>
  <si>
    <t>การพัฒนาผลิตภัณฑ์เจลลี่มะขามป้อมด้วยนวัตกรรม Syrinx (ไซนิกซ์)</t>
  </si>
  <si>
    <t>บริษัท เอสซีจี แกรนด์ จำกัด</t>
  </si>
  <si>
    <t>ผู้ช่วยศาสตราจารย์ ดร.ณัฐณภรณ์ เอกนราจินดาวัฒน์  65%</t>
  </si>
  <si>
    <t>อาจารย์ ดร.ณัฏฐชัย เอกนราจินดาวัฒน์  15%</t>
  </si>
  <si>
    <t>อาจารย์ศุภกานต์ โสภาพร  10%</t>
  </si>
  <si>
    <t>อาจารย์ธีรารัตน์ อำนาจเจริญ  10%</t>
  </si>
  <si>
    <t>ศูนย์การศึกษาจังหวัดอุดรธานี (วิทยาลัยการจัดการอุตสาหกรรมฯ)</t>
  </si>
  <si>
    <t>รูปแบบการพัฒนาคุณภาพชีวิตในการทำงานของแรงงานสูงวัยนอกระบบในเขตเทศบาลเมืองคลองหลวง อำเภอคลองหลวง จังหวัดปทุมธานี ในสถานการณ์การแพร่ระบาดของโรคโควิด 19</t>
  </si>
  <si>
    <t>อาจารย์ ดร.สโรชินี ศิริวัฒนา</t>
  </si>
  <si>
    <t xml:space="preserve"> บัณฑิตวิทยาลัย</t>
  </si>
  <si>
    <t>10997/2565</t>
  </si>
  <si>
    <t>การพัฒนาผลิตภัณฑ์กาแฟสำเร็จรูปผสมมะขามแดง</t>
  </si>
  <si>
    <t>ผศ.ดร.ณัฐณภรณ์ เอกนราจินดาวัฒน์ 70%</t>
  </si>
  <si>
    <t>11004/2565</t>
  </si>
  <si>
    <t>อาจารย์ ดร.ณัฏฐชัย เอกนราจินดาวัฒน์ 30%</t>
  </si>
  <si>
    <t>ศูนย์การศึกษาจังหวัดอุดรธานี</t>
  </si>
  <si>
    <t>การพัฒนาพื้นที่ท่องเที่ยวเชิงประวัติศาสตร์และวัฒนธรรมเพื่อการแข่งขันเชิงธุรกิจของจังหวัดอุดรธานี</t>
  </si>
  <si>
    <t xml:space="preserve">อาจารย์ ดร.ชญานันท์ เกิดพิทักษ์ 45%
</t>
  </si>
  <si>
    <t xml:space="preserve"> วิทยาลัยนวัตกรรมและการจัดการ
</t>
  </si>
  <si>
    <t>งป 11128/2565</t>
  </si>
  <si>
    <t xml:space="preserve">รองศาสตราจารย์ ดร. ชุติกาญจน์ ศรีวิบูลย์ 20%
</t>
  </si>
  <si>
    <t xml:space="preserve">รองศาสตราจารย์ ดร. บัณฑิต ผังนิรันดร์ 15%
</t>
  </si>
  <si>
    <t xml:space="preserve">อาจารย์นภัสสร เกิดพิทักษ์ 10%
</t>
  </si>
  <si>
    <t>การพัฒนาการตลาดเชิงรุกเพื่อการแข่งขันเชิงธุรกิจของการท่องเที่ยวเชิง ประวัติศาสตร์และวัฒนธรรมของจังหวัดอุดรธานี</t>
  </si>
  <si>
    <t xml:space="preserve">
</t>
  </si>
  <si>
    <t xml:space="preserve">อาจารย์ ดร.ชญานันท์ เกิดพิทักษ์  50%
</t>
  </si>
  <si>
    <t>งป 11170/2565</t>
  </si>
  <si>
    <t>อาจารย์นภัสสร เกิดพิทักษ์ 15%</t>
  </si>
  <si>
    <t>อาจารย์ธีรพงศ์ พงษ์เพ็ง 15%</t>
  </si>
  <si>
    <t>อาจารย์ ดร.วิไลลักษณ์ รักบำรุง 5%</t>
  </si>
  <si>
    <t>อาจารย์ ดร.นธายุ วันทยะกุล 5%</t>
  </si>
  <si>
    <t>ผู้ช่วยศาสตราจารย์วีระ โชติธรรมาภรณ์ 5%</t>
  </si>
  <si>
    <t>อาจารย์สกุล จริยาแจ่มสิทธิ์ 5%</t>
  </si>
  <si>
    <t>ศักยภาพการจัดการการท่องเที่ยวเชิงนิเวศและเชิงสุขภาพของวิสาหกิจชุมชนในจังหวัดระนอง</t>
  </si>
  <si>
    <t xml:space="preserve">อาจารย์ ดร.ศิริญญา ศิริญานันท์ 80%
</t>
  </si>
  <si>
    <t>10647/2565</t>
  </si>
  <si>
    <t>ผู้ช่วยศาสตราจารย์ พิเศษ พันเอก ดร.วัลลภ พิริยวรรธนะ 5%</t>
  </si>
  <si>
    <t>วิทยาลัยการเมืองและการปกครอง</t>
  </si>
  <si>
    <t>อาจารย์ธวัช พุ่มดารา 5%</t>
  </si>
  <si>
    <t>อาจารย์บริบูรณ์ ฉลอง 5%</t>
  </si>
  <si>
    <t>ผู้ช่วยศาสตราจารย์ ดร.จักรวาล สุขไมตรี 5%</t>
  </si>
  <si>
    <t>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</si>
  <si>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 xml:space="preserve">อาจารย์ปัณณิกา โพธิเวชเทวัญ 5%
</t>
  </si>
  <si>
    <t>10753/2565</t>
  </si>
  <si>
    <t>ผู้ช่วยศาสตราจารย์อาภาภรณ์ โพธิ์กระจ่าง 25%</t>
  </si>
  <si>
    <t>ผู้ช่วยศาสตราจารย์อภิญญา วิเศษสิงห์ 70%</t>
  </si>
  <si>
    <t>นวัตกรรมการส่งเสริมการขายสำหรับวิสาหกิจชุมชนรายย่อยในจังหวัดสมุทรสงคราม</t>
  </si>
  <si>
    <t xml:space="preserve">อาจารย์ ดร.ธงไชย สุรินทร์วรางกูร 60%
</t>
  </si>
  <si>
    <t>10554/2565</t>
  </si>
  <si>
    <t>อาจารย์ ดร.สุธา พงศ์ถาวรภิญโญ 5%</t>
  </si>
  <si>
    <t>ผู้ช่วยศาสตราจารย์วรางคณา จิตราภัณฑ์ 5%</t>
  </si>
  <si>
    <t>ผู้ช่วยศาสตราจารย์อภิญญา วิเศษสิงห์ 5%</t>
  </si>
  <si>
    <t>ผู้ช่วยศาสตราจารย์ ดร.สมภูมิ แสวงกุล 5%</t>
  </si>
  <si>
    <t>อาจารย ดร.ลดาพร พิทักษ์ 5%</t>
  </si>
  <si>
    <t>ผู้ช่วยศาสตราจารย์ชิโนรส ถิ่นวิไลสกุล 5%</t>
  </si>
  <si>
    <t>ผู้ช่วยศาสตราจารย์พยนต์ธร สำเร็จกิจเจริญ 5%</t>
  </si>
  <si>
    <t>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</si>
  <si>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 xml:space="preserve">อาจารย์ ดร.กัญญ์รัชการย์ เลิศอมรศักดิ์ 20%
</t>
  </si>
  <si>
    <t>10577/2565</t>
  </si>
  <si>
    <t>ผู้ช่วยศาสตราจารย์ ดร.วิจิตรา ศรีสอน 10%</t>
  </si>
  <si>
    <t>อาจารย์สัณหณัฐ จักรภัทรวงศ์ 50%</t>
  </si>
  <si>
    <t>ผู้ช่วยศาสตราจารย์ พิเศษ พล.ต.ท.ดร.สัณฐาน ชยนนท์ 20%</t>
  </si>
  <si>
    <t>การออกแบบและพัฒนาบรรจุภัณฑ์เพื่อสอดคล้องกับอัตลักษณ์ของชุมชน</t>
  </si>
  <si>
    <t xml:space="preserve">ผู้ช่วยศาสตราจารย์หทัยพันธน์ สุนทรพิพิธ 80%
</t>
  </si>
  <si>
    <t>10858/2565</t>
  </si>
  <si>
    <t>อาจารย์บริบูรณ์ ฉลอง 20%</t>
  </si>
  <si>
    <t>การพัฒนาแอปพลิเคชันเพื่อส่งเสริมการท่องเที่ยวหัวหิน</t>
  </si>
  <si>
    <t xml:space="preserve">อาจารย์กษิติธร อัศวพงศ์วาณิช </t>
  </si>
  <si>
    <t>10734/2565</t>
  </si>
  <si>
    <t>นวัตกรรมผลิตภัณฑ์ต้นแบบกับกระบวน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</si>
  <si>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 ชุติกาญจน์ ศรีวิบูลย์</t>
  </si>
  <si>
    <t>งป 11026/2565</t>
  </si>
  <si>
    <t>นวัตกรรมการตลาดดิจิทัลสำหรับผลิตภัณฑ์ต้นแบบเชื่อมโยงการท่องเที่ยวสปาสร้างสรรค์บนฐาน ภูมิปัญญาท้องถิ่นและวัฒนธรรมจังหวัดระนอง</t>
  </si>
  <si>
    <t>อาจารย์อทิตยา บัวศรี</t>
  </si>
  <si>
    <t>งป 11036/2565</t>
  </si>
  <si>
    <t>การยกระดับการท่องเที่ยว Green Travel จังหวัดอุดรธานี เพื่อสร้างความพร้อมด้านมาตรฐานสินค้าและบริการสู่การเพิ่มขีดความสามารถในการแข่งขันได้อย่างยั่งยืน</t>
  </si>
  <si>
    <t>งป 11037/2565</t>
  </si>
  <si>
    <t>การตลาดเชิงกลยุทธ์ของการท้องเที่ยวสีเขียว (Green Tourism) จังหวัดอุดรธานี เพื่อสร้างความพร้อมสู่การเพิ่มขีดความสามารถในการแข่งขัน</t>
  </si>
  <si>
    <t xml:space="preserve">รองศาสตราจารย์ ดร. ชุติกาญจน์ ศรีวิบูลย์ 80%
</t>
  </si>
  <si>
    <t>งป 11047/2565</t>
  </si>
  <si>
    <t>อาจารย์อทิตยา บัวศรี 20%</t>
  </si>
  <si>
    <t>นวัตกรรมการตลาดดิจิทัลและการวางแผนการฝึกซ้อมตามหลักการยศาสตร สู่การพัฒนาศักยภาพด้านร่างกายนักกีฬาอีสปอร์ต</t>
  </si>
  <si>
    <t xml:space="preserve">อาจารย์อทิตยา บัวศรี 90%
</t>
  </si>
  <si>
    <t>งป 11050/2565</t>
  </si>
  <si>
    <t>อาจารย์พาโชค เลิศอัศวภัทร 5%</t>
  </si>
  <si>
    <t>อาจารย์นฤมล ชมโฉม 5%</t>
  </si>
  <si>
    <t>การพัฒนาสมรรถนะเยาวชนด้วยการฝึกอบรม สู่อาชีพใหม่และนักกีฬาอีสปอร์ตมืออาชีพ</t>
  </si>
  <si>
    <t xml:space="preserve">รองศาสตราจารย์ ดร. ชุติกาญจน์ ศรีวิบูลย์ 85%
</t>
  </si>
  <si>
    <t>งป 11051/2565</t>
  </si>
  <si>
    <t>อาจารย์นภัสกร ทรัพย์เฟื่องฟู 5%</t>
  </si>
  <si>
    <t>ผู้ช่วยศาสตราจารย์ ดร.บัณฑิต ผังนิรันดร์ 5%</t>
  </si>
  <si>
    <t>ผู้ช่วยศาสตราจารย์ ดร.ณัฐพงษ์ เตชะรัตนเสฏฐ์ 5%</t>
  </si>
  <si>
    <t>การพัฒนานวัตกรรมเชิงพื้นที่เพื่อยกระดับเศรษฐกิจฐานรากของชุมชนในจังหวัดสมุทรสงคราม</t>
  </si>
  <si>
    <t xml:space="preserve">ผู้ช่วยศาสตราจารย์ ดร.ชลภัสสรณ์ สิทธิวรงค์ชัย 60%
</t>
  </si>
  <si>
    <t>งป 11107/2565</t>
  </si>
  <si>
    <t>ผู้ช่วยศาสตราจารย์ ดร.ปรเมษฐ์ แสงอ่อน 10%</t>
  </si>
  <si>
    <t>อาจารย์สุวิตา พฤกษอาภรณ์ 10%</t>
  </si>
  <si>
    <t>อาจารย์ ดร.ดวงพร แสงทอง 10%</t>
  </si>
  <si>
    <t>การพัฒนากลยุทธ์การตลาดการท่องเที่ยว เพื่อเพิ่มประสิทธิภาพการท่องเที่ยวชุมชน สู่การยกระดับเศรษฐกิจฐานรากของจังหวัดสมุทรสงคราม</t>
  </si>
  <si>
    <t xml:space="preserve">ผู้ช่วยศาสตราจารย์ ดร.ชุมพล รอดแจ่ม 60%
</t>
  </si>
  <si>
    <t>งป 11109/2565</t>
  </si>
  <si>
    <t>รองศาสตราจารย์ ดร. ชุติกาญจน์ ศรีวิบูลย์ 10%</t>
  </si>
  <si>
    <t>อาจารย์ปัญญดา จันทกิจ 10%</t>
  </si>
  <si>
    <t>อาจารย์วรีญา คลังแสง 10%</t>
  </si>
  <si>
    <t>การยกระดับคุณภาพผลิตภัณฑ์ เพื่อสร้างมูลค่าเพิ่มของผลิตภัณฑ์ภูมิปัญญาท้องถิ่นในจังหวัดสมุทรสงคราม สู่เศรษฐกิจดิจิทัล</t>
  </si>
  <si>
    <t xml:space="preserve">อาจารย์ ดร.พนิดา นิลอรุณ 50%
</t>
  </si>
  <si>
    <t>งป 11110/2565</t>
  </si>
  <si>
    <t>ผู้ช่วยศาสตราจารย์ ดร.ชลภัสสรณ์ สิทธิวรงค์ชัย 20%</t>
  </si>
  <si>
    <t>อาจารย์ภาณุพงศ์ จันทน์ผลิน 10%</t>
  </si>
  <si>
    <t>อาจารย์รติรัตน์ ณ สงขลา 10%</t>
  </si>
  <si>
    <t>นวัตกรรมการพัฒนาเชิงพื้นที่เพื่อยกระดับเศรษฐกิจฐานรากของชุมชน สู่การสร้างมูลค่าเพิ่มของผลิตภัณฑ์ด้วยทุนทางวัฒนธรรมเพื่อเสริมสร้างการท่องเที่ยวชุมชนในจังหวัดสมุทรสงคราม</t>
  </si>
  <si>
    <t xml:space="preserve">ผู้ช่วยศาสตราจารย์ ดร.ชลภัสสรณ์ สิทธิวรงค์ชัย  70%
</t>
  </si>
  <si>
    <t>งป 11112/2565</t>
  </si>
  <si>
    <t>ผู้ช่วยศาสตราจารย์ ดร.ชุมพล รอดแจ่ม 10%</t>
  </si>
  <si>
    <t>อาจารย์ ดร.พนิดา นิลอรุณ 10%</t>
  </si>
  <si>
    <t>รูปแบบการจัดการเทคโนโลยีเพื่อกำหนดความสามารถทางการรองรับนักท่องเที่ยว ของจังหวัดสมุทรสงคราม</t>
  </si>
  <si>
    <t xml:space="preserve">ผู้ช่วยศาสตราจารย์เอกณรงค์ วรสีหะ 75%
</t>
  </si>
  <si>
    <t>งป 11113/2565</t>
  </si>
  <si>
    <t>อาจารย์จิราภรณ์ บุญยิ่ง 5%</t>
  </si>
  <si>
    <t>อาจารย์เย็นจิต คงปาน 5%</t>
  </si>
  <si>
    <t>ผู้ช่วยศาสตราจารย์ ดร.พลัง วงษ์ธนสุภรณ์ 5%</t>
  </si>
  <si>
    <t>อาจารย์วรีญา คลังแสง 5%</t>
  </si>
  <si>
    <t>รูปแบบการพัฒนาผลิตภัณฑ์ท้องถิ่นโดยการผสมผสานทุนทางวัฒนธรรมเพื่อเพิ่มศักยภาพเศรษฐกิจชุมชน ของจังหวัดสมุทรสงคราม</t>
  </si>
  <si>
    <t xml:space="preserve">อาจารย์ ดร.พนิดา นิลอรุณ 60%
</t>
  </si>
  <si>
    <t>งป 11115/2565</t>
  </si>
  <si>
    <t>อาจารย์ ดร.ภูดิศ​ นอขุนทด 25%</t>
  </si>
  <si>
    <t>อาจารย์จิราภรณ์ บุญยิ่ง 10%</t>
  </si>
  <si>
    <t>การพัฒนาแหล่งท่องเที่ยวใหม่เพื่อส่งเสริมการท่องเที่ยววิถีวัฒนธรรมเพื่อยกระดับเศรษฐกิจท้องถิ่น ของจังหวัดสมุทรสงคราม</t>
  </si>
  <si>
    <t xml:space="preserve">อาจารย์จิราภรณ์ บุญยิ่ง 70%
</t>
  </si>
  <si>
    <t>งป 11116/2565</t>
  </si>
  <si>
    <t>ผู้ช่วยศาสตราจารย์เอกณรงค์ วรสีหะ  5%</t>
  </si>
  <si>
    <t>ผู้ช่วยศาสตราจารย์ ดร.ชุมพล รอดแจ่ม  5%</t>
  </si>
  <si>
    <t>การพัฒนาแหล่งท่องเที่ยวใหม่ด้วยทุนทางวัฒนธรรม ของจังหวัดสมุทรสงคราม</t>
  </si>
  <si>
    <t xml:space="preserve">อาจารย์ ดร.จิราภรณ์ บุญยิ่ง 70%
</t>
  </si>
  <si>
    <t>งป 11118/2565</t>
  </si>
  <si>
    <t>รองศาสตราจารย์ ดร.บัณฑิต ผังนิรันดร์ 5%</t>
  </si>
  <si>
    <t>ผู้ช่วยศาสตราจารย์เอกณรงค์ วรสีหะ 5%</t>
  </si>
  <si>
    <t>ผู้ช่วยศาสตราจารย์ ดร.ปรเมษฐ์ แสงอ่อน 5%</t>
  </si>
  <si>
    <t>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ในการเชื่อมโยงเครือข่ายเส้นทางแหล่งท่องเที่ยวเชิงเกษตรตามศาสตร์พระราชา จังหวัดสมุทรสงคราม</t>
  </si>
  <si>
    <t xml:space="preserve">อาจารย์ปัญญดา จันทกิจ 50%
</t>
  </si>
  <si>
    <t>งป 11120/2565</t>
  </si>
  <si>
    <t>ผู้ช่วยศาสตราจารย์ ดร.ชุมพล รอดแจ่ม 40%</t>
  </si>
  <si>
    <t>อาจารย์ ดร.จิราภรณ์ บุญยิ่ง  10%</t>
  </si>
  <si>
    <t>การพัฒนาวิสาหกิจชุมชนท่องเที่ยวเชิงเกษตรและเครือข่ายแม่บ้านเกษตรกรให้มีขีดความสามารถในการพัฒนาทรัพยากรมนุษย์เพื่อยกระดับเศรษฐกิจชุมชนตามศาสตร์พระราชา จังหวัดสมุทรสงคราม</t>
  </si>
  <si>
    <t>ผู้ช่วยศาสตราจารย์ ดร. ชุมพล รอดแจ่ม 80%</t>
  </si>
  <si>
    <t>งป 11122/2565</t>
  </si>
  <si>
    <t>ผู้ช่วยศาสตราจารย์ ดร. จักรวาล สุขไมตรี 10%</t>
  </si>
  <si>
    <t>การส่งเสริมและพัฒนาขีดความสามารถในการผลิตสินค้าและบริการทางการเกษตรของวิสาหกิจชุมชนและเครือข่ายแม่บ้านเกษตรกรตามศาสตร์พระราชา จังหวัดสมุทรสงคราม</t>
  </si>
  <si>
    <t xml:space="preserve">ผู้ช่วยศาสตราจารย์ ดร.ชลภัสสรณ์ สิทธิวรงค์ชัย 50%
</t>
  </si>
  <si>
    <t>งป 11123/2565</t>
  </si>
  <si>
    <t>ผู้ช่วยศาสตราจารย์ ดร.ชุมพล รอดแจ่ม 30%</t>
  </si>
  <si>
    <t>ผู้ช่วยศาสตราจารย์ ดร.จักรวาล สุขไมตรี 10%</t>
  </si>
  <si>
    <t xml:space="preserve"> วิทยาลัยการเมืองและการปกครอง
</t>
  </si>
  <si>
    <t>นวัตกรรม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ตามศาสตร์พระราชาของจังหวัดสมุทรสงคราม</t>
  </si>
  <si>
    <t>ผู้ช่วยศาสตราจารย์ ดร.ชุมพล รอดแจ่ม</t>
  </si>
  <si>
    <t>งป 11124/2565</t>
  </si>
  <si>
    <t>การสร้างแบรนด์ชุมชนและแบรนด์ผลิตภัณฑ์ชุมชนเพื่อการแข่งขันเชิงธุรกิจของการท่องเที่ยวเชิงประวัติศาสตร์และวัฒนธรรมของจังหวัดอุดรธานี</t>
  </si>
  <si>
    <t xml:space="preserve">รองศาสตราจารย์ ดร. ชุติกาญจน์ ศรีวิบูลย์ 50%
</t>
  </si>
  <si>
    <t xml:space="preserve"> วิทยาลัยนวัตกรรมและการจัดการ
 </t>
  </si>
  <si>
    <t>งป 11126/2565</t>
  </si>
  <si>
    <t>ผู้ช่วยศาสตราจารย์ ดร. สุพัตรา ปราณี 10%</t>
  </si>
  <si>
    <t>อาจารย์ นภัสสร เกิดพิทักษ์ 10%</t>
  </si>
  <si>
    <t>อาจารย์ ธีรพงศ์ พงษ์เพ็ง 10%</t>
  </si>
  <si>
    <t>อาจารย์ นฤมล ชมโฉม 10%</t>
  </si>
  <si>
    <t>การพัฒนา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</si>
  <si>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ดร.พนิดา นิลอรุณ  70%
</t>
  </si>
  <si>
    <t xml:space="preserve"> วิทยาลัยนวัตกรรมและการจัดการ
</t>
  </si>
  <si>
    <t>งป 11155/2565</t>
  </si>
  <si>
    <t>อาจารย์ วีระพล วิชญานุภาพ 5%</t>
  </si>
  <si>
    <t>อาจารย์ รติรัตน์ ณ สงขลา 5%</t>
  </si>
  <si>
    <t>อาจารย์ สุวิตา พฤกษอาภรณ์ 5%</t>
  </si>
  <si>
    <t>อาจารย์ วรีญา คลังแสง 5%</t>
  </si>
  <si>
    <t>ผู้ช่วยศาสตราจารย์ ดร.ชุมพล รอดแจ่ม 5%</t>
  </si>
  <si>
    <t>การพัฒนาผลิตภัณฑ์และบรรจุภัณฑ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</si>
  <si>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 วิทยาลัยนวัตกรรมและการจัดการ
 </t>
  </si>
  <si>
    <t>งป 11156/2565</t>
  </si>
  <si>
    <t>อาจารย์ จิรวัฒน์ สุดสวาท 5%</t>
  </si>
  <si>
    <t>วิทยาลัยสหเวชศาสตร์</t>
  </si>
  <si>
    <t>อาจารย์ ดร.จิราภรณ์ บุญยิ่ง 5%</t>
  </si>
  <si>
    <t>การพัฒนากลยุทธ์การตลาดเชิงรุกและการประชาสัมพันธ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</si>
  <si>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วรีญา คลังแสง 65%
</t>
  </si>
  <si>
    <t>งป 11157/2565</t>
  </si>
  <si>
    <t>การพัฒนาผลิตภัณฑ์ชุมชนเพื่อส่งเสริมท่องเที่ยวเชิงสุขภาพ ในจังหวัดระนอง</t>
  </si>
  <si>
    <t xml:space="preserve">รองศาสตราจารย์ ดร.กัญญามน กาญจนาทวีกูล 60%
</t>
  </si>
  <si>
    <t>งป 11158/2565</t>
  </si>
  <si>
    <t>อาจารย์ ดร.วรรณพร พุทธภูมิพิทักษ์ 20%</t>
  </si>
  <si>
    <t>อาจารย์ ดร.เปรมกมล จันทร์กวีกูล 10%</t>
  </si>
  <si>
    <t>อาจารข์ ดร.ศิริญญา ศิริญานันท์ 10%</t>
  </si>
  <si>
    <t>การพัฒนาผลิตภัณฑ์ชุมชนที่โดดเด่นเพื่อส่งเสริมการค้าระหว่างประเทศของ 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</si>
  <si>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รติรัตน์ ณ สงขลา 80%
</t>
  </si>
  <si>
    <t>งป 11160/2565</t>
  </si>
  <si>
    <t>อาจารย์ สุวิตา พฤกษอาภรณ์5%</t>
  </si>
  <si>
    <t>การพัฒนาคุณภาพและขอรับรองมาตรฐานของผลิตภัณฑ์สินค้าประมงพื้นบ้านในจังหวัดระนอง</t>
  </si>
  <si>
    <t xml:space="preserve">ผู้ช่วยศาสตราจารย์ ดร.ปรเมษฐ์ แสงอ่อน  50%
</t>
  </si>
  <si>
    <t>งป 11162/2565</t>
  </si>
  <si>
    <t>ผู้ช่วยศาสตราจารย์ ดร.สุพัตรา ปราณี 50%</t>
  </si>
  <si>
    <t>การยกระดับเศรษฐกิจชุมชนเพื่อส่งเสริมการท่องเที่ยวเชิงสุขภาพ จังหวัดระนอง</t>
  </si>
  <si>
    <t xml:space="preserve">ผู้ช่วยศาสตราจารย์ ดร.ปรเมษฐ์ แสงอ่อน 55%
</t>
  </si>
  <si>
    <t>งป 11164/2565</t>
  </si>
  <si>
    <t>รองศาสตราจารย์ ดร.กัญญามน กาญจนาทวีกูล 15%</t>
  </si>
  <si>
    <t>อาจารย์ ดร.วรรณพร พุทธภูมิพิทักษ์ 15%</t>
  </si>
  <si>
    <t>อาจารย์ ดร.เปรมกมล จันทร์กวีกูล 5%</t>
  </si>
  <si>
    <t>อาจารย์ ดร.ศิริญญา ศิริญานันท์ 5%</t>
  </si>
  <si>
    <t>การพัฒนาผลิตภัณฑ์และบรรจุภัณฑ์สินค้าประมงพื้นบ้านเพื่อเพิ่มมูลค่าผลิตภัณฑ์ในจังหวัดระนอง</t>
  </si>
  <si>
    <t xml:space="preserve">อาจารย์ ณธกร คุ้มเพชร 65%
</t>
  </si>
  <si>
    <t>งป 11166/2565</t>
  </si>
  <si>
    <t>รองศาสตราจารย์ ดร. บัณฑิต ผังนิรันดร์ 5%</t>
  </si>
  <si>
    <t>ผู้ช่วยศาสตราจารย์ ดร.ธนพล ก่อฐานะ 5%</t>
  </si>
  <si>
    <t>อาจารย์ ณิชชา คุ้มเพชรรัฐ 5%</t>
  </si>
  <si>
    <t>วิทยาลัยการจัดการอุตสาหกรรมบริการ</t>
  </si>
  <si>
    <t>ผู้ช่วยศาสตราจารย์ ทวีป พรหมอยู่ 5%</t>
  </si>
  <si>
    <t>อาจารย์วัชรินทร์ แสงมา 5%</t>
  </si>
  <si>
    <t>อาจารย์ จงดี พฤกษารักษ์ 5%</t>
  </si>
  <si>
    <t>การยกระดับผลิตภัณฑ์สินค้าประมงพื้นบ้านเพื่อเพิ่มมูลค่าผลิตภัณฑ์ในจังหวัดระนอง</t>
  </si>
  <si>
    <t xml:space="preserve">ผู้ช่วยศาสตราจารย์ ดร.สุพัตรา ปราณี 85%
</t>
  </si>
  <si>
    <t>งป 11167/2565</t>
  </si>
  <si>
    <t>การพัฒนาตลาดเชิงรุกและประชาสัมพันธ์ผลิตภัณฑ์ประมงพื้นบ้านเพิ่มมูลค่าผลิตภัณฑ์ในจังหวัดระนอง.</t>
  </si>
  <si>
    <t>งป 11168/2565</t>
  </si>
  <si>
    <t>ผู้ช่วยศาสตราจารย์ วิจิตรา ศรีสอน 5%</t>
  </si>
  <si>
    <t>อาจารย์ พรรณนลิน สัชฌุกร 5%</t>
  </si>
  <si>
    <t>อาจารย์ นฤมล ชมโฉม 5%</t>
  </si>
  <si>
    <t>การจัดการตลาดของผลิตภัณฑ์ชุมชนเพื่อการท่องเที่ยวเชิงสุขภาพ ในจังหวัดระนอง</t>
  </si>
  <si>
    <t xml:space="preserve">อาจารย์ ดร.วรรณพร พุทธภูมิพิทักษ์ 60%
</t>
  </si>
  <si>
    <t xml:space="preserve">วิทยาลัยนวัตกรรมและการจัดการ
 </t>
  </si>
  <si>
    <t>งป 11169/2565</t>
  </si>
  <si>
    <t>รองศาสตราจารย์ ดร.กัญญามน กาญจนาทวีกูล 20%</t>
  </si>
  <si>
    <t>ผู้ช่วยศาสตราจารย์ ดร.ปรเมษฐ์ แสงอ่อน 15%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</si>
  <si>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</si>
  <si>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</si>
  <si>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ผู้ช่วยศาสตราจารย์ ดร.สุพัตรา ปราณี 25%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</si>
  <si>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</si>
  <si>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</si>
  <si>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</si>
  <si>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อาจารย์ ดร.พนิดา นิลอรุณ  25%</t>
  </si>
  <si>
    <t>การพัฒนากลยุทธ์ทางการตลาดสำหรับผลิตภัณฑ์ของวิสาหกิจชุมชนกลุ่มแปรรูปข้าวบ้านเชียงกรมสู่สินค้ามาตรฐานเพื่อการท่องเที่ยว</t>
  </si>
  <si>
    <t xml:space="preserve">ผู้ช่วยศาสตราจารย์ ดร.ภัทรวิทย์ อยู่วัฒนะ
</t>
  </si>
  <si>
    <t>10925/2565</t>
  </si>
  <si>
    <t>การจัดการเชิงกลยุทธ์กีฬาอีสปอร์ตในประเทศไทย</t>
  </si>
  <si>
    <t>อาจารย์ ดร.นธายุ วันทยะกุล</t>
  </si>
  <si>
    <t>10971/2565</t>
  </si>
  <si>
    <t>แนวทางการจัดการกีฬาอีสปอร์ตสู่กีฬาอาชีพ สำหรับผู้เล่นหญิง</t>
  </si>
  <si>
    <t xml:space="preserve">	อาจารย์ ดร.ณัฐวุฒิ พลศรี</t>
  </si>
  <si>
    <t>10989/2565</t>
  </si>
  <si>
    <t>การพัฒนาระบบสารสนเทศสำหรับการบริหารจัดการการท่องเที่ยวเชิงสุขภาพเพื่อยกระดับเศรษฐกิจชุมชน จังหวัดระนองในจังหวัดระนอง</t>
  </si>
  <si>
    <t xml:space="preserve">อาจารย์ ดร.วิไลลักษณ์ รักบำรุง 55%
</t>
  </si>
  <si>
    <t>งป 11129/2565</t>
  </si>
  <si>
    <t>รองศาสตราจารย์ ดร.กัญญามน กาญจนาทวีกูล 10%</t>
  </si>
  <si>
    <t>อาจารย์ ดร.วรรณพร พุทธภูมิพิทักษ์ 10%</t>
  </si>
  <si>
    <t>อาจารย์ ดร.เฉลิมพล ทัพซ้าย 5%</t>
  </si>
  <si>
    <t>อาจารย์คัทลียา จันดา 5%</t>
  </si>
  <si>
    <t>การพัฒนาต้นแบบผลิตภัณฑ์ของฝากของที่ระลึกเพื่อการท่องเที่ยววิสาหกิจชุมชนกลุ่มแปรรูปข้าวบ้านเชียงกรมสู่มาตรฐานสินค้า</t>
  </si>
  <si>
    <t>ผู้ช่วยศาสตราจารย์ ดร.ภัทรวิทย์ อยู่วัฒนะ 80%</t>
  </si>
  <si>
    <t>10760/2565</t>
  </si>
  <si>
    <t>ผู้ช่วยศาสตราจารย์ ดร.กมลวรรณ อยู่วัฒนะ 20%</t>
  </si>
  <si>
    <t xml:space="preserve">ผู้ช่วยศาสตราจารย์ ดร.ภัทรวิทย์ อยู่วัฒนะ </t>
  </si>
  <si>
    <t>โครงการศึกษาสภาพปัญหาจากการบังคับใช้พระราชบัญญัติส่งเสริมกีฬาอาชีพ พ.ศ. 2556</t>
  </si>
  <si>
    <t>รองศาสตราจารย์ ดร.บรรจบ ภิรมย์คำ 50%</t>
  </si>
  <si>
    <t>93/2564</t>
  </si>
  <si>
    <t>อาจารย์ ดร.กิตติพงษ์ โพธิมู 15%</t>
  </si>
  <si>
    <t>อาจารย์ ดร.ณัฐวุฒิ พลศรี 15%</t>
  </si>
  <si>
    <t>อาจารย์ ดร.อาชวิทธิ์ เจิงกลิ่นจันทน์ 10%</t>
  </si>
  <si>
    <t>อาจารย์ ดร.ปริญญา ขวัญเมืองวานิช 10%</t>
  </si>
  <si>
    <t>โครงการจ้างดำเนินการส่งเสริมการรู้เท่าทันสื่อของประชาชน</t>
  </si>
  <si>
    <t>กองทุนพัฒนาสื่อปลอดภัยและสร้างสรรค์</t>
  </si>
  <si>
    <t>รองศาสตราจารย์ ดร.กัญญามน กาญจนาทวีกูล 50%</t>
  </si>
  <si>
    <t>25/2565</t>
  </si>
  <si>
    <t>ผู้ช่วยศาสตราจารย์สุปราณี วัฒนสิน 10%</t>
  </si>
  <si>
    <t>อาจารย์ ดร.วรรณพร พุทธภูมิพิทักษ์ 30%</t>
  </si>
  <si>
    <t>การวิเคราะห์เส้นทางความสัมพันธ์เชิงสาเหตุที่มีอิทธิพลต่อการพัฒนาทุนทางเศรษฐกิจท้องถิ่นของวิสาหกิจชุมชนส่งเสริมสร้างตราสินค้าผลิตภัณฑ์ทางการท่องเที่ยว</t>
  </si>
  <si>
    <t>วนก-ส-01/2565</t>
  </si>
  <si>
    <t>การวิเคราะห์เส้นทางความสัมพันธ์เชิงสาเหตุที่มีอิทธิพลต่อการพัฒนาศักยภาพการสร้างมูลค่าเพิ่มในผลิตภัณฑ์ของผู้ประกอบการวิสาหกิจชุมชนส่งเสริมสร้างการพัฒนาเศรษฐกิจชุมชน</t>
  </si>
  <si>
    <t>วนก-ส-02/2565</t>
  </si>
  <si>
    <t>การจัดการความรู้ในการตีพิมพ์เผยแพร่ผลงานวิชาการในวารสารวิชาการนานาชาติ</t>
  </si>
  <si>
    <t>ผู้ช่วยศาสตราจารย์ ดร.ชุมพล รอดแจ่ม 60%</t>
  </si>
  <si>
    <t>วนก-ค-01/2565</t>
  </si>
  <si>
    <t>ผู้ช่วยศาสตราจารย์ ดร.ชลภัสสรณ์ สิทธิวรงค์ชัย 40%</t>
  </si>
  <si>
    <t>การพัฒนาเอกลักษณ์ลวดลายผ้าหมักโคลนลำน้ำแม่ลา เพื่อยกระดับเศรษฐกิจชุมชนตำบลแม่ลาอำเภอบางระจัน จังหวัดสิงห์บุรี</t>
  </si>
  <si>
    <t>อาจารย์ ดร.วรรณพร พุทธภูมิพิทักษ์ 60%</t>
  </si>
  <si>
    <t>วนก-ว-02/2565</t>
  </si>
  <si>
    <t>รองศาสตราจารย์ ดร.กัญญามน กาญจนาทวีกูล 30%</t>
  </si>
  <si>
    <t>ผู้ช่วยศาสตราจารย์ ดร.เอกพงศ์ อินเกื้อ 10%</t>
  </si>
  <si>
    <t>การพัฒนาผลิตภัณฑ์จากผลผลิตทางการเกษตรเพื่อการแข่งขันเชิงธุรกิจ ในชุมชนบ้านรี จังหวัดอ่างทอง</t>
  </si>
  <si>
    <t>อาจารย์ นภัสสร เกิดพิทักษ์ 50%</t>
  </si>
  <si>
    <t>วนก-ว-05/2565</t>
  </si>
  <si>
    <t>อาจารย์ ธีรพงศ์ พงษ์เพ็ง 45%</t>
  </si>
  <si>
    <t>ผู้ช่วยศาสตราจารย์ ดร.ชญานันท์ เกิดพิทักษ์ 5%</t>
  </si>
  <si>
    <t>โครงการพัฒนาผลิตภัณฑ์ข้าวเกรียบปลาช่อนสมุนไพร เพื่อการพัฒนาผลิตภัณฑ์ประจำท้องถิ่นตำบลสระแจง อำภอบางระจัน จังหวัดสิงห์บุรี</t>
  </si>
  <si>
    <t>อาจารย์ ดร.ปรรณวัฒน์ ชูวิเชียร 40%</t>
  </si>
  <si>
    <t>วนก-ว-04/2565</t>
  </si>
  <si>
    <t>ผู้ช่วยศาสตราจารย์หทัยพันธน์ สุนทรพิพิธ 20%</t>
  </si>
  <si>
    <t>อาจารย์ พาโชค เลิศอัศวภัทร 20%</t>
  </si>
  <si>
    <t>อาจารย์ พีรันธร แสนสุข 20%</t>
  </si>
  <si>
    <t>การพัฒนาบรรจุภัณฑ์ผลิตภัณฑ์กะปิเพื่อเพิ่มมูลค่าสินค้าของกลุ่มผลิตกุ้งเคยบ้านนาพรุ จังหวัดระนอง</t>
  </si>
  <si>
    <t>อาจารย์ อรพรรณ เดชา 85%</t>
  </si>
  <si>
    <t>วนก-ว-06/2565</t>
  </si>
  <si>
    <t>อาจารย์ พีรันธร แสนสุข 5%</t>
  </si>
  <si>
    <t>โครงการการยกระดับภูมิปัญญาชุมชนสู่ย่านท่องเที่ยวเชิงสร้างสรรค์ในพื้นที่กรุงรัตนโกสิทร์</t>
  </si>
  <si>
    <t>หน่วยบริหารและจัดการทุนด้านการเพิ่ทความสามารถในการแข่งขันของประเทศ (บพข.)</t>
  </si>
  <si>
    <t>ผู้ช่วยศาสตราจารย์อนพัทย์ หนองคู  56%</t>
  </si>
  <si>
    <t>C10F640348</t>
  </si>
  <si>
    <t>รองศาสตราจารย์ ดร.บัณฑิต ผังนิรันดร์ 20%</t>
  </si>
  <si>
    <t>อาจารย์ภาวิณ สุทธินนท์  12%</t>
  </si>
  <si>
    <t>ผู้ช่วยศาสตราจารย์ ดร.ชลภัสสรณ์ สิทธิวรงค์ชัย 12%</t>
  </si>
  <si>
    <t>โครงการการพัฒนาระบบและการบริหารจัดการข้อมูลขนาดใหญ่ (Big data) เชื่อมโยงโครงข่ายอาสาสมัครท่องเที่ยวไทย เพื่อยกระดับความปลอดภัยด้านการท่องเที่ยวของประเทศ</t>
  </si>
  <si>
    <t>รองศาสตราจารย์ ดร.ชุติกาญจน์ ศรีวิบูลย์ 65%</t>
  </si>
  <si>
    <t>หน่วยบริหารและจัดการทุนด้านการเพิ่มความสามารถในการแข่งขันของประเทศ (บพข.)</t>
  </si>
  <si>
    <t>C10F640344</t>
  </si>
  <si>
    <t>ผู้ช่วยศาสตราจารย์ ดร.ศิริลักษณ์ เกตุฉาย  5%</t>
  </si>
  <si>
    <t>อาจารย์ ดร.พิมพ์พลอย ธีรสถิตย์ธรรม 5%</t>
  </si>
  <si>
    <t>อาจารย์ พุทธิวัฒน์ ไวยวุฒิธนาภูมิ 5%</t>
  </si>
  <si>
    <t>อาจารย์ภัสรา สิริกมลศิลป์ 5%</t>
  </si>
  <si>
    <t>การพัฒนาสมรรถนะแห่งตนในการดูแลสุขภาพ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</si>
  <si>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70%</t>
  </si>
  <si>
    <t xml:space="preserve"> วิทยาลัยพยาบาลและสุขภาพ
</t>
  </si>
  <si>
    <t>10550/2565</t>
  </si>
  <si>
    <t>ผู้ช่วยศาสตราจารย์ พิเศษ ดร.พรพรรณ วรสีหะ 30%</t>
  </si>
  <si>
    <t xml:space="preserve"> วิทยาลัยพยาบาลและสุขภาพ</t>
  </si>
  <si>
    <t>ผลของโปรแกรมการส่งเสริมการรับรู้สมรรถนะแห่งตนในการดูแลสุขภาพร่วมกับการสนับสนุนทางสังคมต่อ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</si>
  <si>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 80%</t>
  </si>
  <si>
    <t>10552/2565</t>
  </si>
  <si>
    <t xml:space="preserve">อาจารย์ศุภลักษณ์ พื้นทอง 10%
</t>
  </si>
  <si>
    <t>อาจารย์อัมพร เจียงวิริชัยกูร 10%</t>
  </si>
  <si>
    <t>ศึกษา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</si>
  <si>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อาจารย์วิสุดา แก้วพิลา 40%</t>
  </si>
  <si>
    <t>10553/2565</t>
  </si>
  <si>
    <t>รองศาสตราจารย์ประไพวรรณ ด่านประดิษฐ์ 30%</t>
  </si>
  <si>
    <t>อาจารย์ภัทราภรณ์ วงษ์เพ็ญศรี 30%</t>
  </si>
  <si>
    <t>ความสัมพันธ์ระหว่างความรอบรู้ด้านการใช้ยาอย่างสมเหตุผลและพฤติกรรมการใช้ยาอย่างสมเหตุผลของนักศึกษาพยาบาล มหาวิทยาลัยราชภัฏสวนสุนันทา  กรุงเทพมหานคร</t>
  </si>
  <si>
    <t xml:space="preserve">อาจารย์ ดร.อารยา ทิพย์วงศ์ 5%
</t>
  </si>
  <si>
    <t>10992/2565</t>
  </si>
  <si>
    <t xml:space="preserve">ผู้ช่วยศาสตราจารย์วิภากร สอนสนาม 5%
</t>
  </si>
  <si>
    <t xml:space="preserve">อาจารย์รังสิมา พัสระ 5%
</t>
  </si>
  <si>
    <t xml:space="preserve">อาจารย์ธนะวัฒน์ รวมสุก 5%
</t>
  </si>
  <si>
    <t xml:space="preserve">อาจารย์ ดร. กนิษฐ์ โง้วศิริ 5%
</t>
  </si>
  <si>
    <t xml:space="preserve">อาจารย์ ดร.ลักษณ์วิรุฬม์ โชติศิริ 5%
</t>
  </si>
  <si>
    <t>อาจารย์นงลักษณ์ แก้วทอง 70%</t>
  </si>
  <si>
    <t>การพัฒนานวัตกรรมและกระบวนการผลิตภัณฑ์นํ้ามันนวดสปาจากเปลือกเม็ดมะม่วงหิมพานต์เพื่อการท่องเที่ยวสปาสร้างสรรค์บนพื้นฐานภูมิปัญญาท้องถิ่นและวัฒนธรรมจังหวัดระนอง</t>
  </si>
  <si>
    <t>อาจารย์ ดร.นรินทร์ กากะทุม</t>
  </si>
  <si>
    <t>งป 11030/2565</t>
  </si>
  <si>
    <t>การพัฒนานวัตกรรมและกระบวนการผลิตภัณฑ์บํารุงผิวหน้าจากสารสกัดดอกทองกวาวเพื่อส่งเสริมการท้องเที่ยว Green travel จังหวัดอุดรธานี เพื่อสร้างความพร้อมด้านมาตรฐานสิ้นค้าและบริการสู่การเพิ่มขีดความสามารถในการแข่งขันได้อย่างยั่งยืน</t>
  </si>
  <si>
    <t>งป 11042/2565</t>
  </si>
  <si>
    <t>การพัฒนานวัตกรรมผลิตภัณฑ์สุขภาพจากข้าวไรซ์เบอรี่สําหรับธุรกิจร้านนวดแผนไทยและสปา</t>
  </si>
  <si>
    <t xml:space="preserve">อาจารย์ ดร.นรินทร์ กากะทุม 60%
</t>
  </si>
  <si>
    <t>งป 11053/2565</t>
  </si>
  <si>
    <t>ผู้ช่วยศาสตราจารย์ ดร.ยุทธนา สุดเจริญ 30%</t>
  </si>
  <si>
    <t>รองศาสตราจารย์ ดร.รจนา จันทราสา 10%</t>
  </si>
  <si>
    <t>ผลิตภัณฑ์บรรเทาอาการผื่นคันและลดการอักเสบจากเหงือกปลาหมอ</t>
  </si>
  <si>
    <t xml:space="preserve">อาจารย์ ดร. นรินทร์ กากะทุม 60%
</t>
  </si>
  <si>
    <t xml:space="preserve">วิทยาลัยสหเวชศาสตร์
 </t>
  </si>
  <si>
    <t>งป 11059/2565</t>
  </si>
  <si>
    <t>ผู้ช่วยศาสตราจารย์ ดร.ยุทธนา สุดเจริญ 20%</t>
  </si>
  <si>
    <t>ผู้ช่วยศาสตราจารย์ คณิตดา ทองขาว 20%</t>
  </si>
  <si>
    <t>รูปแบบการแพทย์แผนไทยประยุกต์ในวังสวนสุนันทา</t>
  </si>
  <si>
    <t xml:space="preserve">ผู้ช่วยศาสตราจารย์ ศุภะลักษณ์ ฟักคำ 50%
</t>
  </si>
  <si>
    <t xml:space="preserve"> วิทยาลัยสหเวชศาสตร์
 </t>
  </si>
  <si>
    <t>งป 11083/2565</t>
  </si>
  <si>
    <t>อาจารย์ นงนุช บุญแจ้ง 25%</t>
  </si>
  <si>
    <t>อาจารย์ กิ่งแก้ว แจ้งสวัสดิ์ 25%</t>
  </si>
  <si>
    <t>ศึกษารูปแบบผลิตภัณฑ์พอกเข่าตํารับวังสวนสุนันทา</t>
  </si>
  <si>
    <t xml:space="preserve">อาจารย์ กิ่งแก้ว แจ้งสวัสดิ์ 60%
</t>
  </si>
  <si>
    <t>งป 11084/2565</t>
  </si>
  <si>
    <t>อาจารย์ นงนุช บุญแจ้ง 20%</t>
  </si>
  <si>
    <t>ผู้ช่วยศาสตราจารย์ ศุภะลักษณ์ ฟักคำ 20%</t>
  </si>
  <si>
    <t>ศึกษารูปแบบผลิตภัณฑ์นํ้ามันนวดคลายกล้ามเนื้อตํารับวังสวนสุนันทา</t>
  </si>
  <si>
    <t xml:space="preserve">อาจารย์ นงนุช บุญแจ้ง 60%
</t>
  </si>
  <si>
    <t>งป 11085/2565</t>
  </si>
  <si>
    <t>อาจารย์ กิ่งแก้ว แจ้งสวัสดิ์ 15%</t>
  </si>
  <si>
    <t>ผู้ช่วยศาสตราจารย์ ศุภะลักษณ์ ฟักคำ 15%</t>
  </si>
  <si>
    <t>อาจารย์ เรณู ผ่องเสรี 10%</t>
  </si>
  <si>
    <t>การพัฒนาทุนทรัพยากรสิ่งแวดล้อมบริบทเมืองสู่การสร้างสรรค์ผลิตภัณฑ์สมุนไพรในการเสริมสร้างสุขภาวะที่ดีของคนเมืองและสร้างรายได้ให้ชุมชนอย่างยั่งยืน</t>
  </si>
  <si>
    <t xml:space="preserve">อาจารย์ วรรณี พรมด้าว 70%
</t>
  </si>
  <si>
    <t>งป 11088/2565</t>
  </si>
  <si>
    <t>อาจารย์ ธัญญะ พรหมศร 5%</t>
  </si>
  <si>
    <t>อาจารย์ แสงสิทธิ์ กฤษฎี 5%</t>
  </si>
  <si>
    <t>อาจารย์ จตุพร อุ่นประเสริฐสุข 5%</t>
  </si>
  <si>
    <t>อาจารย์ ทิพย์วารินทร์ เบ็ญจนิรัตน์ 5%</t>
  </si>
  <si>
    <t>ผู้ช่วยศาสตราจารย์ ดร. ภูสิทธ์ ภูคำชะโนด 5%</t>
  </si>
  <si>
    <t>อาจารย์ชนกพร ปานจินดา 5%</t>
  </si>
  <si>
    <t>โครงการจัดทำข้อมูลเพื่อกำหนดมาตรฐานยาสมุนไพรไทย จำนวน 10 ชนิด</t>
  </si>
  <si>
    <t xml:space="preserve">อาจารย์ กิตติศักดิ์ แคล้ว จันทร์สุข 70%
</t>
  </si>
  <si>
    <t>งป 11137/2565</t>
  </si>
  <si>
    <t>ผู้ช่วยศาสตราจารย์ ธนขวัญ บุษบัน 10%</t>
  </si>
  <si>
    <t>อาจารย์ อนงค์นุช ทุมปัด 10%</t>
  </si>
  <si>
    <t>ผู้ช่วยศาสตราจารย์ ชุติมา คล้ายสังข์ 5%</t>
  </si>
  <si>
    <t>การศึกษาเอกลักษณทางเคมีของยาสมุนไพรไทย จำนวน 10 ชนิด</t>
  </si>
  <si>
    <t xml:space="preserve">อาจารย์ อนงค์นุช ทุมปัด 70%
</t>
  </si>
  <si>
    <t>งป 11139/2565</t>
  </si>
  <si>
    <t>อาจารย์ กิตติศักดิ์ แคล้ว จันทร์สุข 15%</t>
  </si>
  <si>
    <t>ผู้ช่วยศาสตราจารย์ ธนขวัญ บุษบัน 15%</t>
  </si>
  <si>
    <t>การศึกษาเอกลักษณทางเคมี-ฟสิกสของยาสมุนไพรไทย จำนวน 10 ชนิด</t>
  </si>
  <si>
    <t>งป 11140/2565</t>
  </si>
  <si>
    <t>อาจารย์ อนงค์นุช ทุมปัด 15%</t>
  </si>
  <si>
    <t>การพัฒนาศักยภาพแหล่งท่องเที่ยวเชิงสุขภาพและการบริหารจัดการอย่างยั่งยืนสำหรับผู้ประกอบการ และชุมชนหลังสถานการณ์การระบาดของไวรัสโคโรนา 2019 เพื่อให้เกิดการสร้างรายได้ในจังหวัดระนอง</t>
  </si>
  <si>
    <t xml:space="preserve">อาจารย์ ดร.พรรณี โรจนเบญจกุล 50%
</t>
  </si>
  <si>
    <t>งป 11141/2565</t>
  </si>
  <si>
    <t xml:space="preserve">อาจารย์ ทิพย์วารินทร์ เบ็ญจนิรัตน์ 10%
</t>
  </si>
  <si>
    <t>อาจารย์ จิรวัฒน์ สุดสวาท 10%</t>
  </si>
  <si>
    <t>อาจารย์ พงษ์ศักดิ์ เจริญงามเสมอ 5%</t>
  </si>
  <si>
    <t>อาจารย์ สุณัฐชา เชาว์ไว 5%</t>
  </si>
  <si>
    <t>อาจารย์ จตุพร อุ่นประเสริฐสุข 10%</t>
  </si>
  <si>
    <t>อาจารย์ ศศิเพ็ญ ครุธชั่งทอง 5%</t>
  </si>
  <si>
    <t>อาจารย์ ภาณุพันธ์ ศรีพันธุ์ 5%</t>
  </si>
  <si>
    <t>ภูมิปัญญาท้องถิ่นในการเพิ่มมูลค่าการท่องเที่ยวเชิงสุขภาพบนพื้นฐานวิถีชีวิตชุมชนของจังหวัดระนอง</t>
  </si>
  <si>
    <t xml:space="preserve">อาจารย์ จิรวัฒน์ สุดสวาท 65%
</t>
  </si>
  <si>
    <t>งป 11142/2565</t>
  </si>
  <si>
    <t>อาจารย์ ดร. พรรณี โรจนเบญจกุล 5%</t>
  </si>
  <si>
    <t>ผู้ช่วยศาสตราจารย์ พิจักษณ์ ภู่ตระกูล 5%</t>
  </si>
  <si>
    <t>อาจารย์ วีณา จันทรสมโภชน์ 5%</t>
  </si>
  <si>
    <t>อาจารย์ ณัฐชา วัฒนประภา 5%</t>
  </si>
  <si>
    <t>อาจารย์ สุวรรณา หัดสาหมัด 5%</t>
  </si>
  <si>
    <t>อาจารย์ คัทลียา จันดา 5%</t>
  </si>
  <si>
    <t>การเฝ้าระวังพาหะนำโรคมาลาเรียในพื้นที่การระบาดหนักที่สุดของจังหวัดระนองโดยการประยุกต์องค์ความรู้ทางวิทยาศาสตร์สาธารณสุขเพื่อแก้ไขปัญหาสุขภาพของประชาชนในท้องถิ่นอย่างเร่งด่วน</t>
  </si>
  <si>
    <t xml:space="preserve">ผู้ช่วยศาสตราจารย์ ธนวัฒน์ ชัยพงศ์พัชรา 60%
</t>
  </si>
  <si>
    <t>งป 11143/2565</t>
  </si>
  <si>
    <t>อาจารย์ นันทนา สุวรรณดิษฐากุล 40%</t>
  </si>
  <si>
    <t>การตรวจสอบและประเมินพันธุกรรมของยุงก้นปล่องพาหะนำโรคมาลาเรียในพื้นที่การระบาดหนักที่สุดของจังหวัดระนอง</t>
  </si>
  <si>
    <t>งป 11144/2565</t>
  </si>
  <si>
    <t>ลักษณะของความหลากหลายทางพันธุกรรมของยีนที่ใช้พัฒนาวัคซีนและการกระจายตัวของยีนดื้อยาในพื้นที่การระบาดของโรคมาลาเรียในจังหวัดระนองเปรียบเทียบกับพื้นที่ระบาดทั่วประเทศไทยเพื่อแก้ไขปัญหาสุขภาพของประชาชนในท้องถิ่นอย่างเร่งด่วน</t>
  </si>
  <si>
    <t xml:space="preserve">อาจารย์ นันทนา สุวรรณดิษฐากุล 60%
</t>
  </si>
  <si>
    <t>งป 11145/2565</t>
  </si>
  <si>
    <t>ผู้ช่วยศาสตราจารย์ ธนวัฒน์ ชัยพงศ์พัชรา 40%</t>
  </si>
  <si>
    <t>การสร้างบอร์ดเกมการเรียนรู้ DPC Model เพื่อพัฒนาทักษะการเรียนรู้และนวัตกรรม (4CS)</t>
  </si>
  <si>
    <t xml:space="preserve">ผู้ช่วยศาสตราจารย์ธนวัฒน์ ชัยพงศ์พัชรา
</t>
  </si>
  <si>
    <t>งป 11146/2565</t>
  </si>
  <si>
    <t>ผลของบอร์ดเกมการเรียนรู้ DPC Model เพื่อพัฒนาทักษะการเรียนรู้และนวัตกรรม (4CS)</t>
  </si>
  <si>
    <t>งป 11147/2565</t>
  </si>
  <si>
    <t>สวนสุนันทากับการพัฒนาผลิตภัณฑ์นวัตกรรมด้านสุขภาพสู่ชุมชน : วังสู่เวียงโมเดล</t>
  </si>
  <si>
    <t xml:space="preserve">ผู้ช่วยศาสตราจารย์ ดร. พีรดา ดามาพงษ์ 60%
</t>
  </si>
  <si>
    <t>งป 11148/2565</t>
  </si>
  <si>
    <t>ผู้ช่วยศาสตราจารย์ ดร. พงศ์มาดา ดามาพงษ์ 40%</t>
  </si>
  <si>
    <t>การวิจัยและพัฒนาผลิตภัณฑ์นวัตกรรมด้านสุขภาพวังสวนสุนันทาสู่ชุมชน : วังสู่เวียงโมเดล</t>
  </si>
  <si>
    <t>งป 11149/2565</t>
  </si>
  <si>
    <t>สวนสุนันทากับการพัฒนาผลิตภัณฑ์นวัตกรรมวัสดุเหลือใช้จากส้มโอพันธุ์ขาวใหญ่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</si>
  <si>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 xml:space="preserve">ผู้ช่วยศาสตราจารย์ ดร. พงศ์มาดา ดามาพงษ์ 60%
</t>
  </si>
  <si>
    <t>งป 11150/2565</t>
  </si>
  <si>
    <t>ผู้ช่วยศาสตราจารย์ ดร. พีรดา ดามาพงษ์ 40%</t>
  </si>
  <si>
    <t>การวิจัยและพัฒนาผลิตภัณฑ์นวัตกรรมวัสดุเหลือใช้จากส้มโอพันธุ์ขาวใหญ่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</si>
  <si>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>งป 11151/2565</t>
  </si>
  <si>
    <t>รำวงมาตรฐาน : การออกกำลังกายที่เหมาะสมกับสุขภาพผู้สูงอายุในชุมชน</t>
  </si>
  <si>
    <t xml:space="preserve">อาจารย์สุรีย์วรรณ สีลาดเลา 80%
</t>
  </si>
  <si>
    <t>10821/2565</t>
  </si>
  <si>
    <t xml:space="preserve">ผู้ช่วยศาสตราจารย์ ดร.พท.ป.วรรณวิมล เมฆวิมล กิ่งแก้ว 10%
</t>
  </si>
  <si>
    <t>ผู้ช่วยศาสตราจารย์ ดร.คมกฤช รัตตะมณี 10%</t>
  </si>
  <si>
    <t>การออกกำลังกายด้วยรำวงมาตรฐานกับคุณภาพชีวิตผู้สูงอายุ ชุมชนวัดไผ่ล้อม จังหวัดนครปฐม</t>
  </si>
  <si>
    <t xml:space="preserve">อาจารย์สุรีย์วรรณ สีลาดเลา  80%
</t>
  </si>
  <si>
    <t>10742/2565</t>
  </si>
  <si>
    <t xml:space="preserve">ผู้ช่วยศาสตราจารย์ ดร.พท.ป.วรรณวิมล เมฆวิมล กิ่งแก้ว 5%
</t>
  </si>
  <si>
    <t xml:space="preserve">อาจารย์ ดร.กันตพงษ์ ปราบสงบ 5%
</t>
  </si>
  <si>
    <t xml:space="preserve">ผู้ช่วยศาสตราจารย์ ดร.คมกฤช รัตตะมณี 5%
</t>
  </si>
  <si>
    <t>อาจารย์กนกพร สมพร 5%</t>
  </si>
  <si>
    <t>การพัฒนารูปแบบการออกกำลังกายสำหรับผู้สูงอายุในชุมชน ด้วยรำวงมาตรฐาน</t>
  </si>
  <si>
    <t>ผู้ช่วยศาสตราจารย์ ดร.พท.ป.วรรณวิมล เมฆวิมล กิ่งแก้ว 20%</t>
  </si>
  <si>
    <t>10840/2565</t>
  </si>
  <si>
    <t xml:space="preserve">อาจารย์สุรีย์วรรณ สีลาดเลา 5%
</t>
  </si>
  <si>
    <t xml:space="preserve">ผู้ช่วยศาสตราจารย์ ดร.ปิยดา วงศ์วิวัฒน์ 5%
</t>
  </si>
  <si>
    <t xml:space="preserve">อาจารย์กนกพร สมพร  60%
</t>
  </si>
  <si>
    <t>อาจารย์ ดร.รัตนา ปานเรียนแสน 5%</t>
  </si>
  <si>
    <t>การพัฒนาผลิตภัณฑ์ เอสเซ้นส์ จากสารสกัดเปลือกหุ้มเมล็ดมะขาม</t>
  </si>
  <si>
    <t xml:space="preserve">อาจารย์ พท.ป.สิริภา แหยมมี 70%
</t>
  </si>
  <si>
    <t>10602/2565</t>
  </si>
  <si>
    <t xml:space="preserve">อาจารย์ พท.ป.แสงสิทธิ์ กฤษฎี  10%
</t>
  </si>
  <si>
    <t xml:space="preserve">อาจารย์ พท.ป.สลิลทิพย์ ตันปัน 10%
</t>
  </si>
  <si>
    <t>อาจารย์ พท.ป.ปภาวี สุขดี 10%</t>
  </si>
  <si>
    <t>ยาสีฟันชนิดเม็ดจากสารสกัดตำรับยาอัมฤควาที</t>
  </si>
  <si>
    <t>10474/2565</t>
  </si>
  <si>
    <t>“I am afraid that others will feel scared and disgusted with me. So, I will keep it a secret until I die”: A qualitative study among patients with tuberculosis receiving DOTS regimen in Thailand</t>
  </si>
  <si>
    <t>อาจารย์ ดร.กันตพงษ์ ปราบสงบ</t>
  </si>
  <si>
    <t>11203/2565</t>
  </si>
  <si>
    <t>การพัฒนาผลิตภัณฑ์มาสก์ลอกออกจากสารสกัดเห็ด 3 อย่าง เพื่อพัฒนาเป็นผลิตภัณฑ์ชุมชน</t>
  </si>
  <si>
    <t>อาจารย์ พท.ป.ชนกพร ปานจินดา 50%</t>
  </si>
  <si>
    <t>10470/2565</t>
  </si>
  <si>
    <t>อาจารย์ พท.ป.กิตติศักดิ์ แคล้ว จันทร์สุข 10%</t>
  </si>
  <si>
    <t>การพัฒนาผลิตภัณฑ์ เซรั่ม จากสารสกัดเปลือกหุ้มเมล็ดมะขาม</t>
  </si>
  <si>
    <t>อาจารย์ พท.ป.แสงสิทธิ์ กฤษฎี 70%</t>
  </si>
  <si>
    <t>10512/2565</t>
  </si>
  <si>
    <t>อาจารย์ พท.ป.สิริภา แหยมมี 10%</t>
  </si>
  <si>
    <t>อาจารย์ พท.ป.สลิลทิพย์ ตันปัน 10%</t>
  </si>
  <si>
    <t>อาจารย์ พท.ป.วรรณี พรมด้าว 10%</t>
  </si>
  <si>
    <t>การพัฒนาผลิตภัณฑ์ สเปรย์ จากสารสกัดเปลือกหุ้มเมล็ดมะขาม</t>
  </si>
  <si>
    <t>อาจารย์ พท.ป.สลิลทิพย์ ตันปัน 70%</t>
  </si>
  <si>
    <t>10601/2565</t>
  </si>
  <si>
    <t>อาจารย์ พท.ป.แสงสิทธิ์ กฤษฎี 10%</t>
  </si>
  <si>
    <t>อาจารย์ พท.ป.ชนกพร ปานจินดา 10%</t>
  </si>
  <si>
    <t>การศึกษาฤทธิ์ต้านอนุมูลอิสระของสารสกัดเปลือกหุ้มเมล็ดมะขาม</t>
  </si>
  <si>
    <t>อาจารย์ พท.ป.ปภาวี สุขดี 70%</t>
  </si>
  <si>
    <t>10618/2565</t>
  </si>
  <si>
    <t>การศึกษาความพึงพอใจของนักท่องเที่ยวเชิงอนุรักษ์ทะเลบัวแดง อำเภอกุมภวาปี จังหวัดอุดรธานี</t>
  </si>
  <si>
    <t>อาจารย์ ศศิเพ็ญ ครุธชั่งทอง 50%</t>
  </si>
  <si>
    <t>11001/2565</t>
  </si>
  <si>
    <t>ร.อ.นายแพทย์พงษ์ศักดิ์ เจริญงามเสมอ 10%</t>
  </si>
  <si>
    <t>อาจารย์ ดร.พรรณี โรจนเบญจกุล 10%</t>
  </si>
  <si>
    <t>อาจารย์ ดร.ทิพย์วารินทร์ เบ็ญจนิรัตน์ 10%</t>
  </si>
  <si>
    <t>อาจารย์ สุณัฐชา เชาว์ไว 10%</t>
  </si>
  <si>
    <t>มะขาม พัฒนาพืชท้องถิ่น ยกระดับสู่สากล</t>
  </si>
  <si>
    <t>อาจารย์ พท.ป.แสงสิทธิ์ กฤษฎี 50%</t>
  </si>
  <si>
    <t>10482/2565</t>
  </si>
  <si>
    <t>อาจารย์ พท.ป.ปภาวี สุขดี10%</t>
  </si>
  <si>
    <t>อาจารย์ พท.ป.ชนกพร ปานจินดา10%</t>
  </si>
  <si>
    <t>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</si>
  <si>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 xml:space="preserve">อาจารย์ วรรณี สุทธใจดี 50%
</t>
  </si>
  <si>
    <t>10871/2565</t>
  </si>
  <si>
    <t>อาจารย์ ไกรวิทย์ สินธุคำมูล 10%</t>
  </si>
  <si>
    <t>อาจารย์ ปิยะอร ศรีวรรณ 10%</t>
  </si>
  <si>
    <t>อาจารย์ วทัญญู ชูภักตร์ 10%</t>
  </si>
  <si>
    <t>อาจารย์ รัชนีวรรณ สุจริต 10%</t>
  </si>
  <si>
    <t>อาจารย์ กานต์นภัส ช้ำเกตุ 10%</t>
  </si>
  <si>
    <t>กิจกรรมโลจิสติกส์และการได้เปรียบทางการแข่งขันส่งผลต่อการสร้างมูลค่าเพิ่มผลิตภัณฑ์จากใบเตยหอม อำเภอพุทธมณฑล จังหวัดนครปฐม</t>
  </si>
  <si>
    <t xml:space="preserve">อาจารย์ ศรีศรินทร์ สุขสุทธิ 70%
</t>
  </si>
  <si>
    <t>10737/2565</t>
  </si>
  <si>
    <t>อาจารย์ กิตติอำพล สุดประเสริฐ 10%</t>
  </si>
  <si>
    <t>ผู้ช่วยศาสตราจารย์ บุณยาพร ภู่ทอง 10%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</si>
  <si>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</si>
  <si>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 xml:space="preserve">อาจารย์ อนัญญา บรรยงพิศุทธ์ 40%
</t>
  </si>
  <si>
    <t>10564/2565</t>
  </si>
  <si>
    <t>อาจารย์ ดร. ฉัตรรัตน์ โหตระไวศยะ 15%</t>
  </si>
  <si>
    <t>อาจารย์ ศศิวิมล ว่องวิไล 10%</t>
  </si>
  <si>
    <t>อาจารย์ วราภรณ์ วิมุกตะลพ 10%</t>
  </si>
  <si>
    <t>อาจารย์ พรเกียรติ ภักดีวงศ์เทพ 10%</t>
  </si>
  <si>
    <t>อาจารย์ ปัจจัย  อินทรน้อย 5%</t>
  </si>
  <si>
    <t>อาจารย์ ปิติพจน์ แซ่เล็ก 5%</t>
  </si>
  <si>
    <t>อาจารย์ สันติพงศ์ จิโรจน์กุลกิจ 5%</t>
  </si>
  <si>
    <t>การเพิ่มศักยภาพด้านโลจิสติกส์ที่ส่งผลต่อการสร้างมูลค่าเพิ่มผลิตภัณฑ์จากมังคุด ในอำเภอกระบุรี  จังหวัดระนอง.</t>
  </si>
  <si>
    <t xml:space="preserve">อาจารย์ ศุภมิตร ศรีสวัสดิ์ 20%
</t>
  </si>
  <si>
    <t>10922/2565</t>
  </si>
  <si>
    <t>อาจารย์ น้องส้ม ศรีสวัสดิ์ 20%</t>
  </si>
  <si>
    <t>อาจารย์ แววมยุรา คำสุข 60%</t>
  </si>
  <si>
    <t>แนวทางการสร้างมูลค่าเพิ่มและความได้เปรียบในการแข่งขันในห่วงโซ่อุปทานของสินค้าเกษตรอินทรีย์จังหวัดนครปฐม</t>
  </si>
  <si>
    <t xml:space="preserve">อาจารย์ ชณิชา หมอยาดี 80%
</t>
  </si>
  <si>
    <t>10733/2565</t>
  </si>
  <si>
    <t>อาจารย์ ศรีศรินทร์ สุขสุทธิ 20%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</si>
  <si>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</si>
  <si>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 xml:space="preserve">อาจารย์ อัญชลี หิรัญแพทย์ 10%
</t>
  </si>
  <si>
    <t>10596/2565</t>
  </si>
  <si>
    <t>อาจารย์ ทมนี สุขใส 70%</t>
  </si>
  <si>
    <t>การพัฒนาการจัดการโลจิสติกส์และโซ่อุปทานในการสร้างมูลค่าเพิ่มทางการตลาดผลิตภัณฑ์จากมะพร้าวของเกษตรกรในพื้นที่จังหวัดนครปฐม</t>
  </si>
  <si>
    <t xml:space="preserve">อาจารย์ พิชญ์พิสุทธิ์ ทิศอาจ 80%
</t>
  </si>
  <si>
    <t>10771/2565</t>
  </si>
  <si>
    <t>อาจารย์ ธนะสาร พานิชยากรณ์ 5%</t>
  </si>
  <si>
    <t>อาจารย์ ธันย์ ชัยทร 5%</t>
  </si>
  <si>
    <t>อาจารย์ ชิตพงษ์ อัยสานนท์ 5%</t>
  </si>
  <si>
    <t>อาจารย์ สุรพงศ์ อินทรภักดิ์ 5%</t>
  </si>
  <si>
    <t>ศูนย์การศึกษาจังหวัดอุดรธานี (วิทยาลัยโลจิสติกส์ฯ)</t>
  </si>
  <si>
    <t>รูปแบบการสร้างความได้เปรียบในการแข่งขันตลอดห่วงโซ่อุปทานของสินค้าเกษตรอินทรีย์จังหวัดนครปฐม</t>
  </si>
  <si>
    <t xml:space="preserve">อาจารย์ มาธุสร แข็งขัน 60%
</t>
  </si>
  <si>
    <t>10794/2565</t>
  </si>
  <si>
    <t>อาจารย์ แววมยุรา คำสุข 10%</t>
  </si>
  <si>
    <t>อาจารย์ ทมนี สุขใส 10%</t>
  </si>
  <si>
    <t>อาจารย์ ณัฎภัทรศญา เศรษฐโชติสมบัติ 10%</t>
  </si>
  <si>
    <t>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</si>
  <si>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 xml:space="preserve">อาจารย์ รัชนีวรรณ สุจริต 75%
</t>
  </si>
  <si>
    <t>10750/2565</t>
  </si>
  <si>
    <t>อาจารย์ วรรณี สุทธใจดี 5%</t>
  </si>
  <si>
    <t>อาจารย์ นิภาวรรณ ภูจอม 5%</t>
  </si>
  <si>
    <t>อาจารย์ ศรีศรินทร์ สุขสุทธิ 5%</t>
  </si>
  <si>
    <t>อาจารย์ มาธุสร แข็งขัน 5%</t>
  </si>
  <si>
    <t>อาจารย์ กานต์นภัส ช้ำเกตุ 5%</t>
  </si>
  <si>
    <t>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</si>
  <si>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 xml:space="preserve">อาจารย์ ปัจจัย  อินทรน้อย 10%
</t>
  </si>
  <si>
    <t>10560/2565</t>
  </si>
  <si>
    <t>อาจารย์ วราภรณ์ วิมุกตะลพ 60%</t>
  </si>
  <si>
    <t>อาจารย์ อนัญญา บรรยงพิศุทธ์ 20%</t>
  </si>
  <si>
    <t>อาจารย์ สันติพงศ์ จิโรจน์กุลกิจ 10%</t>
  </si>
  <si>
    <t>การพัฒนาระบบฐานข้อมูลโลจิสติกส์ปลาหางนกยูงเพื่อการส่งออกจังหวัดนครปฐม</t>
  </si>
  <si>
    <t xml:space="preserve">อาจารย์ ศิริอร สนองค์ 50%
</t>
  </si>
  <si>
    <t>10703/2565</t>
  </si>
  <si>
    <t>อาจารย์ สราวุธ พุฒนวล 10%</t>
  </si>
  <si>
    <t>อาจารย์ นิภาวรรณ ภูจอม 10%</t>
  </si>
  <si>
    <t>อาจารย์ อัญชลี หิรัญแพทย์ 10%</t>
  </si>
  <si>
    <t>อาจารย์ ดร. พงษ์เทพ ภูเดช 10%</t>
  </si>
  <si>
    <t>การพัฒนาการจัดการโลจิสติกส์และโซ่อุปทาน การสร้างมูลค่าเพิ่ม เพื่อสร้างความได้เปรียบทางการแข่งขันและเพื่อผลการดำเนินงานของเกษตรกรสินค้าเกษตรใบเตยหอมในพื้นที่จังหวัดนครปฐม</t>
  </si>
  <si>
    <t xml:space="preserve">อาจารย์ ดร. สุดารัตน์ พิมลรัตนกานต์ 80%
</t>
  </si>
  <si>
    <t>10565/2565</t>
  </si>
  <si>
    <t>อาจารย์ ดร.สุวัฒน์ นวลขาว 10%</t>
  </si>
  <si>
    <t>อาจารย์ อนุช นามภิญโญ 10%</t>
  </si>
  <si>
    <t>การออกแบบต้นแบบบรรจุภัณฑ์ผลิตภัณฑ์จากมะพร้าวของเกษตรกรในพื้นที่จังหวัดนครปฐม</t>
  </si>
  <si>
    <t xml:space="preserve">อาจารย์ ธนะสาร พานิชยากรณ์ 70%
</t>
  </si>
  <si>
    <t>10852/2565</t>
  </si>
  <si>
    <t>อาจารย์ พิชญ์พิสุทธิ์ ทิศอาจ 30%</t>
  </si>
  <si>
    <t>การพัฒนารูปแบบช่องทางการจัดจำหน่ายผลิตภัณฑ์จากมะพร้าวของเกษตรกรในพื้นที่จังหวัดนครปฐม</t>
  </si>
  <si>
    <t xml:space="preserve">อาจารย์ ธันย์ ชัยทร 70%
</t>
  </si>
  <si>
    <t>10873/2565</t>
  </si>
  <si>
    <t>อาจารย์ ชิตพงษ์ อัยสานนท์ 30%</t>
  </si>
  <si>
    <t>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</si>
  <si>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 xml:space="preserve">อาจารย์ พรเกียรติ ภักดีวงศ์เทพ 50%
</t>
  </si>
  <si>
    <t>10727/2565</t>
  </si>
  <si>
    <t>อาจารย์ ดร.ฉัตรรัตน์ โหตระไวศยะ 20%</t>
  </si>
  <si>
    <t>อาจารย์ อนัญญา บรรยงพิศุทธ์ 10%</t>
  </si>
  <si>
    <t>อาจารย์ ปิติพจน์ แซ่เล็ก 10%</t>
  </si>
  <si>
    <t>การปฏิบัติด้านการจัดการซัพพลายเชนสีเขียวและการบริหารลูกค้าสัมพันธ์เพื่อยกระดับผลการดำเนินงานของธุรกิจผู้ผลิตอาหารในประเทศไทย</t>
  </si>
  <si>
    <t xml:space="preserve">อาจารย์ ดร.วิศวะ อุนยะวงษ์ 70%
</t>
  </si>
  <si>
    <t>10834/2565</t>
  </si>
  <si>
    <t>ผู้ช่วยศาสตราจารย์ ดร.ปรีชา วรารัตน์ไชย 30%</t>
  </si>
  <si>
    <t>แนวทางการปฏิบัติด้านการจัดการซัพพลายเชนสีเขียวเพื่อพัฒนาผลการดำเนินงานของธุรกิจผู้ผลิตอาหารเสริมในประเทศไทย</t>
  </si>
  <si>
    <t xml:space="preserve">อาจารย์ ดร.วิศวะ อุนยะวงษ์ 40%
</t>
  </si>
  <si>
    <t>10915/2565</t>
  </si>
  <si>
    <t>อาจารย์ ชิตพงษ์ อัยสานนท์ 10%</t>
  </si>
  <si>
    <t>อาจารย์ ดร. ณัฎภัทรศญา เศรษฐโชติสมบัติ 10%</t>
  </si>
  <si>
    <t>ผู้ช่วยศาสตราจารย์ ดร.ณัฐพัชร์ อารีรัชกุลกานต์ 10%</t>
  </si>
  <si>
    <t>ผู้ช่วยศาสตราจารย์ ดร.ปรีชา วรารัตน์ไชย 10%</t>
  </si>
  <si>
    <t>อาจารย์ ศุภมิตร ศรีสวัสดิ์ 10%</t>
  </si>
  <si>
    <t>อาจารย์ พุทธิวัฒน์ ไวยวุฒิธนาภูมิ 10%</t>
  </si>
  <si>
    <t>การพัฒนาเพื่อยกระดับผลิตภัณฑ์ท้องถิ่นของสินค้าเกษตรมังคุด ในอำเภอกระบุรี จังหวัดระนอง</t>
  </si>
  <si>
    <t xml:space="preserve">อาจารย์ ดร. สุวัฒน์ นวลขาว 50%
</t>
  </si>
  <si>
    <t>10781/2565</t>
  </si>
  <si>
    <t>อาจารย์ พรพรรณา เล่าประวัติชัย 25%</t>
  </si>
  <si>
    <t>อาจารย์ อัมพิกา เล่าประวัติชัย 25%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</si>
  <si>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</si>
  <si>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 xml:space="preserve">อาจารย์ พุทธิวัฒน์ ไวยวุฒิธนาภูมิ 60%
</t>
  </si>
  <si>
    <t>10713/2565</t>
  </si>
  <si>
    <t>อาจารย์ธนวัฒน์ วิเศษสินธุ์ 5%</t>
  </si>
  <si>
    <t>อาจารย์ ดร.วิศวะ อุนยะวงษ์ 5%</t>
  </si>
  <si>
    <t>อาจารย์ อนัญญา บรรยงพิศุทธ์ 5%</t>
  </si>
  <si>
    <t>อาจารย์ วราภรณ์ วิมุกตะลพ 5%</t>
  </si>
  <si>
    <t>ผู้ช่วยศาสตราจารย์ ดร.คมสัน โสมณวัตร 5%</t>
  </si>
  <si>
    <t>อาจารย์ ภัสรา สิริกมลศิลป์ 5%</t>
  </si>
  <si>
    <t>อาจารย์ ดร.องอาจ อุ่นอนันต 5%</t>
  </si>
  <si>
    <t>การประยุกต์ระบบการติดตามและตรวจสอบของการขนส่งสุกรในจังหวัดนครปฐม</t>
  </si>
  <si>
    <t xml:space="preserve">อาจารย์ ธนะสาร พานิชยากรณ์ 25%
</t>
  </si>
  <si>
    <t xml:space="preserve"> วิทยาลัยโลจิสติกส์และซัพพลายเชน
</t>
  </si>
  <si>
    <t>10719/2565</t>
  </si>
  <si>
    <t>อาจารย์ ธนวัฒน์ วิเศษสินธุ์ 50%</t>
  </si>
  <si>
    <t>อาจารย์ พิชญ์พิสุทธิ์ ทิศอาจ 5%</t>
  </si>
  <si>
    <t>อาจารย์ กิตติอำพล สุดประเสริฐ 5%</t>
  </si>
  <si>
    <t>ผู้ช่วยศาสตราจารย์ ดร.วิริยา บุญมาเลิศ 5%</t>
  </si>
  <si>
    <t>อาจารย์ ปิยมาส กล้าแข็ง 5%</t>
  </si>
  <si>
    <t>การยกระดับการกระจายสินค้าของสุกรของจังหวัดนครปฐม</t>
  </si>
  <si>
    <t>10895/2565</t>
  </si>
  <si>
    <t>ผู้ช่วยศาสตราจารย์ ดร.ศุภรา เจริญภูมิ 5%</t>
  </si>
  <si>
    <t>อาจารย์ สถาปัตย์ กิลาโส 5%</t>
  </si>
  <si>
    <t>อาจารย์ เบญญา หวังมหาพร 5%</t>
  </si>
  <si>
    <t>อาจารย์ พาโชค เลิศอัศวภัทร 3%</t>
  </si>
  <si>
    <t>อาจารย์ นฤมล ชมโฉม 2%</t>
  </si>
  <si>
    <t>การพัฒนาต้นแบบการบริหารจัดการโลจิสติกส์และโซ่อุปทาน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</si>
  <si>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 xml:space="preserve">อาจารย์ อัญชลี หิรัญแพทย์ 52%
</t>
  </si>
  <si>
    <t>งป 11103/2565</t>
  </si>
  <si>
    <t>อาจารย์ ทมนี สุขใส 25%</t>
  </si>
  <si>
    <t>อาจารย์ ดร. ฉัตรรัตน์ โหตระไวศยะ 5%</t>
  </si>
  <si>
    <t>อาจารย์ ศศิวิมล ว่องวิไล 4%</t>
  </si>
  <si>
    <t>อาจารย์ ไกรวิทย์ สินธุคำมูล 3%</t>
  </si>
  <si>
    <t>อาจารย์ กานต์นภัส ช้ำเกตุ 2%</t>
  </si>
  <si>
    <t>อาจารย์ รัชนีวรรณ สุจริต 1%</t>
  </si>
  <si>
    <t>อาจารย์ ดร.พงษ์เทพ ภูเดช 1%</t>
  </si>
  <si>
    <t>อาจารย์ ดร.วิศวะ อุนยะวงษ์ 2%</t>
  </si>
  <si>
    <t>อาจารย์ ศิริอร สนองค์ 1%</t>
  </si>
  <si>
    <t>อาจารย์ ปิยะอร ศรีวรรณ 1%</t>
  </si>
  <si>
    <t>อาจารย์ สราวุธ พุฒนวล 1%</t>
  </si>
  <si>
    <t>อาจารย์ วทัญญู ชูภักตร์ 2%</t>
  </si>
  <si>
    <t>การวิเคราะห์การสร้างมูลค่าเพิ่มในห่วงโซ่อุปทานของสินค้าเกษตรอินทรีย์จังหวัดนครปฐม</t>
  </si>
  <si>
    <t>อาจารย์สิทธิชัย พินธุมา 60%</t>
  </si>
  <si>
    <t>10812/2565</t>
  </si>
  <si>
    <t>อาจารย์ ดร.มะโน ปราชญาพิพัฒน์ 10%</t>
  </si>
  <si>
    <t>อาจารย์รัชนีวรรณ สุจริต 10%</t>
  </si>
  <si>
    <t>อาจารย์อัญชลี หิรัญแพทย์ 10%</t>
  </si>
  <si>
    <t xml:space="preserve">ผู้ช่วยศาสตราจารย์ ดร.ณัฐพัชร์ อารีรัชกุลกานต์ 10% </t>
  </si>
  <si>
    <t>การพัฒนาระบบโลจิสติกส์ปลาหางนกยูงเพื่อการส่งออก จังหวัดนครปฐม</t>
  </si>
  <si>
    <t xml:space="preserve">อาจารย์สราวุธ พุฒนวล 45%
</t>
  </si>
  <si>
    <t>10745/2565</t>
  </si>
  <si>
    <t>อาจารย์ศิริอร สนองค์ 5%</t>
  </si>
  <si>
    <t>อาจารย์ไกรวิทย์ สินธุคำมูล 5%</t>
  </si>
  <si>
    <t>อาจารย์ปิยะอร ศรีวรรณ 5%</t>
  </si>
  <si>
    <t>อาจารย์วรรณี สุทธใจดี 5%</t>
  </si>
  <si>
    <t>อาจารย์นิภาวรรณ ภูจอม 5%</t>
  </si>
  <si>
    <t>อาจารย์อัญชลี หิรัญแพทย์ 5%</t>
  </si>
  <si>
    <t>อาจารย์ ดร.ทมนี สุขใส 5%</t>
  </si>
  <si>
    <t>อาจารย์รัชนีวรรณ สุจริต 5%</t>
  </si>
  <si>
    <t>อาจารย์ ดร.พงษ์เทพ ภูเดช 5%</t>
  </si>
  <si>
    <t>อาจารย์กานต์นภัส ช้ำเกตุ 5%</t>
  </si>
  <si>
    <t>การพัฒนาศักยภาพในการแข่งขันของผลิตภัณฑ์ท้องถิ่นเพื่อเพิ่มมูลค่าเพิ่มการจัดการโซ่อุปทานของสินค้าเกษตรมังคุด ในอำเภอกระบุรี จังหวัดระนอง</t>
  </si>
  <si>
    <t xml:space="preserve">อาจารย์ศุภมิตร ศรีสวัสดิ์ 50%
</t>
  </si>
  <si>
    <t>10784/2565</t>
  </si>
  <si>
    <t>อาจารย์ ดร.แววมยุรา คำสุข 10%</t>
  </si>
  <si>
    <t>อาจารย์น้องส้ม ศรีสวัสดิ์ 10%</t>
  </si>
  <si>
    <t>ผู้ช่วยศาสตราจารย์ ดร.คมสัน โสมณวัตร 10%</t>
  </si>
  <si>
    <t>อาจารย์ ดร.จักรพรรณ คงธนะ 10%</t>
  </si>
  <si>
    <t>แนวทางการบริหารลูกค้าสัมพันธ์เพื่อยกระดับผลการดำเนินงานของธุรกิจผู้ผลิตอาหารทะเลในประเทศไทย</t>
  </si>
  <si>
    <t xml:space="preserve">ผู้ช่วยศาสตราจารย์ ดร.ปรีชา วรารัตน์ไชย 40%
</t>
  </si>
  <si>
    <t>10931/2565</t>
  </si>
  <si>
    <t>อาจารย์วทัญญู ชูภักตร์ 10%</t>
  </si>
  <si>
    <t>อาจารย์สราวุธ พุฒนวล 10%</t>
  </si>
  <si>
    <t>อาจารย์พุทธิวัฒน์ ไวยวุฒิธนาภูมิ 10%</t>
  </si>
  <si>
    <t xml:space="preserve">อาจารย์ ดร.ธนะสาร พานิชยากรณ์  25%
</t>
  </si>
  <si>
    <t>อาจารย์ธนวัฒน์ วิเศษสินธุ์ 50%</t>
  </si>
  <si>
    <t>อาจารย์พิชญ์พิสุทธิ์ ทิศอาจ 5%</t>
  </si>
  <si>
    <t>อาจารย์กิตติอำพล สุดประเสริฐ 5%</t>
  </si>
  <si>
    <t>อาจารย์ปิยมาส กล้าแข็ง 5%</t>
  </si>
  <si>
    <t>อาจารย์พุทธิวัฒน์ ไวยวุฒิธนาภูมิ  5%</t>
  </si>
  <si>
    <t>การศึกษาปัจจัยที่ส่งผลต่อการตัดสินใจเลือกใช้บริการตัวแทนออกของ</t>
  </si>
  <si>
    <t>อาจารย์นิภาวรรณ ภูจอม 100%</t>
  </si>
  <si>
    <t>10984/2565</t>
  </si>
  <si>
    <t>การศึกษาปัจจัยเพื่อการพัฒนาชุมชนเกษตรอินทรีย์ กรณีศึกษาฟาร์ม ABC จังหวัดนครปฐม</t>
  </si>
  <si>
    <t>อาจารย์กานต์นภัส ช้ำเกตุ 100%</t>
  </si>
  <si>
    <t>10991/2565</t>
  </si>
  <si>
    <t>โครงการการจัดจ้างที่ปรึกษาเพื่อดำเนินการวิจัยและพัฒนาธุรกิจขนส่งสินค้าต่อเนื่องหลายรูปแบบ (MTO-Multimadal transport Operation Business Development)</t>
  </si>
  <si>
    <t>บริษัท ศรีตรัง โลจิสติกส์ จำกัด</t>
  </si>
  <si>
    <t>ดร.มะโน ปราชญาพิพัฒน์</t>
  </si>
  <si>
    <t>ใบสั่งจ้าง 1/11/64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</si>
  <si>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</si>
  <si>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กรมทรัพย์สินทางปัญญา</t>
  </si>
  <si>
    <t>40/2565</t>
  </si>
  <si>
    <t>The role of innovative ideas in business sustainability: Evidence from textile industry.</t>
  </si>
  <si>
    <t>อาจารย์ ศศิวิมล ว่องวิไล</t>
  </si>
  <si>
    <t>11204/2565</t>
  </si>
  <si>
    <t>The role of human resource management and supply chain process in sustainable business performance</t>
  </si>
  <si>
    <t>อาจารย์ ดร.พุทธิวัฒน์ ไวยวุฒิธนาภูมิ</t>
  </si>
  <si>
    <t>11520/2565</t>
  </si>
  <si>
    <t>The role of sustainable HRM in supply chain, profitability and resource utilization</t>
  </si>
  <si>
    <t>11521/2565</t>
  </si>
  <si>
    <t>Spiritual Leadership as a Source of Rising Triple Bottom Line, Leads to the Spiritual Well-Being of Employees: A Study of the Telecommunications Sector</t>
  </si>
  <si>
    <t>อาจารย์ ดร.ฉัตรรัตน์ โหตระไวศยะ</t>
  </si>
  <si>
    <t>11522/2565</t>
  </si>
  <si>
    <t>THE DISTRIBUTION PATTERN OF THAILAND’S TUBTIMJUN ROSEAPPLE FOR EXPORTING TO CHINA</t>
  </si>
  <si>
    <t>11531/2565</t>
  </si>
  <si>
    <t>A Multi-Level Lot Sizing ProblemApplication</t>
  </si>
  <si>
    <t>อาจารย์ มาธุสร แข็งขัน 60%</t>
  </si>
  <si>
    <t>11534/2565</t>
  </si>
  <si>
    <t>อาจารย์ ดร.ชณิชา หมอยาดี 20%</t>
  </si>
  <si>
    <t>อาจารย์ ดร.แววมยุรา คำสุข 20%</t>
  </si>
  <si>
    <t>มาตรการทางกฎหมายเกี่ยวกับการอุปการะเลี้ยงดูผู้สูงวัย</t>
  </si>
  <si>
    <t>ผู้ช่วยศาสตราจารย์ ดร.กมลวรรณ อยู่วัฒนะ 75%</t>
  </si>
  <si>
    <t>10783/2565</t>
  </si>
  <si>
    <t>ผู้ช่วยศาสตราจารย์ ดร.ภัทรวิทย์ อยู่วัฒนะ 15%</t>
  </si>
  <si>
    <t>ผู้ช่วยศาสตราจารย์ไพบูลย์ ชูวัฒนกิจ 10%</t>
  </si>
  <si>
    <t>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</si>
  <si>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 50%</t>
  </si>
  <si>
    <t>10576/2565</t>
  </si>
  <si>
    <t>ผู้ช่วยศาสตราจารย์ ดร.วิจิตรา ศรีสอน 20%</t>
  </si>
  <si>
    <t>ผู้ช่วยศาสตราจารย์ ดร.จอมชัย เลิศอมรรัฐ10%</t>
  </si>
  <si>
    <t>การพัฒนาภูมิปัญญาเพื่ออยู่ร่วมกับโรคติดเชื้อไวรัสโคโรนา 2019 (Coronavirus Disease 2019 (COVID-19)) ในพื้นที่เขตประเวศ กรุงเทพมหานคร</t>
  </si>
  <si>
    <t>อาจารย์ ดร.ปารณีย์ ศรีแก้ว 40%</t>
  </si>
  <si>
    <t>10883/2565</t>
  </si>
  <si>
    <t>ผู้ช่วยศาสตราจารย์ ดร.วิลาสินี จินตลิขิตดี 35%</t>
  </si>
  <si>
    <t>ผู้ช่วยศาสตราจารย์ ดร.ชยุต ภวภานันท์กุล 15%</t>
  </si>
  <si>
    <t>อาจารย์ ธิดา นิติธรญาดา 10%</t>
  </si>
  <si>
    <t>ธรรมาภิบาลการจัดการสร้างสรรค์ทางสาธารณสุขเพื่ออยู่ร่วมกับโรคติดเชื้อไวรัสโคโรนา 2019 (Coronavirus Disease 2019 (COVID-19) ในพื้นที่เขตประเวศ กรุงเทพมหานคร</t>
  </si>
  <si>
    <t>อาจารย์ ดร.พิมพ์ชนา ศรีบุณยพรรัฐ 90%</t>
  </si>
  <si>
    <t>10914/2565</t>
  </si>
  <si>
    <t>อาจารย์ ดร.ภูดิศ นอขุนทด 10%</t>
  </si>
  <si>
    <t>แนวทางกำหนดมาตรการกฎหมายทางแพ่งและกฎหมายแรงงานเพื่อคุ้มครองผู้สูงวัย</t>
  </si>
  <si>
    <t>ผู้ช่วยศาสตราจารย์ ดร.ภาวิตา ค้าขาย 50%</t>
  </si>
  <si>
    <t>10720/2565</t>
  </si>
  <si>
    <t>ผู้ช่วยศาสตราจารย์สุรศักดิ์ มีบัว 20%</t>
  </si>
  <si>
    <t>ผู้ช่วยศาสตราจารย์ ดร. จิราภรณ์ อัจฉริยะประสิทธิ์ 10%</t>
  </si>
  <si>
    <t>มาตรการทางกฎหมายเกี่ยวกับสวัสดิการแรงงานผู้สูงวัย</t>
  </si>
  <si>
    <t>ผู้ช่วยศาสตราจารย์ ดร. ภาวิตา ค้าขาย  60%</t>
  </si>
  <si>
    <t>10833/2565</t>
  </si>
  <si>
    <t>การสังเคราะห์องค์ความรู้ด้านภาวะผู้นำในศตวรรษที่ 21 ผ่านรายการพอดคาสต์</t>
  </si>
  <si>
    <t>ผู้ช่วยศาสตราจาร ดร.มาธินี คงสถิตย์ 50%</t>
  </si>
  <si>
    <t>10630/2565</t>
  </si>
  <si>
    <t>อาจารย์ ดร.มนทกานติ์ รอดคล้ายย 20%</t>
  </si>
  <si>
    <t>ผู้ช่วยศาสตราจารย์พิจักษณ์ ภู่ตระกูล 20%</t>
  </si>
  <si>
    <t>ผู้ช่วยศาสตราจารย์สุรศักดิ์ มีบัว 10%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</si>
  <si>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</si>
  <si>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60%</t>
  </si>
  <si>
    <t>10570/2565</t>
  </si>
  <si>
    <t>อาจารย์ ดร.ธุวธิดา สุวรรณรัตน์ 20%</t>
  </si>
  <si>
    <t>ผู้ช่วยศาสตราจารย์ ดร.จอมชัย เลิศอมรรัฐ20%</t>
  </si>
  <si>
    <t>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</si>
  <si>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50%</t>
  </si>
  <si>
    <t>10538/2565</t>
  </si>
  <si>
    <t>อาจารย์ ดร.ธุวธิดา สุวรรณรัตน์ 10%</t>
  </si>
  <si>
    <t>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</si>
  <si>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เลิศอมรรัฐ50%</t>
  </si>
  <si>
    <t>10575/2565</t>
  </si>
  <si>
    <t>SNG: รูปแบบอวตารความปรกติเชื่อมต่อธรรมาภิบาลท้องถิ่นเพื่ออยู่ร่วมกับโรคติดเชื้อไวรัสโคโรนา 2019 (Coronavirus Disease 2019 (COVID-19)) ของชุมชนในพื้นที่เขตประเวศ กรุงเทพมหานคร</t>
  </si>
  <si>
    <t>ผู้ช่วยศาสตราจารย์ ดร.ชยุต ภวภานันท์กุล</t>
  </si>
  <si>
    <t>10594/2565</t>
  </si>
  <si>
    <t>DIY: ธรรมาภิบาลนวัตกรรมภาครัฐเพื่ออยู่ร่วมกับโรคติดเชื้อไวรัสโคโรนา 2019 (Coronavirus Disease 2019 (COVID-19))  ของชุมชนในพื้นที่เขตประเวศ กรุงเทพมหานคร</t>
  </si>
  <si>
    <t>10656/2565</t>
  </si>
  <si>
    <t>ปัญหากฎหมายเกี่ยวกับส่วนประกอบของร่างกายมนุษย์ในคดีอาญา</t>
  </si>
  <si>
    <t>อาจารย์ ทัตตนันท์ คงลำธาร 50%</t>
  </si>
  <si>
    <t>10841/2565</t>
  </si>
  <si>
    <t>อาจารย์ ธนวัฒ พิสิฐจินดา 30%</t>
  </si>
  <si>
    <t>อาจารย์ จตุรงค์ เพิ่มรุ่งเรือง 10%</t>
  </si>
  <si>
    <t>อาจารย์ ทศพล ชูโชติ 10%</t>
  </si>
  <si>
    <t>มาตรการทางกฎหมายเกี่ยวกับวิทยาศาสตร์การแพทย์ในคดีอาญา</t>
  </si>
  <si>
    <t>อาจารย์ ธนวัฒ พิสิฐจินดา 50%</t>
  </si>
  <si>
    <t>10839/2565</t>
  </si>
  <si>
    <t>อาจารย์ ทัตตนันท์ คงลำธาร 25%</t>
  </si>
  <si>
    <t>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</si>
  <si>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 70%</t>
  </si>
  <si>
    <t>10658/2565</t>
  </si>
  <si>
    <t>อาจารย์ บริบูรณ์ ฉลอง 5%</t>
  </si>
  <si>
    <t>อาจารย์ จิราภรณ์ บุญยิ่ง 5%</t>
  </si>
  <si>
    <t>ผู้ช่วยศาสตราจารย์ เอกณรงค์ วรสีหะ 5%</t>
  </si>
  <si>
    <t>การสำรวจองค์ความรู้ด้านการบริหารจัดการภาครัฐในศตวรรษที่ 21 ผ่านรายการพอดคาสต์</t>
  </si>
  <si>
    <t>ผู้ช่วยศาสตราจารย์ พิจักษณ์ ภู่ตระกูล 80%</t>
  </si>
  <si>
    <t>10582/2565</t>
  </si>
  <si>
    <t>ผู้ช่วยศาสตราจารย์ ดร.มาธินี คงสถิตย์ 10%</t>
  </si>
  <si>
    <t>อาจารย์ ดร.มนทกานติ์ รอดคล้าย 10%</t>
  </si>
  <si>
    <t>การสังเคราะห์องค์ความรู้ด้านการบริหารทรัพยากรมนุษย์ในศตวรรษที่ 21 ผ่านรายการพอดคาสต์</t>
  </si>
  <si>
    <t>ผู้ช่วยศาสตราจารย์ พิจักษณ์ ภู่ตระกูล 50%</t>
  </si>
  <si>
    <t>10628/2565</t>
  </si>
  <si>
    <t>อาจารย์ ดร.สุวรรณฤทธิ์ วงศ์ชะอุ่ม 5%</t>
  </si>
  <si>
    <t>อาจารย์ อัยรวี วีระพันธ์พงศ์ 10%</t>
  </si>
  <si>
    <t>ผู้ช่วยศาสตราจารย์ สุรศักดิ์ มีบัว 5%</t>
  </si>
  <si>
    <t>การพัฒนาการท่องเที่ยวเชิงนิเวศและเชิงสุขภาพของวิสาหกิจชุมชน ในจังหวัดระนอง</t>
  </si>
  <si>
    <t>ผู้ช่วยศาสตราจารย์ พิเศษ พันเอก ดร.วัลลภ พิริยวรรธนะ 65%</t>
  </si>
  <si>
    <t>10649/2565</t>
  </si>
  <si>
    <t>อาจารย์ ดร.ศิริญญา ศิริญานันท์ 10%</t>
  </si>
  <si>
    <t>อาจารย์ ธวัช พุ่มดารา 10%</t>
  </si>
  <si>
    <t>อาจารย์ บริบูรณ์ ฉลอง 10%</t>
  </si>
  <si>
    <t>ตัวแบบเครือข่ายในการจัดบริการสาธารณะของท้องถิ่นไทย</t>
  </si>
  <si>
    <t>อาจารย์ ศรัณย์ จิระพงษ์สุวรรณ 70%</t>
  </si>
  <si>
    <t>10911/2565</t>
  </si>
  <si>
    <t>อาจารย์ สันต์ชัย รัตนะขวัญ 5%</t>
  </si>
  <si>
    <t>ผู้ช่วยศาสตราจารย์ ดร.มารดารัตน์ สุขสง่า 5%</t>
  </si>
  <si>
    <t>อาจารย์ หัชชากร วงศ์สายัณห์ 5%</t>
  </si>
  <si>
    <t>อาจารย์ อัยรวี วีระพันธ์พงศ์ 5%</t>
  </si>
  <si>
    <t>อาจารย์ กฤษณ์ วงศ์วิเศษธร 5%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</si>
  <si>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</si>
  <si>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ผู้ช่วยศาสตราจารย์ สัคพัศ แสงฉาย 70%</t>
  </si>
  <si>
    <t>10631/2565</t>
  </si>
  <si>
    <t>อาจารย์ พิชามณต์ ชาญสุไชย 10%</t>
  </si>
  <si>
    <t>ผู้ช่วยศาสตราจารย์ ดร.กิตติคุณ มีทองจันทร์ 5%</t>
  </si>
  <si>
    <t>อาจารย์ ดร.สุวิทย์ คงสงค์ 5%</t>
  </si>
  <si>
    <t>ผู้ช่วยศาสตราจารย์ ดร.เจตน์สฤษฎิ์ อังศุกาญจนกุล 5%</t>
  </si>
  <si>
    <t>อาจารย์ ภาวิณี โสระเวช 5%</t>
  </si>
  <si>
    <t>โรงเรียนประถมสาธิต</t>
  </si>
  <si>
    <t>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</si>
  <si>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ผู้ช่วยศาสตราจารย์ สัคพัศ แสงฉาย 90%</t>
  </si>
  <si>
    <t>10668/2565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</si>
  <si>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</si>
  <si>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ผู้ช่วยศาสตราจารย์ พิเศษ พล.ต.ท.ดร.สัณฐาน ชยนนท์ 70%</t>
  </si>
  <si>
    <t>10536/2565</t>
  </si>
  <si>
    <t>อาจารย์ สัณหณัฐ จักรภัทรวงศ์ 30%</t>
  </si>
  <si>
    <t>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</si>
  <si>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 50%</t>
  </si>
  <si>
    <t>10571/2565</t>
  </si>
  <si>
    <t>อาจารย์ ดร.กัญญ์รัชการย์ เลิศอมรศักดิ์ 20%</t>
  </si>
  <si>
    <t>อาจารย์ ดร.กีรติวรรณ กัลยาณมิตร 10%</t>
  </si>
  <si>
    <t>แนวทางในการพัฒนาเครื่องมือเพื่อการบริหารงานขององค์กรปกครองส่วนท้องถิ่นไทย</t>
  </si>
  <si>
    <t>อาจารย์ สันต์ชัย รัตนะขวัญ 70%</t>
  </si>
  <si>
    <t>10481/2565</t>
  </si>
  <si>
    <t>อาจารย์ ศรัณย์ จิระพงษ์สุวรรณ 5%</t>
  </si>
  <si>
    <t>แนวทางการยกระดับอัตลักษณ์ชุมชนพื้นบ้าน สู่การท่องเที่ยวเชิงสร้างสรรค์บนฐานภูมิปัญญาท้องถิ่นและวัฒนธรรมจังหวัดระนอง</t>
  </si>
  <si>
    <t>อาจารย์ วันจักร น้อยจันทร์ 60%</t>
  </si>
  <si>
    <t>งป 11028/2565</t>
  </si>
  <si>
    <t>รองศาสตราจารย์ ดร.นันทิยา น้อยจันทร์ 10%</t>
  </si>
  <si>
    <t>อาจารย์ ดร.พิเชษฐ์ เกิดวิชัย 10%</t>
  </si>
  <si>
    <t>อาจารย์ ณธสร เอื้อการณ์ 5%</t>
  </si>
  <si>
    <t>ความร่วมมือของภาคประชาสังคม ภาคเอกชนและภาครัฐในการฝึกอบรมเพื่อพัฒนาทักษะด้านการให้บริการและด้านสุขภาพของบุคลากรสำหรับการท่องเที่ยวเชิงสุขภาพ บนรากฐานของจิตอาสาภูมิปัญญาท้องถิ่นเพื่อลดความเหลื่อมลํ้าทางเศรษฐกิจและสังคมในเขตพื้นที่จังหวัดระนอง</t>
  </si>
  <si>
    <t>อาจารย์ ดร.ปกครอง มณีโรจน์ 50%</t>
  </si>
  <si>
    <t>งป 11029/2565</t>
  </si>
  <si>
    <t>อาจารย์ ดร.ปารณีย์ ศรีแก้ว 50%</t>
  </si>
  <si>
    <t>กระบวนการยกระดับบทบาทปราชญ์ชาวบ้านและภูมิปัญญาท้องถิ่นในจังหวัดอุดรธานี สู่การท่องเที่ยวสีเขียว Green Tourism อย่างยั่งยืน</t>
  </si>
  <si>
    <t>งป 11039/2565</t>
  </si>
  <si>
    <t>รองศาสตราจารย์ ดร.นันทิยา น้อยจันทร์ 15%</t>
  </si>
  <si>
    <t>อาจารย์ รพีพัฒน์ จันทนินทร 5%</t>
  </si>
  <si>
    <t>อาจารย์ บุญวัฒน์ สว่างวงศ์ 5%</t>
  </si>
  <si>
    <t>ผู้ช่วยศาสตราจารย์ ดร.บัวบุตรี รณฤทธิวิชัย 5%</t>
  </si>
  <si>
    <t>การมีส่วนร่วมของภาคประชาสังคมกับองค์กรปกครองส่วนท้องถิ่นในการออกแบบการท้องเที่ยวเชิงแคมป์สร้างอาชีพให้กับคนรุ่นใหม่และส่งเสริมการท้องเที่ยวแบบอนุรักษ์ธรรมชาติและวิถีชีวิตแบบพอเพียงในจังหวัดอุดรธานี</t>
  </si>
  <si>
    <t>อาจารย์ ดร.ปกครอง มณีโรจน์ 85%</t>
  </si>
  <si>
    <t>งป 11040/2565</t>
  </si>
  <si>
    <t>อาจารย์ ดร.ปารณีย์ ศรีแก้ว 5%</t>
  </si>
  <si>
    <t>รองศาสตราจารย์ ดร. ชุติกาญจน์ ศรีวิบูลย์ 5%</t>
  </si>
  <si>
    <t>การยกระดับมูลค่าเพิ่มของวิสาหกิจชุมชนเพื่อเสริมสร้างรายได้ของจังหวัดระนอง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</si>
  <si>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70%</t>
  </si>
  <si>
    <t>งป 11152/2565</t>
  </si>
  <si>
    <t>อาจารย์ สัณหณัฐ จักรภัทรวงศ์ 10%</t>
  </si>
  <si>
    <t>การพัฒนาผลิตภัณฑ์และบรรจุภัณฑ์ของวิสาหกิจชุมชนเพื่อเสริมสร้างรายได้ของจังหวัดระนอง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</si>
  <si>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75%</t>
  </si>
  <si>
    <t>งป 11153/2565</t>
  </si>
  <si>
    <t>ผู้ช่วยศาสตราจารย์ ดร.วิจิตรา ศรีสอน 5%</t>
  </si>
  <si>
    <t>รองศาสตราจารย์ ศิโรตม์ ภาคสุวรรณ 5%</t>
  </si>
  <si>
    <t>พ.ต.อ. ดร.สุริยะ ประภายสาธก 5%</t>
  </si>
  <si>
    <t>ผู้ช่วยศาสตราจารย์ ดร.บารมีบุญ แสงจันทร์ 5%</t>
  </si>
  <si>
    <t>ผู้ช่วยศาสตราจารย์ ดร.ชุมพล รอดแจ่มม 5%</t>
  </si>
  <si>
    <t>การพัฒนาการตลาดเชิงรุกและการประชาสัมพันธ์ของวิสาหกิจชุมชนเพื่อเสริมสร้างรายได้ของจังหวัดระนอง</t>
  </si>
  <si>
    <t>อาจารย์ ดร.กีรติวรรณ กัลยาณมิตร 50%</t>
  </si>
  <si>
    <t>งป 11154/2565</t>
  </si>
  <si>
    <t>อาจารย์ สัณหณัฐ จักรภัทรวงศ์ 20%</t>
  </si>
  <si>
    <t>ผู้ช่วยศาสตราจารย์ พิเศษ พล.ต.ท.ดร.สัณฐาน ชยนนท์ 5%</t>
  </si>
  <si>
    <t>พ.ต.อ. ดร.สุริยะ ประภายสาธก 10%</t>
  </si>
  <si>
    <t>อาจารย์ ดร.สืบสวัสดิ์ วุฒิวรดิษฐ์ 10%</t>
  </si>
  <si>
    <t>ปัญหาผลกระทบและการปรับตัวเพื่ออยู่ร่วมกับโรคติดเชื้อไวรัสโคโรนา 2019 (โควิด 19)  ของชุมชนในพื้นที่เขตประเวศ กรุงเทพมหานคร</t>
  </si>
  <si>
    <t xml:space="preserve">	อาจารย์ ดร.ภูดิศ นอขุนทด 85%
</t>
  </si>
  <si>
    <t>10797/2565</t>
  </si>
  <si>
    <t>ผู้ช่วยศาสตราจารย์ ดร.พิมพ์ชนา ศรีบุณยพรรัฐ  10%</t>
  </si>
  <si>
    <t>การวิจัยเพื่อการสร้างคู่มือการท่องเที่ยวชุมชนอย่างยั่งยืนในจังหวัดระนอง</t>
  </si>
  <si>
    <t xml:space="preserve">อาจารย์วีระพล วงษ์ประเสริฐ 75%
</t>
  </si>
  <si>
    <t>10912/2565</t>
  </si>
  <si>
    <t>อาจารย์ศักรินทร์ ศรีอุปโย 25%</t>
  </si>
  <si>
    <t>ความไว้วางใจตำรวจ การปฏิบัติตามกฎหมายและการให้ความร่วมมือกับตำรวจของประชาชนในเขตดุสิต กรุงเทพมหานคร</t>
  </si>
  <si>
    <t>ผู้ช่วยศาสตราจารย์ พ.ต.ท.ดร.ไวพจน์ กุลาชัย 100%</t>
  </si>
  <si>
    <t>10996/2565</t>
  </si>
  <si>
    <t>กฎหมายสิทธิบัตร: ศึกษากรณีปัญหาการบังคับใช้มาตรการการยกเลิกความคุ้มครองชั่วคราวในสิทธิบัตรการประดิษฐ์วัคซีน COVID-19</t>
  </si>
  <si>
    <t>อาจารย์ณธสร เอื้อการณ์ 100%</t>
  </si>
  <si>
    <t>11000/2565</t>
  </si>
  <si>
    <t>การจัดการความรู้และการถ่ายทอดผลงานวิจัยด้านการบังคับใช้กฎหมายและความปลอดภัยทางถนน (โครงการนำร่องจังหวัดสุพรรณบุรี)</t>
  </si>
  <si>
    <t>ผู้ฃ่วยศาสตราจารย์ พันตำรวจโท ดร.ไวพจน์ กุลาชัย  65%</t>
  </si>
  <si>
    <t>N71B650014</t>
  </si>
  <si>
    <t>ผู้ฃ่วยศาสตราจารย์ พันตำรวจโท ดร.สัณฐาน ชยนนท์ 20%</t>
  </si>
  <si>
    <t>ผู้ฃ่วยศาสตราจารย์ ดร.วิจิตรา ศรีสอน  10%</t>
  </si>
  <si>
    <t>อาจารย์ ดร.เยาวลักษณ์ ชาวบ้านโพธิ์  5%</t>
  </si>
  <si>
    <t>การเพิ่มประสิทธิภาพผลิตภัณฑ์กระชายในนครปฐม</t>
  </si>
  <si>
    <t>อาจารย์ รจนารถ วรมนตรี 90%</t>
  </si>
  <si>
    <t>10718/2565</t>
  </si>
  <si>
    <t>อาจารย์ ดร.ยิ่งศักดิ์ แหวนเพชร 10%</t>
  </si>
  <si>
    <t>การพัฒนาการตลาดท่องเที่ยวเชิงเกษตรและห่วงโซ่อุปทานท่องเที่ยววิสาหกิจชุมชนบ้านโฉนดชุมชนคลองโยง-ลานตากฟ้า ตำบลลานตากฟ้า อำเภอนครชัยศรี จังหวัดนครปฐม บนฐานทรัพยากรนวัตกรรมชุมชน</t>
  </si>
  <si>
    <t>อาจารย์ ศศิธร เจตานนท์ 75%</t>
  </si>
  <si>
    <t>10932/2565</t>
  </si>
  <si>
    <t>ผู้ช่วยศาสตราจารย์ ดร.ชินวัฒน์ ศาสนนันทน์ 25%</t>
  </si>
  <si>
    <t>เส้นทางต้นแบบการท่องเที่ยวเชิงสุขภาพบนฐานภูมิปัญญาท้องถิ่นและวัฒนธรรม จังหวัดระนอง</t>
  </si>
  <si>
    <t>อาจารย์ ดร.สริตา พันธ์เทียน 30%</t>
  </si>
  <si>
    <t>งป 11027/2565</t>
  </si>
  <si>
    <t>ผู้ช่วยศาสตราจารย์ อลิสา ฤทธิชัยฤกษ์ 25%</t>
  </si>
  <si>
    <t>อาจารย์ เนตรนภา เหลืองสอาด 25%</t>
  </si>
  <si>
    <t>อาจารย์ พิมนภัทร์ พันทนา 20%</t>
  </si>
  <si>
    <t>แนวทางการพัฒนาเส้นทางท้องเที่ยวสีเขียวตามแนวรถไฟความเร็วสูง จังหวัดอุดรธานี</t>
  </si>
  <si>
    <t>อาจารย์ ดร.รัมภาภัค ฤกษ์วีระวัฒนา 60%</t>
  </si>
  <si>
    <t>งป 11038/2565</t>
  </si>
  <si>
    <t>อาจารย์ ธีระ อินทรเรือง 10%</t>
  </si>
  <si>
    <t>อาจารย์ ดร.ภรณ์นภัส เบินท์ 10%</t>
  </si>
  <si>
    <t>อาจารย์ ดร.ศุภศักดิ์ เงาประเสริฐวงศ์ 10%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</si>
  <si>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</si>
  <si>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สำนักงานกองทุนเพื่อความเสมอภาคทางการศึกษา (สำนักงาน กสศ.)</t>
  </si>
  <si>
    <t>อาจารย์ ดร.ศิริเพ็ญ เยี่ยมจรรยา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</si>
  <si>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</si>
  <si>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</si>
  <si>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</si>
  <si>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</si>
  <si>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</si>
  <si>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</si>
  <si>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การสำรวจความพึงพอใจของผู้เช่าและผู้ใช้บริการในแต่ละตลาดขององค์การตลาด</t>
  </si>
  <si>
    <t>องค์การตลาด กระทรวงมหาดไทย</t>
  </si>
  <si>
    <t xml:space="preserve">	ผู้ช่วยศาสตราจารย์ ดร.อาณัติ ต๊ะปินตา 12.5%</t>
  </si>
  <si>
    <t>50/2564</t>
  </si>
  <si>
    <t xml:space="preserve">		ผู้ช่วยศาสตราจารย์ ดร.กรองทอง ไคริรี 12.5%</t>
  </si>
  <si>
    <t xml:space="preserve">		รองศาสตราจารย์ทัศนีย์ ศิริวรรณ 12.5%</t>
  </si>
  <si>
    <t xml:space="preserve">	รองศาสตราจารย์ฉวีวรรณ แก้วไทรฮะ 12.5%</t>
  </si>
  <si>
    <t>อาจารย์ ดร.บุญทอง บุญทวี 12.5%</t>
  </si>
  <si>
    <t>ผู้ช่วยศาสตราจารย์ ดร.สุพจน์ ไชยสังข์ 12.5%</t>
  </si>
  <si>
    <t xml:space="preserve">	ผู้ช่วยศาสตราจารย์ ดร.จันทร์ชัย หญิงประยูร 12.5%</t>
  </si>
  <si>
    <t xml:space="preserve">	อาจารย์ลือชัย ทิพรังศรี 12.5%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</si>
  <si>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</si>
  <si>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 xml:space="preserve">อาจารย์โสภาวรรณ ตรีสุวรรณ์ 85%
</t>
  </si>
  <si>
    <t>10526/2565</t>
  </si>
  <si>
    <t>ผู้ช่วยศาสตราจารย์ ดร.ชญานันท์ เกิดพิทักษ์  5%</t>
  </si>
  <si>
    <t>อาจารย์นภัสสร เกิดพิทักษ์ 5%</t>
  </si>
  <si>
    <t>การสร้างมูลค่าเพิ่มธุรกิจที่พักโดยใช้ทุนวัฒนธรรมริมแม่น้ำนครชัยศรี จังหวัดนครปฐม</t>
  </si>
  <si>
    <t xml:space="preserve">อาจารย์โสภาวรรณ ตรีสุวรรณ์ 90%
</t>
  </si>
  <si>
    <t>10549/2565</t>
  </si>
  <si>
    <t>อาจารย์ปานแพร บุณยพุกกณะ 5%</t>
  </si>
  <si>
    <t>อาจารย์สุนิษา เพ็ญทรัพย์ 5%</t>
  </si>
  <si>
    <t>การจัดการศักยภาพแหล่งท่องเที่ยวเชิงวิถีวัฒนธรรม ริมแม่น้ำนครชัยศรี จังหวัดนครปฐม</t>
  </si>
  <si>
    <t xml:space="preserve">อาจารย์นรินทร์ ยืนทน 80%
</t>
  </si>
  <si>
    <t>10670/2565</t>
  </si>
  <si>
    <t>อาจารย์อรนพัฒน์ เหมือนเผ่าพงษ์ 10%</t>
  </si>
  <si>
    <t>อาจารย์ ดร.กมลลักษณ์ โพธิ์พันธุ์ 10%</t>
  </si>
  <si>
    <t>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</si>
  <si>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 xml:space="preserve">อาจารย์ โสภาวรรณ ตรีสุวรรณ์ 15%
</t>
  </si>
  <si>
    <t>10699/2565</t>
  </si>
  <si>
    <t>อาจารย์ ดร.นรินทร์ ยืนทน 10%</t>
  </si>
  <si>
    <t>อาจารย์ เบญจพร แย้มจ่าเมือง 10%</t>
  </si>
  <si>
    <t>อาจารย์ อรนพัฒน์ เหมือนเผ่าพงษ์ 65%</t>
  </si>
  <si>
    <t>กลยุทธ์การบริหารและพัฒนาอุสาหกรรมการบินของประเทศไทยในยุควัฒนธรรมปกติใหม่ ภายหลังวิกฤตโรคระบาดโควิด 19</t>
  </si>
  <si>
    <t xml:space="preserve">อาจารย์ ขนิษฐา เจริญนิตย์ 50%
</t>
  </si>
  <si>
    <t>10611/2565</t>
  </si>
  <si>
    <t>อาจารย์ รจนารถ วรมนตรี 40%</t>
  </si>
  <si>
    <t>อาจารย์ เทพลักษณ์ โกมลวณิช 10%</t>
  </si>
  <si>
    <t>การจัดการทรัพยากรมนุษย์เชิงกลยุทธ์ของอุตสาหกรรมการบินในประเทศไทยในยุควัฒนธรรมความปกติใหม่ หลังวิกฤตโรคระบาดโควิด-19</t>
  </si>
  <si>
    <t xml:space="preserve">อาจารย์ ขนิษฐา เจริญนิตย์ 60%
</t>
  </si>
  <si>
    <t>10850/2565</t>
  </si>
  <si>
    <t>อาจารย์ นิสรา แพทย์รังษี 20%</t>
  </si>
  <si>
    <t>ผู้ช่วยศาสตราจารย์ ดร.กรรนภัทร กันแก้ว 20%</t>
  </si>
  <si>
    <t>กลยุทธ์การบริหารการตลาดอุตสาหกรรมการบินในประเทศไทยในยุควัฒนธรรมความปกติใหม่หลังวิกฤตโรคระบาดโควิด 19</t>
  </si>
  <si>
    <t xml:space="preserve">อาจารย์ เทพลักษณ์ โกมลวณิช 50%
</t>
  </si>
  <si>
    <t>10941/2565</t>
  </si>
  <si>
    <t>อาจารย์ ขนิษฐา เจริญนิตย์ 20%</t>
  </si>
  <si>
    <t>อาจารย์ นิสรา แพทย์รังษี 10%</t>
  </si>
  <si>
    <t>การพัฒนาผลิตภัณฑ์กระชายสู่การจัดการชุมชนอย่างยั่งยืนในจังหวัดนครปฐม</t>
  </si>
  <si>
    <t xml:space="preserve">อาจารย์ กรวินท์ กังวล 80%
</t>
  </si>
  <si>
    <t>10664/2565</t>
  </si>
  <si>
    <t>อาจารย์ โสมยา ปรัชญางค์ปรีชา 10%</t>
  </si>
  <si>
    <t>อาจารย์ รจนารถ วรมนตรี 10%</t>
  </si>
  <si>
    <t>การพัฒนาผลิตภัณฑ์กระชายเพื่อเพิ่มรายได้ชุมชนในจังหวัดนครปฐม</t>
  </si>
  <si>
    <t xml:space="preserve">อาจารย์ โสมยา ปรัชญางค์ปรีชา 10%
</t>
  </si>
  <si>
    <t>10655/2565</t>
  </si>
  <si>
    <t>อาจารย์ กรวินท์ กังวล 80%</t>
  </si>
  <si>
    <t>การพัฒนาแนวทางการท่องเที่ยวเชิงกัญชาในประเทศไทย (ชุดโครงการใหญ่)</t>
  </si>
  <si>
    <t xml:space="preserve">อาจารย์ ดร.ศิริเพ็ญ เยี่ยมจรรยา 15%
</t>
  </si>
  <si>
    <t>10756/2565</t>
  </si>
  <si>
    <t>อาจารย์ สุภัคศิริ ปราการเจริญ 20%</t>
  </si>
  <si>
    <t>อาจารย์ นลิน สีมะเสถียรโสภณ 15%</t>
  </si>
  <si>
    <t>อาจารย์ ดร.พงศ์ระพี แก้วไทรฮะ 20%</t>
  </si>
  <si>
    <t>อาจารย์ ภิญญา ชัยสงคราม 15%</t>
  </si>
  <si>
    <t>อาจารย์ คงศักดิ์ บุญอาชาทอง 15%</t>
  </si>
  <si>
    <t>การศึกษาการรับรู้ของผู้บริโภคเกี่ยวกับการท่องเที่ยวเชิงกัญชาในประเทศไทย</t>
  </si>
  <si>
    <t xml:space="preserve">อาจารย์ ดร.พงศ์ระพี แก้วไทรฮะ 40%
</t>
  </si>
  <si>
    <t>10717/2565</t>
  </si>
  <si>
    <t>อาจารย์ ภิญญา ชัยสงคราม 30%</t>
  </si>
  <si>
    <t>อาจารย์ คงศักดิ์ บุญอาชาทอง 30%</t>
  </si>
  <si>
    <t>การวิเคราะห์ปัจจัยแห่งความสำเร็จของธุรกิจท่องเที่ยวเชิงกัญชาในประเทศไทย (ชุดโครงการย่อยภายใต้โครงการใหญ่ "การพัฒนาแนวทางการท่องเที่ยวเชิงกัญชาในประเทศไทย"</t>
  </si>
  <si>
    <t xml:space="preserve">อาจารย์ สุภัคศิริ ปราการเจริญ 30%
</t>
  </si>
  <si>
    <t>10761/2565</t>
  </si>
  <si>
    <t>อาจารย์ ดร.ศิริเพ็ญ เยี่ยมจรรยา 25%</t>
  </si>
  <si>
    <t>อาจารย์ นลิน สีมะเสถียรโสภณ 25%</t>
  </si>
  <si>
    <t>อาจารย์ ญานิกา ชื่นตะโก 20%</t>
  </si>
  <si>
    <t>กลยุทธ์ทางการตลาดของอุตสาหกรรมบริการสู่ชีวิตวิถีใหม่ กรณีศึกษาจังหวัดสมุทรสงคราม</t>
  </si>
  <si>
    <t xml:space="preserve">อาจารย์ ดร.กมลลักษณ์ โพธิ์พันธุ์ 60%
</t>
  </si>
  <si>
    <t>10836/2565</t>
  </si>
  <si>
    <t>อาจารย์ ชลลดา ชูวณิชชานนท์ 10%</t>
  </si>
  <si>
    <t>อาจารย์ โสภาวรรณ ตรีสุวรรณ์ 10%</t>
  </si>
  <si>
    <t>อาจารย์ อรนพัฒน์ เหมือนเผ่าพงษ์ 10%</t>
  </si>
  <si>
    <t>แนวทางการพัฒนาการตลาดของแหล่งท่องเที่ยวประเภทตลาดน้ำสู่ชีวิตวิถีใหม่ จังหวัดสมุทรสงคราม</t>
  </si>
  <si>
    <t xml:space="preserve">อาจารย์ ดร.นรินทร์ ยืนทน 20%
</t>
  </si>
  <si>
    <t>10905/2565</t>
  </si>
  <si>
    <t>อาจารย์ ชลลดา ชูวณิชชานนท์ 60%</t>
  </si>
  <si>
    <t>แนวทางการพัฒนาการตลาดของธุรกิจที่พักแรมสู่ชีวิตวิถีใหม่ ในจังหวัดสมุทรสงคราม</t>
  </si>
  <si>
    <t xml:space="preserve">อาจารย์ ดร.กมลลักษณ์ โพธิ์พันธุ์ 70%
</t>
  </si>
  <si>
    <t>10916/2565</t>
  </si>
  <si>
    <t>อาจารย์ อรนพัฒน์ เหมือนเผ่าพงษ์ 30%</t>
  </si>
  <si>
    <t>ORGANIZATIONAL STRUCTURE ENHANCING AIRLINES EFFIECEINCY AMID THE PANDEMIC: LOW-COST CARRIERS IN THAILAND AS A CASE</t>
  </si>
  <si>
    <t>ผู้ช่วยศาสตราจารย์ ดร.กรรนภัทร กันแก้ว</t>
  </si>
  <si>
    <t>11025/2565</t>
  </si>
  <si>
    <t>โครงการวิจัย ระดับความคิดและความสามารถในการพิสูจน์ในวิชาเรขาคณิตของนักศึกษาครู สาขาวิชาคณิตศาสตร์ชั้นปี่ที่หนี่ง</t>
  </si>
  <si>
    <t>บริษัท เจ.บี.ไอ ทีโซลูชั่น จำกัด</t>
  </si>
  <si>
    <t>ผู้ช่วยศาสตราจารย์ ดร.สุพจน์ ไชยสังข์</t>
  </si>
  <si>
    <t>สัญญาเลขที่ 6/2565</t>
  </si>
  <si>
    <t>แนวทางการพัฒนาคุณภาพการบริการของธุรกิจที่พัก เพื่อรองรับชีวิตวิถีใหม่</t>
  </si>
  <si>
    <t>อาจารย์ ปานฤทัย เห่งพุ่ม 50%</t>
  </si>
  <si>
    <t>02/2565</t>
  </si>
  <si>
    <t>อาจารย์ ชิดชม กันจุฬา 50%</t>
  </si>
  <si>
    <t>การศึกษาพฤติกรรมการท่องเที่ยวของนักศึกษามหาวิทยาลัยราชภัฎสวนสุนันทา ณ ถนนข้าวสาร เขตพระนคร จังหวัดกรุงเทพ</t>
  </si>
  <si>
    <t>ผศ.ฉันทัช วรรณถนอม 40%</t>
  </si>
  <si>
    <t>อาจารย์ ดร.วีระ วีระโสภณ 30%</t>
  </si>
  <si>
    <t>อาจารย์ บัว ศรีคช 30%</t>
  </si>
  <si>
    <t>ผู้สูงอายุกับพฤติกรรมการใช้สื่อออนไลน์ในยุคดิจิทัล</t>
  </si>
  <si>
    <t>อาจารย์ ดร.สาวิตรี สุวรรณโณ 50%</t>
  </si>
  <si>
    <t>10835/2565</t>
  </si>
  <si>
    <t>อาจารย์ ดร.นันทิดา โอฐกรรม 25%</t>
  </si>
  <si>
    <t>อาจารย์ ดร.ดุษฎี นิลดำ 25%</t>
  </si>
  <si>
    <t>การเปิดรับกับการรู้เท่าทันสื่อออนไลน์ของผู้สูงอายุในเขตกรุงเทพมหานคร</t>
  </si>
  <si>
    <t>อาจารย์ ดร.สาวิตรี สุวรรณโณ  70%</t>
  </si>
  <si>
    <t>10731/2565</t>
  </si>
  <si>
    <t>อาจารย์ ดร.นันทิดา โอฐกรรม 20%</t>
  </si>
  <si>
    <t>ผู้ช่วยศาสตราจารย์ กัญภัส อู่ตะเภา 10%</t>
  </si>
  <si>
    <t>การสื่อสารการตลาดด้วยแอพพลิเคชั่น Line กับผู้สูงอายุ ในเขตกรุงเทพมหานคร</t>
  </si>
  <si>
    <t>อาจารย์ อิสรี ไพเราะ 50%</t>
  </si>
  <si>
    <t>10505/2565</t>
  </si>
  <si>
    <t>ผู้ช่วยศาสตราจารย์ กัญภัส อู่ตะเภา 25%</t>
  </si>
  <si>
    <t>อาจารย์ ดร.พิทยา กลองกระโทก 25%</t>
  </si>
  <si>
    <t>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</si>
  <si>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 40%</t>
  </si>
  <si>
    <t>10752/2565</t>
  </si>
  <si>
    <t>ผู้ช่วยศาสตราจารย์ ภากิตติ์ ตรีสุกล 30%</t>
  </si>
  <si>
    <t>ผู้ช่วยศาสตราจารย์ วิภาณี แม้นอินทร์ 30%</t>
  </si>
  <si>
    <t>ทัศนคติและพฤติกรรมการใช้เฟซบุ๊กของผู้สูงอายุในกรุงเทพมหานคร</t>
  </si>
  <si>
    <t>อาจารย์ ดร.นันทิดา โอฐกรรม 60%</t>
  </si>
  <si>
    <t>10646/2565</t>
  </si>
  <si>
    <t>อาจารย์ ดร.สาวิตรี สุวรรณโณ 20%</t>
  </si>
  <si>
    <t>อาจารย์ ดร.สมทบ แก้วเชื้อ 20%</t>
  </si>
  <si>
    <t>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</si>
  <si>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 60%</t>
  </si>
  <si>
    <t>10782/2565</t>
  </si>
  <si>
    <t>ผู้ช่วยศาสตราจารย์ วิโรจน์ ศรีหิรัญ 20%</t>
  </si>
  <si>
    <t>อาจารย์ สุวิมล อาภาผล 20%</t>
  </si>
  <si>
    <t>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</si>
  <si>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ผู้ช่วยศาสตราจารย์ วิโรจน์ ศรีหิรัญ 60%</t>
  </si>
  <si>
    <t>10747/2565</t>
  </si>
  <si>
    <t>อาจารย์ ประพจน์ ณ บางช้าง 20%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</si>
  <si>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</si>
  <si>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10768/2565</t>
  </si>
  <si>
    <t>การศึกษาปัจจัยมีอิทธิพลต่อการอุปโภคบริโภคในช่วงวิถีชีวิตปกติใหม่ของผู้บริโภคเจเนอเรชั่นซี</t>
  </si>
  <si>
    <t>อาจารย์ ดร.สมทบ แก้วเชื้อ 80%</t>
  </si>
  <si>
    <t>10872/2565</t>
  </si>
  <si>
    <t>อาจารย์ สมิทธินันท์ ไทยรุ่งโรจน์ 20%</t>
  </si>
  <si>
    <t>ส่วนประสมทางการตลาดในช่วงวิถีชีวิตปกติใหม่ที่ส่งผลต่อพฤติกรรมผู้บริโภคเจเนอเรชั่นซี</t>
  </si>
  <si>
    <t>อาจารย์ ดร.สมทบ แก้วเชื้อ 70%</t>
  </si>
  <si>
    <t>10885/2565</t>
  </si>
  <si>
    <t>อาจารย์ สมิทธินันท์ ไทยรุ่งโรจน์ 30%</t>
  </si>
  <si>
    <t xml:space="preserve">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</si>
  <si>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</si>
  <si>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ผู้ช่วยศาสตราจารย์ ดร.ประกายกาวิล ศรีจินดา 20%</t>
  </si>
  <si>
    <t xml:space="preserve">สัญญาเลขที่ 8640338 </t>
  </si>
  <si>
    <t>รองศาสตราจารย์ ดร.วิทยา เมฆขำ  5%</t>
  </si>
  <si>
    <t>อาจารย์ปิติมนัส บรรลือ  5%</t>
  </si>
  <si>
    <t>อาจารย์ ดร.ดุษฎี นิลดำ  5%</t>
  </si>
  <si>
    <t>ผู้ช่วยศาสตราจารย์ ดร.กมลวรรณ อยู่วัฒนะ 5%</t>
  </si>
  <si>
    <t>รองศาสตราจารย์ ดร.นิศากร สังวาระนที 5%</t>
  </si>
  <si>
    <t>ผู้ช่วยศาสตราจารย์สุปราณี วัฒนสิน  5%</t>
  </si>
  <si>
    <t>ผู้ช่วยศาสตราจารย์นารีนารถ ปานบุญ 5%</t>
  </si>
  <si>
    <t>รองศาสตราจารย์ สุรสิทธิ์ วิทยารัฐ 5%</t>
  </si>
  <si>
    <t>ผู้ช่วยศาสตราจารย์ปาริชาต รัตนบรรณสกุล5%</t>
  </si>
  <si>
    <t>อาจารย์ ดร.สมทบ แก้วเชื้อ 5%</t>
  </si>
  <si>
    <t>อาจารย์สมิทธินันท์ ไทยรุ่งโรจน์  5%</t>
  </si>
  <si>
    <t>อาจารย์ปุณรภา ประดิษฐพงษ์ 5%</t>
  </si>
  <si>
    <t>อาจารย์ ดร.วลีรักษ์ สิทธิสม  5%</t>
  </si>
  <si>
    <t>การพัฒนารูปแบบการสื่อสารการตลาดสำหรับวิสาหกิจรายย่อยในจังหวัดสมุทรสงคราม</t>
  </si>
  <si>
    <t>รองศาสตราจารย์สุรสิทธิ์ วิทยารัฐ 10%</t>
  </si>
  <si>
    <t xml:space="preserve"> วิทยาลัยนิเทศศาสตร์</t>
  </si>
  <si>
    <t>10494/2565</t>
  </si>
  <si>
    <t>ผู้ช่วยศาสตราจารย์ชิโนรส ถิ่นวิไลสกุล 6%</t>
  </si>
  <si>
    <t>ผู้ช่วยศาสตราจารย์นารีนารถ ปานบุญ 6%</t>
  </si>
  <si>
    <t>ผู้ช่วยศาสตราจารย์ปาริชาต รัตนบรรณสกุล 6%</t>
  </si>
  <si>
    <t>ผู้ช่วยศาสตราจารย์ ดร.ประกายกาวิล ศรีจินดา 30%</t>
  </si>
  <si>
    <t>ผู้ช่วยศาสตราจารย์พยนต์ธร สำเร็จกิจเจริญ 32%</t>
  </si>
  <si>
    <t>ความผูกพันต่อตราแอพพลิเคชั่นไลน์ของผู้สูงอายุ</t>
  </si>
  <si>
    <t>อาจารย์ ดร.ดุษฎี นิลดำ</t>
  </si>
  <si>
    <t>10686/2565</t>
  </si>
  <si>
    <t>การศึกษาการเดินทางของผู้ใช้เว็บไซต์ที่ใช้ได้กับทุกอุปกรณ์ระหว่างกูเกิ้ลไซต์ และเว็ปไซต์ที่สร้างเองในการเรียนรู้งานจิตรกรรมฝาผนังล้านนาที่วัดภูมินทร์ จังหวัดน่าน</t>
  </si>
  <si>
    <t>ผศ.ดร.ทวิพาสน์ พิชัยชาญณรงค์</t>
  </si>
  <si>
    <t>วนท. 001/2565</t>
  </si>
  <si>
    <t>สื่อสังคมออนไลน์เพื่อพัฒนาคุณภาพชีวิตของผู้สูงอายุอย่างยั่งยืน กรณีศึกษา ผู้สูงอายุเขตบางแค</t>
  </si>
  <si>
    <t>ผศ.วิชชา สันทนาประสิทธิ์</t>
  </si>
  <si>
    <t>10741/2565</t>
  </si>
  <si>
    <t>การพัฒนา LINE Official เพื่อใช้ในการสื่อสารกับผู้สูงอายุเชิงการท่องเที่ยว ในชุมชนสวนอ้อย เขตดุสิต กรุงเทพมหานคร</t>
  </si>
  <si>
    <t xml:space="preserve">ผศ.ธนิต พฤกธรา 50%
</t>
  </si>
  <si>
    <t>10499/2565</t>
  </si>
  <si>
    <t>ผศ.ดร.ปรมัตถ์ ชุติมันต์ 20%</t>
  </si>
  <si>
    <t>อาจารย์ ปุณรภา ประดิษฐพงษ์ 20%</t>
  </si>
  <si>
    <t>อาจารย์ ดร.บัญยง พูลทรัพย์ 10%</t>
  </si>
  <si>
    <t>การศึกษาพฤติกรรมผู้บริโภคเจเนอเรชั่นซีกับที่มีอิทธิพลการตัดสินใจซื้อสินค้าในช่วงวิถีชีวิตปกติใหม่</t>
  </si>
  <si>
    <t>อาจารย์ สมิทธินันท์ ไทยรุ่งโรจน์ 60%</t>
  </si>
  <si>
    <t>10889/2565</t>
  </si>
  <si>
    <t>อาจารย์ ดร.สมทบ แก้วเชื้อ 40%</t>
  </si>
  <si>
    <t>อัตลักษณ์ทางสถาปัตยกรรมเชิงพื้นที่เพื่อเป็นแนวทางการออกแบบสภาพแวดล้อมตลาดต้นแบบและร้านค้าชุมชนเพื่อพัฒนาเศรษฐกิจฐานรากบ้านในวงใต้ อำเภอละอุ่น จังหวัดระนอง : ทุเรียน GI</t>
  </si>
  <si>
    <t>อาจารย์สวลักษณ์ เชื้อสุวรรณ์ 70%</t>
  </si>
  <si>
    <t>งป 11098/2565</t>
  </si>
  <si>
    <t>ผู้ช่วยศาสตราจารย์ ดร.สมบูรณ์ เวสน์ 5%</t>
  </si>
  <si>
    <t>อาจารย์ ดร.ชนกพร ไผทสิทธิกุล 5%</t>
  </si>
  <si>
    <t>อาจารย์ ภาวิณ สุทธินนท์ 5%</t>
  </si>
  <si>
    <t>อาจารย์ สุริยันต์ จันทร์สว่าง 5%</t>
  </si>
  <si>
    <t>อาจารย์ พิพัฒน์ ศักดิ์ศิริเกษมกุล 5%</t>
  </si>
  <si>
    <t>อาจารย์ ดร. ศุภกิจ มูลประมุข 5%</t>
  </si>
  <si>
    <t>โครงการการท่องเที่ยวเชิงอาหารผ่านอัตลักษณ์รัตนโกสินทร์</t>
  </si>
  <si>
    <t>ผู้ช่วยศาสตราจารย์ ดร.สมบูรณ์ เวสน์ 20%</t>
  </si>
  <si>
    <t>C10F640097</t>
  </si>
  <si>
    <t>ดร.ชนกพร ไผทสิทธิกุล 20%</t>
  </si>
  <si>
    <t>อาจารย์ภาวิณ สุทธินนท์ 20%</t>
  </si>
  <si>
    <t>อาจารย์สวลักษณ์ เชื้อสุวรรณ์ 20%</t>
  </si>
  <si>
    <t>ผู้ช่วยศาสตราจารย์ฐิติรัตน์ หมื่นอนันต์ 20%</t>
  </si>
  <si>
    <t>แนวทางการใช้นวัตกรรมเพื่อส่งเสริมเศรษฐกิจสร้างสรรค์จากการท่องเที่ยวเชิงสถาปัตยกรรมวิถีใหม่ ด้วยเทคนิคภาพไทม์แลปส์ กรณีศึกษา เขตดุสิต กรุงเทพมหานคร</t>
  </si>
  <si>
    <t>อาจารย์ พิชา ศรีพระจันทร์</t>
  </si>
  <si>
    <t>10854/2565</t>
  </si>
  <si>
    <t>รูปแบบการพัฒนาผลิตภัณฑ์ทางการท่องเที่ยวจังหวัดอุดรธานีเพื่อสร้างมูลค่าเพิ่ม  สู่การรองรับเป็นเมืองเศรษฐกิจสร้างสรรค์ วิถีใหม่</t>
  </si>
  <si>
    <t>อาจารย์ เอกชัย สีทำมา 40%</t>
  </si>
  <si>
    <t>10624/2565</t>
  </si>
  <si>
    <t>อาจารย์ ธีรารัตน์ อำนาจเจริญ 30%</t>
  </si>
  <si>
    <t>อาจารย์ วรกฤต ชื่นจิตต์ 20%</t>
  </si>
  <si>
    <t>อาจารย์ ธนดล อามาตพล 10%</t>
  </si>
  <si>
    <t>การยกระดับผลิตภัณฑ์และบริการทางการท่องเที่ยวโดยเชื่อมโยงภูมิปัญญาท้องถิ่น จังหวัดอุดรธานี</t>
  </si>
  <si>
    <t>อาจารย์ เอกชัย สีทำมา 50%</t>
  </si>
  <si>
    <t>10770/2565</t>
  </si>
  <si>
    <t>การส่งเสริมการตลาดการท่องเที่ยวเชิงอาหารในเมืองอุดรธานีเพื่อก้าวสู่ยุคปกติถัดไป</t>
  </si>
  <si>
    <t>อาจารย์ วรกฤต ชื่นจิตต์ 50%</t>
  </si>
  <si>
    <t>10896/2565</t>
  </si>
  <si>
    <t>อาจารย์ ธนดล อามาตพล 5%</t>
  </si>
  <si>
    <t>อาจารย์ เอกชัย สีทำมา 15%</t>
  </si>
  <si>
    <t>การพัฒนาผลิตภัณฑ์ท้องถิ่น ข้าวเหนียวโพนงาม ภายใต้แนวคิดเป็นมิตรกับสิ่งแวดล้อม ตำบลโพนงาม อำเภอหนองหาน จังหวัดอุดรธานี</t>
  </si>
  <si>
    <t>อาจารย์ อรรณพ ต.ศรีวงษ์ 80%</t>
  </si>
  <si>
    <t>ศูนย์การศึกษาจังหวัดอุดรธานี (วิทยาลัยนวัตกรรมฯ)</t>
  </si>
  <si>
    <t>10504/2565</t>
  </si>
  <si>
    <t>อาจารย์ ดารณี ดวงพรม 5%</t>
  </si>
  <si>
    <t>อาจารย์ ชลิดา ศรีสุนทร 5%</t>
  </si>
  <si>
    <t>อาจารย์ ชนากานต์ อุณาพรหม 5%</t>
  </si>
  <si>
    <t>อาจารย์ วสุธา อุยพิตัง 5%</t>
  </si>
  <si>
    <t>การพัฒนากระบวนการผลิตไม้กวาดดอกหญ้าวิสาหกิจชุมชนกลุ่มอาชีพสตรีทำไม้กวาดดอกแขมบ้านโคกสี</t>
  </si>
  <si>
    <t>อาจารย์ ศรายุทธ ขวัญเมือง 80%</t>
  </si>
  <si>
    <t>10484/2565</t>
  </si>
  <si>
    <t>อาจารย์ ภิรายุ แสนบุดดา 5%</t>
  </si>
  <si>
    <t>อาจารย์ นภัสวรรณ คุ้มครอง 5%</t>
  </si>
  <si>
    <t>อาจารย์ อมรรัตน์ หมื่นจิตน้อย 5%</t>
  </si>
  <si>
    <t>การเพิ่มประสิทธิภาพในการผลิตไม้กวาดดอกหญ้าวิสาหกิจชุมชนกลุ่มอาชีพสตรีทำไม้กวาดดอกแขมบ้านโคกสี</t>
  </si>
  <si>
    <t>อาจารย์ นภัสวรรณ คุ้มครอง 65%</t>
  </si>
  <si>
    <t>10495/2565</t>
  </si>
  <si>
    <t>อาจารย์ ศรายุทธ ขวัญเมือง 20%</t>
  </si>
  <si>
    <t>นวัตกรรมการยกระดับคุณภาพชีวิตบนฐานรากทุนทางวัฒนธรรมและฟาร์มรู้ของชุมชน บ้านนาชมภู อำเภอนายูง จังหวัดอุดรธานี</t>
  </si>
  <si>
    <t>อาจารย์ ดร.วลีรัตน์ แสงไชย 30%</t>
  </si>
  <si>
    <t>10702/2565</t>
  </si>
  <si>
    <t>อาจารย์ วรกฤต ชื่นจิตต์ 40%</t>
  </si>
  <si>
    <t>การจัดการภูมิทัศน์วัฒนธรรมของชุมชน สู่การรองรับการท่องเที่ยวสีเขียว หมู่บ้านคีรีวงกต อำเภอนายูง จังหวัดอุดรธานี</t>
  </si>
  <si>
    <t>อาจารย์ ดร.ณัฏฐชัย เอกนราจินดาวัฒน์ 50%</t>
  </si>
  <si>
    <t>10793/2565</t>
  </si>
  <si>
    <t>อาจารย์ ดร.วลีรัตน์ แสงไชย 10%</t>
  </si>
  <si>
    <t>อาจารย์ ธีรารัตน์ อำนาจเจริญ 20%</t>
  </si>
  <si>
    <t>อาจารย์ วรกฤต ชื่นจิตต์  10%</t>
  </si>
  <si>
    <t>ศูนย์การศึกษาจังหวัดอุดรธานี  (วิทยาลัยการจัดการอุตสาหกรรมฯ)</t>
  </si>
  <si>
    <t>อาจารย์ ศุภกานต์ โสภาพร 10%</t>
  </si>
  <si>
    <t>ลูกประคบกาแฟ : ศาสตร์แพทย์แผนไทยเพื่อพัฒนานวัตกรรมผลิตภัณฑ์จากทุนทางวัฒนธรรมและผลผลิตด้อยราคา</t>
  </si>
  <si>
    <t>อาจารย์ ศุภกานต์ โสภาพร  40%</t>
  </si>
  <si>
    <t>10795/2565</t>
  </si>
  <si>
    <t>อาจารย์ ดร.ณัฏฐชัย เอกนราจินดาวัฒน์ 20%</t>
  </si>
  <si>
    <t>อัตลักษณ์วัฒนธรรม “หมอลำ” เพื่อการท่องเที่ยวอย่างสร้างสรรค์</t>
  </si>
  <si>
    <t>อาจารย์ ธนดล อามาตพล 50%</t>
  </si>
  <si>
    <t>10603/2565</t>
  </si>
  <si>
    <t>อาจารย์ ธีรารัตน์ อำนาจเจริญ 50%</t>
  </si>
  <si>
    <t>แนวทางการพัฒนาเส้นทางท่องเที่ยวเชิงวัฒนธรรมบนวิถีความเชื่อจังหวัดอุดรธานี</t>
  </si>
  <si>
    <t>อาจารย์ ศุภกานต์ โสภาพร 60%</t>
  </si>
  <si>
    <t>10621/2565</t>
  </si>
  <si>
    <t>อาจารย์ ธีรารัตน์ อำนาจเจริญ 40%</t>
  </si>
  <si>
    <t>แนวทางการส่งเสริมการตลาดออนไลน์ผ้าทอหมี่ขิดย้อมครามสู่การท่องเที่ยวชุมชน กรณีศึกษา: ตำบลบ้านแดง  อำเภอพิบูลย์รักษ์  จังหวัดอุดรธานี</t>
  </si>
  <si>
    <t xml:space="preserve">ศูนย์การศึกษาจังหวัดอุดรธานี (วิทยาลัยการเมืองฯ)
</t>
  </si>
  <si>
    <t>10707/2565</t>
  </si>
  <si>
    <t>การเลือกทำเลที่ตั้งเพื่อจัดตั้งศูนย์กระจายสินค้าการเกษตร กรณีศึกษา : กลุ่มวิสาหกิจชุมชนจังหวัดอุดรธานี</t>
  </si>
  <si>
    <t xml:space="preserve">อาจารย์ ศรายุทธ ขวัญเมือง 5%
</t>
  </si>
  <si>
    <t xml:space="preserve">ศูนย์การศึกษาจังหวัดอุดรธานี (วิทยาลัยโลจิสติกส์ฯ)
</t>
  </si>
  <si>
    <t>10479/2565</t>
  </si>
  <si>
    <t>อาจารย์ สุรพงศ์ อินทรภักดิ์ 80%</t>
  </si>
  <si>
    <t>การพัฒนาช่องทางการจัดจำหน่ายสินค้า กรณีศึกษา วิสาหกิจชุมชนปลาร้าหลนนิคมสงเคราะห์ จังหวัดอุดรธานี</t>
  </si>
  <si>
    <t xml:space="preserve">อาจารย์ นภัสวรรณ คุ้มครอง 80%
</t>
  </si>
  <si>
    <t>10485/2565</t>
  </si>
  <si>
    <t>อาจารย์ ศรายุทธ ขวัญเมือง 5%</t>
  </si>
  <si>
    <t>การเพิ่มประสิทธิภาพการบริหารสินค้าคงคลังของวิสาหกิจชุมชนปลาร้าหลนนิคมสงเคราะห์</t>
  </si>
  <si>
    <t xml:space="preserve">อาจารย์ ภิรายุ แสนบุดดา 5%
</t>
  </si>
  <si>
    <t>10779/2565</t>
  </si>
  <si>
    <t>อาจารย์ อมรรัตน์ หมื่นจิตน้อย 80%</t>
  </si>
  <si>
    <t>การพัฒนาช่องทางการจัดจำหน่ายสินค้าผ่านสื่อพาณิชย์อิเล็กทรอนิกส์ วิสาหกิจชุมชนกลุ่มส่งเสริมแปลงใหญ่ราชินีข้าวเหนียวตำบลโพนงาม จังหวัดอุดรธานี</t>
  </si>
  <si>
    <t xml:space="preserve">1.นางสาว ดารณี ดวงพรม 80%
</t>
  </si>
  <si>
    <t xml:space="preserve">ศูนย์การศึกษาจังหวัดอุดรธานี (วิทยาลัยนวัตกรรมฯ)
</t>
  </si>
  <si>
    <t>10643/2565</t>
  </si>
  <si>
    <t>2.นาย อรรณพ ต.ศรีวงษ์ 5%</t>
  </si>
  <si>
    <t>3.นางสาว ชลิดา ศรีสุนทร 5%</t>
  </si>
  <si>
    <t>4.นาง ชนากานต์ อุณาพรหม 5%</t>
  </si>
  <si>
    <t>5.นาย วสุธา อุยพิตัง 5%</t>
  </si>
  <si>
    <t>การพัฒนาบรรจุภัณฑ์ข้าวเหนียวโพนงามจากวัสดุธรรมชาติ ตำบลโพนงาม อำเภอหนองหาน จังหวัดอุดรธานี</t>
  </si>
  <si>
    <t xml:space="preserve">อาจารย์ อรรณพ ต.ศรีวงษ์  80%
</t>
  </si>
  <si>
    <t>10648/2565</t>
  </si>
  <si>
    <t>รูปแบบการบริหารจัดการภายใต้แนวคิดการตลาดสีเขียวของวิสาหกิจชุมชนกลุ่มส่งเสริมแปลงใหญ่ราชินีข้าวเหนียว ตำบลโพนงาม อำเภอหนองหาน จังหวัดอุดรธานี</t>
  </si>
  <si>
    <t xml:space="preserve">อาจารย์ ชนากานต์ อุณาพรหม 80%
</t>
  </si>
  <si>
    <t>10650/2565</t>
  </si>
  <si>
    <t>อาจารย์ อรรณพ ต.ศรีวงษ์ 5%</t>
  </si>
  <si>
    <t>การสื่อสารการตลาดแบบบูรณาการที่มีผลต่อการตัดสินใจซื้อข้าวเหนียว วิสาหกิจชุมชนกลุ่มส่งเสริมแปลงใหญ่ราชินีข้าวเหนียว ตำบลโพนงาม จังหวัดอุดรธานี</t>
  </si>
  <si>
    <t xml:space="preserve">อาจารย์ ชลิดา ศรีสุนทร 80%
</t>
  </si>
  <si>
    <t>10689/2565</t>
  </si>
  <si>
    <t>การลดต้นทุนในการผลิตไม้กวาดดอกหญ้าวิสาหกิจชุมชนกลุ่มอาชีพสตรีทำไม้กวาดดอกแขมบ้านโคกสี</t>
  </si>
  <si>
    <t xml:space="preserve">อาจารย์ สุรพงศ์ อินทรภักดิ์ 65%
</t>
  </si>
  <si>
    <t>10506/2565</t>
  </si>
  <si>
    <t>การพัฒนาบรรจุภัณฑ์ข้าวเหนียวโพนงาม ตำบลโพนงาม อำเภอหนองหาน จังหวัดอุดรธานี</t>
  </si>
  <si>
    <t>อาจารย์ วสุธา อุยพิตัง</t>
  </si>
  <si>
    <t>ศูนย์การศึกษาจังหวัดอุดรธานี  (วิทยาลัยนวัตกรรมฯ)</t>
  </si>
  <si>
    <t>10978/2565</t>
  </si>
  <si>
    <t>นวัตกรรมบริการเชิงสร้างสรรค์สู่มาตรฐานความปกติใหม่ (New Normal) อย่างรับผิดชอบเพื่อรองรับการท่องเที่ยวโดยชุมชนสีเขียวอย่างยั่งยืน กรณีศึกษา กลุ่มจังหวัด “นคราธานี”</t>
  </si>
  <si>
    <t>อาจารย์ ธีรารัตน์ อำนาจเจริญ</t>
  </si>
  <si>
    <t>10993/2565</t>
  </si>
  <si>
    <t>การถอดบทเรียนผ่านกระบวนการประชาธิปไตยชุมชนเพื่อการพัฒนาคุณภาพชีวิตของประชาชนในเขตพื้นที่องค์การบริหารส่วนตำบลนาดี อำเภอเมืองอุดรธานี จังหวัดอุดรธานี</t>
  </si>
  <si>
    <t>อาจารย์ ดร.วลีรัตน์​ แสงไชย</t>
  </si>
  <si>
    <t>ศูนย์การศึกษาจังหวัดอุดรธานี (วิทยาลัยการเมืองการปกครองฯ)</t>
  </si>
  <si>
    <t>10995/2565</t>
  </si>
  <si>
    <t>โครงการสำรวจและศึกษาความต้องการ ความคาดหวังของผู้รับบริการและประเมินผลการทำงานระหว่างและหลังดำเนินการ ณ ศูนย์แห่งการบริการนานาชาตินครอุดรธานีและศูนย์บริการอุดรธานี</t>
  </si>
  <si>
    <t>เทศบาลนครอุดรธานี</t>
  </si>
  <si>
    <t>ผู้ช่วยศาสตราจารย์ ดร.ภัทรวิทย์ อยู่วัฒนะ  40%</t>
  </si>
  <si>
    <t>ใบสั่งจ้างเลขที่ จ.133/2565</t>
  </si>
  <si>
    <t>อาจารย์ ดร.วลีรัตน์ แสงไชย  20%</t>
  </si>
  <si>
    <t>อาจารย์ ธีรารัตน์ อำนาจเจริญ  20%</t>
  </si>
  <si>
    <t>อาจารย์ชนากานต์ อุณาพรหม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</si>
</sst>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0"/>
  </numFmts>
  <fonts count="2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5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7" fillId="0" borderId="0"/>
    <xf numFmtId="187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457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left" vertical="center"/>
      <protection locked="0"/>
    </xf>
    <xf numFmtId="188" fontId="9" fillId="7" borderId="9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4" xfId="1" applyFont="1" applyFill="1" applyBorder="1" applyAlignment="1" applyProtection="1">
      <alignment horizontal="center" vertical="center" wrapText="1"/>
      <protection locked="0"/>
    </xf>
    <xf numFmtId="0" fontId="9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9" xfId="0" applyNumberFormat="1" applyFont="1" applyFill="1" applyBorder="1" applyAlignment="1" applyProtection="1">
      <alignment horizontal="center" vertical="top" wrapText="1"/>
      <protection hidden="1"/>
    </xf>
    <xf numFmtId="189" fontId="6" fillId="7" borderId="9" xfId="0" applyNumberFormat="1" applyFont="1" applyFill="1" applyBorder="1" applyAlignment="1" applyProtection="1">
      <alignment horizontal="center" vertical="top" wrapText="1"/>
      <protection hidden="1"/>
    </xf>
    <xf numFmtId="0" fontId="10" fillId="7" borderId="9" xfId="0" applyFont="1" applyFill="1" applyBorder="1" applyAlignment="1" applyProtection="1">
      <alignment horizontal="center" vertical="top" wrapText="1"/>
      <protection hidden="1"/>
    </xf>
    <xf numFmtId="0" fontId="6" fillId="7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3" fontId="11" fillId="0" borderId="5" xfId="0" applyNumberFormat="1" applyFont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left" vertical="top" wrapText="1" indent="1"/>
      <protection locked="0"/>
    </xf>
    <xf numFmtId="188" fontId="11" fillId="4" borderId="8" xfId="1" applyNumberFormat="1" applyFont="1" applyFill="1" applyBorder="1" applyAlignment="1" applyProtection="1">
      <alignment horizontal="center" vertical="top" wrapText="1"/>
      <protection locked="0"/>
    </xf>
    <xf numFmtId="187" fontId="4" fillId="4" borderId="8" xfId="1" applyFont="1" applyFill="1" applyBorder="1" applyAlignment="1" applyProtection="1">
      <alignment horizontal="center" vertical="top" wrapText="1"/>
      <protection locked="0"/>
    </xf>
    <xf numFmtId="187" fontId="4" fillId="4" borderId="8" xfId="3" applyFont="1" applyFill="1" applyBorder="1" applyAlignment="1" applyProtection="1">
      <alignment horizontal="center" vertical="top" wrapText="1"/>
      <protection locked="0"/>
    </xf>
    <xf numFmtId="187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4" borderId="8" xfId="0" applyNumberFormat="1" applyFont="1" applyFill="1" applyBorder="1" applyAlignment="1" applyProtection="1">
      <alignment horizontal="center" vertical="top" wrapText="1"/>
      <protection locked="0"/>
    </xf>
    <xf numFmtId="4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187" fontId="4" fillId="4" borderId="8" xfId="1" applyFont="1" applyFill="1" applyBorder="1" applyAlignment="1" applyProtection="1">
      <alignment horizontal="center" vertical="top" wrapText="1"/>
      <protection hidden="1"/>
    </xf>
    <xf numFmtId="0" fontId="4" fillId="4" borderId="9" xfId="0" applyFont="1" applyFill="1" applyBorder="1" applyAlignment="1" applyProtection="1">
      <alignment horizontal="center" vertical="top" wrapText="1"/>
      <protection hidden="1"/>
    </xf>
    <xf numFmtId="0" fontId="9" fillId="8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left" vertical="top" wrapText="1" indent="1"/>
      <protection locked="0"/>
    </xf>
    <xf numFmtId="187" fontId="9" fillId="4" borderId="10" xfId="1" applyFont="1" applyFill="1" applyBorder="1" applyAlignment="1" applyProtection="1">
      <alignment horizontal="center" vertical="center" wrapText="1"/>
      <protection locked="0"/>
    </xf>
    <xf numFmtId="3" fontId="11" fillId="0" borderId="8" xfId="0" applyNumberFormat="1" applyFont="1" applyBorder="1" applyAlignment="1" applyProtection="1">
      <alignment horizontal="center" vertical="top" wrapText="1"/>
    </xf>
    <xf numFmtId="4" fontId="14" fillId="4" borderId="8" xfId="0" applyNumberFormat="1" applyFont="1" applyFill="1" applyBorder="1" applyAlignment="1">
      <alignment horizontal="right" vertical="center" wrapText="1"/>
    </xf>
    <xf numFmtId="4" fontId="14" fillId="4" borderId="8" xfId="0" applyNumberFormat="1" applyFont="1" applyFill="1" applyBorder="1" applyAlignment="1">
      <alignment horizontal="right"/>
    </xf>
    <xf numFmtId="4" fontId="14" fillId="4" borderId="8" xfId="0" applyNumberFormat="1" applyFont="1" applyFill="1" applyBorder="1"/>
    <xf numFmtId="0" fontId="14" fillId="4" borderId="8" xfId="0" applyFont="1" applyFill="1" applyBorder="1"/>
    <xf numFmtId="0" fontId="4" fillId="9" borderId="8" xfId="0" applyFont="1" applyFill="1" applyBorder="1" applyAlignment="1" applyProtection="1">
      <alignment horizontal="left" vertical="top"/>
      <protection locked="0"/>
    </xf>
    <xf numFmtId="187" fontId="4" fillId="4" borderId="11" xfId="1" applyFont="1" applyFill="1" applyBorder="1" applyAlignment="1" applyProtection="1">
      <alignment horizontal="center" vertical="top" wrapText="1"/>
      <protection locked="0"/>
    </xf>
    <xf numFmtId="187" fontId="4" fillId="0" borderId="11" xfId="3" applyFont="1" applyFill="1" applyBorder="1" applyAlignment="1" applyProtection="1">
      <alignment horizontal="center" vertical="top" wrapText="1"/>
      <protection locked="0"/>
    </xf>
    <xf numFmtId="0" fontId="9" fillId="0" borderId="11" xfId="0" applyNumberFormat="1" applyFont="1" applyFill="1" applyBorder="1" applyAlignment="1" applyProtection="1">
      <alignment horizontal="center" vertical="top" wrapText="1"/>
      <protection locked="0"/>
    </xf>
    <xf numFmtId="188" fontId="11" fillId="4" borderId="12" xfId="1" applyNumberFormat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center" wrapText="1"/>
      <protection locked="0"/>
    </xf>
    <xf numFmtId="187" fontId="4" fillId="0" borderId="1" xfId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15" fillId="4" borderId="8" xfId="0" applyFont="1" applyFill="1" applyBorder="1" applyAlignment="1" applyProtection="1">
      <alignment horizontal="left" vertical="top" wrapText="1" indent="1"/>
      <protection locked="0"/>
    </xf>
    <xf numFmtId="188" fontId="9" fillId="10" borderId="12" xfId="1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187" fontId="6" fillId="10" borderId="8" xfId="1" applyFont="1" applyFill="1" applyBorder="1" applyAlignment="1" applyProtection="1">
      <alignment horizontal="center" vertical="top" wrapText="1"/>
      <protection hidden="1"/>
    </xf>
    <xf numFmtId="189" fontId="6" fillId="10" borderId="8" xfId="0" applyNumberFormat="1" applyFont="1" applyFill="1" applyBorder="1" applyAlignment="1" applyProtection="1">
      <alignment horizontal="center" vertical="top" wrapText="1"/>
      <protection hidden="1"/>
    </xf>
    <xf numFmtId="0" fontId="12" fillId="10" borderId="8" xfId="0" applyFont="1" applyFill="1" applyBorder="1" applyAlignment="1" applyProtection="1">
      <alignment horizontal="center" vertical="top" wrapText="1"/>
      <protection hidden="1"/>
    </xf>
    <xf numFmtId="0" fontId="4" fillId="10" borderId="8" xfId="0" applyFont="1" applyFill="1" applyBorder="1" applyAlignment="1" applyProtection="1">
      <alignment horizontal="center" vertical="top" wrapText="1"/>
      <protection hidden="1"/>
    </xf>
    <xf numFmtId="0" fontId="4" fillId="10" borderId="8" xfId="0" applyFont="1" applyFill="1" applyBorder="1" applyAlignment="1" applyProtection="1">
      <alignment horizontal="left" vertical="top" wrapText="1"/>
      <protection hidden="1"/>
    </xf>
    <xf numFmtId="187" fontId="9" fillId="4" borderId="1" xfId="1" applyFont="1" applyFill="1" applyBorder="1" applyAlignment="1" applyProtection="1">
      <alignment horizontal="center" vertical="top" wrapText="1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10" borderId="8" xfId="0" applyFont="1" applyFill="1" applyBorder="1" applyProtection="1">
      <protection locked="0"/>
    </xf>
    <xf numFmtId="187" fontId="4" fillId="0" borderId="8" xfId="1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Protection="1">
      <protection locked="0"/>
    </xf>
    <xf numFmtId="187" fontId="9" fillId="4" borderId="8" xfId="1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/>
      <protection locked="0"/>
    </xf>
    <xf numFmtId="0" fontId="17" fillId="7" borderId="10" xfId="2" applyFont="1" applyFill="1" applyBorder="1" applyAlignment="1" applyProtection="1">
      <alignment horizontal="left" vertical="center" wrapText="1"/>
      <protection locked="0"/>
    </xf>
    <xf numFmtId="0" fontId="17" fillId="7" borderId="7" xfId="2" applyFont="1" applyFill="1" applyBorder="1" applyAlignment="1" applyProtection="1">
      <alignment horizontal="left" vertical="center" wrapText="1"/>
      <protection locked="0"/>
    </xf>
    <xf numFmtId="0" fontId="17" fillId="7" borderId="13" xfId="2" applyFont="1" applyFill="1" applyBorder="1" applyAlignment="1" applyProtection="1">
      <alignment horizontal="left" vertical="center" wrapText="1"/>
      <protection locked="0"/>
    </xf>
    <xf numFmtId="188" fontId="9" fillId="7" borderId="8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10" xfId="1" applyFont="1" applyFill="1" applyBorder="1" applyAlignment="1" applyProtection="1">
      <alignment horizontal="center" vertical="center" wrapText="1"/>
      <protection locked="0"/>
    </xf>
    <xf numFmtId="0" fontId="9" fillId="7" borderId="10" xfId="0" applyNumberFormat="1" applyFont="1" applyFill="1" applyBorder="1" applyAlignment="1" applyProtection="1">
      <alignment horizontal="center" vertical="center" wrapText="1"/>
      <protection locked="0"/>
    </xf>
    <xf numFmtId="189" fontId="6" fillId="7" borderId="8" xfId="0" applyNumberFormat="1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top" wrapText="1"/>
      <protection hidden="1"/>
    </xf>
    <xf numFmtId="0" fontId="6" fillId="7" borderId="8" xfId="0" applyFont="1" applyFill="1" applyBorder="1" applyAlignment="1" applyProtection="1">
      <alignment horizontal="left" vertical="top" wrapText="1"/>
      <protection hidden="1"/>
    </xf>
    <xf numFmtId="187" fontId="4" fillId="0" borderId="11" xfId="1" applyFont="1" applyFill="1" applyBorder="1" applyAlignment="1" applyProtection="1">
      <alignment horizontal="center" vertical="top" wrapText="1"/>
      <protection locked="0"/>
    </xf>
    <xf numFmtId="187" fontId="4" fillId="0" borderId="11" xfId="1" applyFont="1" applyFill="1" applyBorder="1" applyAlignment="1" applyProtection="1">
      <alignment horizontal="right" vertical="top" wrapText="1"/>
      <protection locked="0"/>
    </xf>
    <xf numFmtId="0" fontId="9" fillId="4" borderId="11" xfId="0" applyNumberFormat="1" applyFont="1" applyFill="1" applyBorder="1" applyAlignment="1" applyProtection="1">
      <alignment horizontal="center" vertical="top" wrapText="1"/>
      <protection locked="0"/>
    </xf>
    <xf numFmtId="187" fontId="4" fillId="0" borderId="8" xfId="1" applyFont="1" applyFill="1" applyBorder="1" applyAlignment="1" applyProtection="1">
      <alignment horizontal="right" vertical="top" wrapText="1"/>
      <protection hidden="1"/>
    </xf>
    <xf numFmtId="187" fontId="4" fillId="0" borderId="8" xfId="1" applyFont="1" applyFill="1" applyBorder="1" applyAlignment="1" applyProtection="1">
      <alignment horizontal="center" vertical="top" wrapText="1"/>
      <protection locked="0"/>
    </xf>
    <xf numFmtId="187" fontId="18" fillId="0" borderId="8" xfId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right" vertical="top" wrapText="1"/>
      <protection hidden="1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187" fontId="4" fillId="0" borderId="10" xfId="1" applyFont="1" applyFill="1" applyBorder="1" applyAlignment="1" applyProtection="1">
      <alignment horizontal="center" vertical="top" wrapText="1"/>
      <protection locked="0"/>
    </xf>
    <xf numFmtId="0" fontId="9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187" fontId="9" fillId="7" borderId="10" xfId="1" applyFont="1" applyFill="1" applyBorder="1" applyAlignment="1" applyProtection="1">
      <alignment horizontal="center" vertical="top" wrapText="1"/>
      <protection locked="0"/>
    </xf>
    <xf numFmtId="0" fontId="9" fillId="11" borderId="10" xfId="0" applyFont="1" applyFill="1" applyBorder="1" applyAlignment="1" applyProtection="1">
      <alignment horizontal="center"/>
      <protection locked="0"/>
    </xf>
    <xf numFmtId="0" fontId="9" fillId="11" borderId="7" xfId="0" applyFont="1" applyFill="1" applyBorder="1" applyAlignment="1" applyProtection="1">
      <alignment horizontal="center"/>
      <protection locked="0"/>
    </xf>
    <xf numFmtId="0" fontId="9" fillId="11" borderId="13" xfId="0" applyFont="1" applyFill="1" applyBorder="1" applyAlignment="1" applyProtection="1">
      <alignment horizontal="center"/>
      <protection locked="0"/>
    </xf>
    <xf numFmtId="2" fontId="9" fillId="11" borderId="8" xfId="0" applyNumberFormat="1" applyFont="1" applyFill="1" applyBorder="1" applyAlignment="1" applyProtection="1">
      <alignment horizontal="center" vertical="top" wrapText="1"/>
      <protection locked="0"/>
    </xf>
    <xf numFmtId="187" fontId="9" fillId="11" borderId="12" xfId="1" applyFont="1" applyFill="1" applyBorder="1" applyAlignment="1" applyProtection="1">
      <alignment horizontal="center"/>
      <protection locked="0"/>
    </xf>
    <xf numFmtId="187" fontId="9" fillId="11" borderId="10" xfId="1" applyFont="1" applyFill="1" applyBorder="1" applyAlignment="1" applyProtection="1">
      <alignment horizontal="center" vertical="center" wrapText="1"/>
      <protection locked="0"/>
    </xf>
    <xf numFmtId="0" fontId="9" fillId="11" borderId="12" xfId="0" applyNumberFormat="1" applyFont="1" applyFill="1" applyBorder="1" applyAlignment="1" applyProtection="1">
      <alignment horizontal="center"/>
      <protection locked="0"/>
    </xf>
    <xf numFmtId="4" fontId="6" fillId="11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11" borderId="8" xfId="0" applyNumberFormat="1" applyFont="1" applyFill="1" applyBorder="1" applyAlignment="1" applyProtection="1">
      <alignment horizontal="center" vertical="top" wrapText="1"/>
      <protection hidden="1"/>
    </xf>
    <xf numFmtId="0" fontId="10" fillId="11" borderId="8" xfId="0" applyFont="1" applyFill="1" applyBorder="1" applyAlignment="1" applyProtection="1">
      <alignment horizontal="center" vertical="top" wrapText="1"/>
      <protection hidden="1"/>
    </xf>
    <xf numFmtId="0" fontId="6" fillId="11" borderId="8" xfId="0" applyFont="1" applyFill="1" applyBorder="1" applyAlignment="1" applyProtection="1">
      <alignment horizontal="center" vertical="top" wrapText="1"/>
      <protection hidden="1"/>
    </xf>
    <xf numFmtId="0" fontId="19" fillId="9" borderId="8" xfId="0" applyFont="1" applyFill="1" applyBorder="1" applyAlignment="1" applyProtection="1">
      <alignment horizontal="left" vertical="top" wrapText="1" indent="1"/>
      <protection locked="0"/>
    </xf>
    <xf numFmtId="2" fontId="9" fillId="9" borderId="8" xfId="0" applyNumberFormat="1" applyFont="1" applyFill="1" applyBorder="1" applyAlignment="1" applyProtection="1">
      <alignment horizontal="center" vertical="top" wrapText="1"/>
      <protection locked="0"/>
    </xf>
    <xf numFmtId="187" fontId="19" fillId="9" borderId="8" xfId="1" applyFont="1" applyFill="1" applyBorder="1" applyAlignment="1" applyProtection="1">
      <alignment horizontal="center" vertical="top" wrapText="1"/>
      <protection locked="0"/>
    </xf>
    <xf numFmtId="187" fontId="19" fillId="12" borderId="8" xfId="1" applyFont="1" applyFill="1" applyBorder="1" applyAlignment="1" applyProtection="1">
      <alignment horizontal="center" vertical="center" wrapText="1"/>
      <protection locked="0"/>
    </xf>
    <xf numFmtId="187" fontId="19" fillId="12" borderId="10" xfId="1" applyFont="1" applyFill="1" applyBorder="1" applyAlignment="1" applyProtection="1">
      <alignment horizontal="center" vertical="center" wrapText="1"/>
      <protection locked="0"/>
    </xf>
    <xf numFmtId="0" fontId="19" fillId="9" borderId="8" xfId="0" applyNumberFormat="1" applyFont="1" applyFill="1" applyBorder="1" applyAlignment="1" applyProtection="1">
      <alignment horizontal="center" vertical="top" wrapText="1"/>
      <protection locked="0"/>
    </xf>
    <xf numFmtId="4" fontId="20" fillId="13" borderId="8" xfId="0" applyNumberFormat="1" applyFont="1" applyFill="1" applyBorder="1" applyAlignment="1" applyProtection="1">
      <alignment horizontal="center" vertical="top" wrapText="1"/>
      <protection hidden="1"/>
    </xf>
    <xf numFmtId="189" fontId="21" fillId="13" borderId="8" xfId="0" applyNumberFormat="1" applyFont="1" applyFill="1" applyBorder="1" applyAlignment="1" applyProtection="1">
      <alignment horizontal="center" vertical="top" wrapText="1"/>
      <protection hidden="1"/>
    </xf>
    <xf numFmtId="0" fontId="22" fillId="13" borderId="8" xfId="0" applyFont="1" applyFill="1" applyBorder="1" applyAlignment="1" applyProtection="1">
      <alignment horizontal="center" vertical="top" wrapText="1"/>
      <protection hidden="1"/>
    </xf>
    <xf numFmtId="0" fontId="8" fillId="13" borderId="8" xfId="0" applyFont="1" applyFill="1" applyBorder="1" applyAlignment="1" applyProtection="1">
      <alignment horizontal="center" vertical="top" wrapText="1"/>
      <protection hidden="1"/>
    </xf>
    <xf numFmtId="0" fontId="23" fillId="14" borderId="8" xfId="0" applyFont="1" applyFill="1" applyBorder="1" applyAlignment="1" applyProtection="1">
      <alignment horizontal="center" vertical="center"/>
      <protection locked="0"/>
    </xf>
    <xf numFmtId="0" fontId="24" fillId="15" borderId="8" xfId="0" applyFont="1" applyFill="1" applyBorder="1" applyAlignment="1" applyProtection="1">
      <alignment horizontal="left" vertical="top" wrapText="1"/>
      <protection locked="0"/>
    </xf>
    <xf numFmtId="0" fontId="23" fillId="14" borderId="8" xfId="0" applyFont="1" applyFill="1" applyBorder="1" applyAlignment="1" applyProtection="1">
      <alignment horizontal="center" vertical="center" wrapText="1"/>
      <protection locked="0"/>
    </xf>
    <xf numFmtId="0" fontId="25" fillId="16" borderId="8" xfId="0" applyFont="1" applyFill="1" applyBorder="1" applyAlignment="1">
      <alignment horizontal="center" vertical="center" wrapText="1"/>
    </xf>
    <xf numFmtId="0" fontId="25" fillId="16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hidden="1"/>
    </xf>
    <xf numFmtId="0" fontId="4" fillId="17" borderId="8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top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3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3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0" fillId="4" borderId="0" xfId="0" applyFont="1" applyFill="1" applyAlignment="1">
      <alignment horizontal="center" vertical="center"/>
    </xf>
    <xf numFmtId="0" fontId="8" fillId="3" borderId="12" xfId="2" applyFont="1" applyFill="1" applyBorder="1" applyAlignment="1">
      <alignment horizontal="center" vertical="center" shrinkToFit="1"/>
    </xf>
    <xf numFmtId="0" fontId="8" fillId="3" borderId="1" xfId="2" applyFont="1" applyFill="1" applyBorder="1" applyAlignment="1">
      <alignment horizontal="center" vertical="center" wrapText="1" shrinkToFit="1"/>
    </xf>
    <xf numFmtId="0" fontId="8" fillId="3" borderId="3" xfId="2" applyFont="1" applyFill="1" applyBorder="1" applyAlignment="1">
      <alignment horizontal="center" vertical="center" wrapText="1" shrinkToFit="1"/>
    </xf>
    <xf numFmtId="0" fontId="27" fillId="3" borderId="12" xfId="2" applyFont="1" applyFill="1" applyBorder="1" applyAlignment="1">
      <alignment horizontal="center" vertical="center" wrapText="1" shrinkToFit="1"/>
    </xf>
    <xf numFmtId="0" fontId="8" fillId="3" borderId="10" xfId="2" applyFont="1" applyFill="1" applyBorder="1" applyAlignment="1">
      <alignment horizontal="center" vertical="center" wrapText="1" shrinkToFit="1"/>
    </xf>
    <xf numFmtId="0" fontId="8" fillId="3" borderId="7" xfId="2" applyFont="1" applyFill="1" applyBorder="1" applyAlignment="1">
      <alignment horizontal="center" vertical="center" wrapText="1" shrinkToFit="1"/>
    </xf>
    <xf numFmtId="0" fontId="8" fillId="3" borderId="13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 shrinkToFit="1"/>
    </xf>
    <xf numFmtId="43" fontId="8" fillId="3" borderId="12" xfId="4" applyFont="1" applyFill="1" applyBorder="1" applyAlignment="1">
      <alignment horizontal="center" vertical="center" wrapText="1" shrinkToFit="1"/>
    </xf>
    <xf numFmtId="3" fontId="8" fillId="3" borderId="12" xfId="2" applyNumberFormat="1" applyFont="1" applyFill="1" applyBorder="1" applyAlignment="1">
      <alignment horizontal="center" vertical="center" wrapText="1" shrinkToFit="1"/>
    </xf>
    <xf numFmtId="49" fontId="8" fillId="3" borderId="12" xfId="2" applyNumberFormat="1" applyFont="1" applyFill="1" applyBorder="1" applyAlignment="1">
      <alignment horizontal="center" vertical="center" shrinkToFit="1"/>
    </xf>
    <xf numFmtId="0" fontId="8" fillId="3" borderId="15" xfId="2" applyFont="1" applyFill="1" applyBorder="1" applyAlignment="1">
      <alignment horizontal="center" vertical="center" shrinkToFit="1"/>
    </xf>
    <xf numFmtId="0" fontId="8" fillId="3" borderId="14" xfId="2" applyFont="1" applyFill="1" applyBorder="1" applyAlignment="1">
      <alignment horizontal="center" vertical="center" wrapText="1" shrinkToFit="1"/>
    </xf>
    <xf numFmtId="0" fontId="8" fillId="3" borderId="16" xfId="2" applyFont="1" applyFill="1" applyBorder="1" applyAlignment="1">
      <alignment horizontal="center" vertical="center" wrapText="1" shrinkToFit="1"/>
    </xf>
    <xf numFmtId="0" fontId="27" fillId="3" borderId="15" xfId="2" applyFont="1" applyFill="1" applyBorder="1" applyAlignment="1">
      <alignment horizontal="center" vertical="center" wrapText="1" shrinkToFit="1"/>
    </xf>
    <xf numFmtId="0" fontId="27" fillId="3" borderId="1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 shrinkToFi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 shrinkToFit="1"/>
    </xf>
    <xf numFmtId="43" fontId="8" fillId="3" borderId="15" xfId="4" applyFont="1" applyFill="1" applyBorder="1" applyAlignment="1">
      <alignment horizontal="center" vertical="center" wrapText="1" shrinkToFit="1"/>
    </xf>
    <xf numFmtId="3" fontId="8" fillId="3" borderId="15" xfId="2" applyNumberFormat="1" applyFont="1" applyFill="1" applyBorder="1" applyAlignment="1">
      <alignment horizontal="center" vertical="center" wrapText="1" shrinkToFit="1"/>
    </xf>
    <xf numFmtId="49" fontId="8" fillId="3" borderId="15" xfId="2" applyNumberFormat="1" applyFont="1" applyFill="1" applyBorder="1" applyAlignment="1">
      <alignment horizontal="center" vertical="center" shrinkToFit="1"/>
    </xf>
    <xf numFmtId="0" fontId="18" fillId="4" borderId="12" xfId="2" applyFont="1" applyFill="1" applyBorder="1" applyAlignment="1">
      <alignment horizontal="center" vertical="top" shrinkToFit="1"/>
    </xf>
    <xf numFmtId="0" fontId="4" fillId="4" borderId="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left" vertical="top" wrapText="1"/>
    </xf>
    <xf numFmtId="4" fontId="4" fillId="4" borderId="17" xfId="0" applyNumberFormat="1" applyFont="1" applyFill="1" applyBorder="1" applyAlignment="1">
      <alignment horizontal="right" vertical="top"/>
    </xf>
    <xf numFmtId="0" fontId="4" fillId="4" borderId="18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4" fontId="4" fillId="4" borderId="0" xfId="0" applyNumberFormat="1" applyFont="1" applyFill="1" applyAlignment="1">
      <alignment horizontal="left" vertical="top"/>
    </xf>
    <xf numFmtId="0" fontId="18" fillId="4" borderId="15" xfId="2" applyFont="1" applyFill="1" applyBorder="1" applyAlignment="1">
      <alignment horizontal="center" vertical="top" shrinkToFit="1"/>
    </xf>
    <xf numFmtId="0" fontId="4" fillId="4" borderId="1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left" vertical="top" wrapText="1"/>
    </xf>
    <xf numFmtId="4" fontId="4" fillId="4" borderId="21" xfId="0" applyNumberFormat="1" applyFont="1" applyFill="1" applyBorder="1" applyAlignment="1">
      <alignment horizontal="right" vertical="top"/>
    </xf>
    <xf numFmtId="0" fontId="4" fillId="4" borderId="22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4" fontId="4" fillId="4" borderId="23" xfId="0" applyNumberFormat="1" applyFont="1" applyFill="1" applyBorder="1" applyAlignment="1">
      <alignment horizontal="right" vertical="top"/>
    </xf>
    <xf numFmtId="0" fontId="4" fillId="4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vertical="top" wrapText="1"/>
    </xf>
    <xf numFmtId="0" fontId="18" fillId="4" borderId="9" xfId="2" applyFont="1" applyFill="1" applyBorder="1" applyAlignment="1">
      <alignment horizontal="center" vertical="top" shrinkToFit="1"/>
    </xf>
    <xf numFmtId="0" fontId="4" fillId="4" borderId="4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25" xfId="0" applyFont="1" applyFill="1" applyBorder="1" applyAlignment="1">
      <alignment horizontal="left" vertical="top" wrapText="1"/>
    </xf>
    <xf numFmtId="4" fontId="4" fillId="4" borderId="26" xfId="0" applyNumberFormat="1" applyFont="1" applyFill="1" applyBorder="1" applyAlignment="1">
      <alignment horizontal="right" vertical="top"/>
    </xf>
    <xf numFmtId="0" fontId="4" fillId="4" borderId="2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28" xfId="0" applyFont="1" applyFill="1" applyBorder="1" applyAlignment="1">
      <alignment horizontal="left" vertical="top" wrapText="1"/>
    </xf>
    <xf numFmtId="4" fontId="4" fillId="4" borderId="19" xfId="0" applyNumberFormat="1" applyFont="1" applyFill="1" applyBorder="1" applyAlignment="1">
      <alignment horizontal="right" vertical="top"/>
    </xf>
    <xf numFmtId="4" fontId="4" fillId="4" borderId="29" xfId="0" applyNumberFormat="1" applyFont="1" applyFill="1" applyBorder="1" applyAlignment="1">
      <alignment horizontal="right" vertical="top"/>
    </xf>
    <xf numFmtId="4" fontId="4" fillId="4" borderId="30" xfId="0" applyNumberFormat="1" applyFont="1" applyFill="1" applyBorder="1" applyAlignment="1">
      <alignment horizontal="right" vertical="top"/>
    </xf>
    <xf numFmtId="4" fontId="4" fillId="4" borderId="31" xfId="0" applyNumberFormat="1" applyFont="1" applyFill="1" applyBorder="1" applyAlignment="1">
      <alignment horizontal="right" vertical="top"/>
    </xf>
    <xf numFmtId="0" fontId="4" fillId="4" borderId="32" xfId="0" applyFont="1" applyFill="1" applyBorder="1" applyAlignment="1">
      <alignment vertical="top" wrapText="1"/>
    </xf>
    <xf numFmtId="0" fontId="4" fillId="4" borderId="32" xfId="0" applyFont="1" applyFill="1" applyBorder="1" applyAlignment="1">
      <alignment horizontal="left" vertical="top" wrapText="1"/>
    </xf>
    <xf numFmtId="4" fontId="4" fillId="4" borderId="33" xfId="0" applyNumberFormat="1" applyFont="1" applyFill="1" applyBorder="1" applyAlignment="1">
      <alignment horizontal="right" vertical="top"/>
    </xf>
    <xf numFmtId="4" fontId="4" fillId="4" borderId="34" xfId="0" applyNumberFormat="1" applyFont="1" applyFill="1" applyBorder="1" applyAlignment="1">
      <alignment horizontal="right" vertical="top"/>
    </xf>
    <xf numFmtId="0" fontId="4" fillId="4" borderId="24" xfId="0" applyFont="1" applyFill="1" applyBorder="1" applyAlignment="1">
      <alignment horizontal="left" vertical="top" wrapText="1"/>
    </xf>
    <xf numFmtId="4" fontId="4" fillId="4" borderId="35" xfId="0" applyNumberFormat="1" applyFont="1" applyFill="1" applyBorder="1" applyAlignment="1">
      <alignment horizontal="right" vertical="top"/>
    </xf>
    <xf numFmtId="4" fontId="4" fillId="4" borderId="36" xfId="0" applyNumberFormat="1" applyFont="1" applyFill="1" applyBorder="1" applyAlignment="1">
      <alignment horizontal="right" vertical="top"/>
    </xf>
    <xf numFmtId="4" fontId="4" fillId="4" borderId="37" xfId="0" applyNumberFormat="1" applyFont="1" applyFill="1" applyBorder="1" applyAlignment="1">
      <alignment horizontal="right" vertical="top"/>
    </xf>
    <xf numFmtId="4" fontId="4" fillId="4" borderId="38" xfId="0" applyNumberFormat="1" applyFont="1" applyFill="1" applyBorder="1" applyAlignment="1">
      <alignment horizontal="right" vertical="top"/>
    </xf>
    <xf numFmtId="4" fontId="4" fillId="4" borderId="39" xfId="0" applyNumberFormat="1" applyFont="1" applyFill="1" applyBorder="1" applyAlignment="1">
      <alignment horizontal="right" vertical="top"/>
    </xf>
    <xf numFmtId="4" fontId="4" fillId="4" borderId="40" xfId="0" applyNumberFormat="1" applyFont="1" applyFill="1" applyBorder="1" applyAlignment="1">
      <alignment horizontal="right" vertical="top"/>
    </xf>
    <xf numFmtId="4" fontId="4" fillId="4" borderId="24" xfId="0" applyNumberFormat="1" applyFont="1" applyFill="1" applyBorder="1" applyAlignment="1">
      <alignment horizontal="right" vertical="top"/>
    </xf>
    <xf numFmtId="0" fontId="4" fillId="4" borderId="9" xfId="0" applyFont="1" applyFill="1" applyBorder="1" applyAlignment="1">
      <alignment horizontal="left" vertical="top" wrapText="1"/>
    </xf>
    <xf numFmtId="4" fontId="4" fillId="4" borderId="41" xfId="0" applyNumberFormat="1" applyFont="1" applyFill="1" applyBorder="1" applyAlignment="1">
      <alignment horizontal="right" vertical="top"/>
    </xf>
    <xf numFmtId="0" fontId="4" fillId="4" borderId="42" xfId="0" applyFont="1" applyFill="1" applyBorder="1" applyAlignment="1">
      <alignment vertical="top" wrapText="1"/>
    </xf>
    <xf numFmtId="4" fontId="4" fillId="4" borderId="43" xfId="0" applyNumberFormat="1" applyFont="1" applyFill="1" applyBorder="1" applyAlignment="1">
      <alignment horizontal="right" vertical="top"/>
    </xf>
    <xf numFmtId="4" fontId="4" fillId="4" borderId="44" xfId="0" applyNumberFormat="1" applyFont="1" applyFill="1" applyBorder="1" applyAlignment="1">
      <alignment horizontal="right" vertical="top"/>
    </xf>
    <xf numFmtId="4" fontId="4" fillId="4" borderId="45" xfId="0" applyNumberFormat="1" applyFont="1" applyFill="1" applyBorder="1" applyAlignment="1">
      <alignment horizontal="right" vertical="top"/>
    </xf>
    <xf numFmtId="0" fontId="4" fillId="4" borderId="46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left" vertical="top" wrapText="1"/>
    </xf>
    <xf numFmtId="0" fontId="4" fillId="4" borderId="47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4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/>
    </xf>
    <xf numFmtId="4" fontId="4" fillId="4" borderId="20" xfId="0" applyNumberFormat="1" applyFont="1" applyFill="1" applyBorder="1" applyAlignment="1">
      <alignment horizontal="right" vertical="top"/>
    </xf>
    <xf numFmtId="4" fontId="4" fillId="4" borderId="49" xfId="0" applyNumberFormat="1" applyFont="1" applyFill="1" applyBorder="1" applyAlignment="1">
      <alignment horizontal="right" vertical="top"/>
    </xf>
    <xf numFmtId="0" fontId="18" fillId="4" borderId="8" xfId="2" applyFont="1" applyFill="1" applyBorder="1" applyAlignment="1">
      <alignment horizontal="center" vertical="top" shrinkToFit="1"/>
    </xf>
    <xf numFmtId="0" fontId="18" fillId="4" borderId="10" xfId="0" applyFont="1" applyFill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vertical="top" wrapText="1"/>
    </xf>
    <xf numFmtId="0" fontId="18" fillId="4" borderId="9" xfId="0" applyFont="1" applyFill="1" applyBorder="1" applyAlignment="1">
      <alignment horizontal="left" vertical="top" wrapText="1"/>
    </xf>
    <xf numFmtId="4" fontId="18" fillId="4" borderId="50" xfId="0" applyNumberFormat="1" applyFont="1" applyFill="1" applyBorder="1" applyAlignment="1">
      <alignment horizontal="right" vertical="top"/>
    </xf>
    <xf numFmtId="0" fontId="18" fillId="4" borderId="51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9" fontId="4" fillId="4" borderId="24" xfId="0" applyNumberFormat="1" applyFont="1" applyFill="1" applyBorder="1" applyAlignment="1">
      <alignment vertical="top" wrapText="1"/>
    </xf>
    <xf numFmtId="4" fontId="4" fillId="4" borderId="52" xfId="0" applyNumberFormat="1" applyFont="1" applyFill="1" applyBorder="1" applyAlignment="1">
      <alignment horizontal="right" vertical="top"/>
    </xf>
    <xf numFmtId="0" fontId="4" fillId="4" borderId="15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4" fontId="4" fillId="4" borderId="32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5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/>
    </xf>
    <xf numFmtId="0" fontId="4" fillId="4" borderId="22" xfId="0" applyFont="1" applyFill="1" applyBorder="1" applyAlignment="1">
      <alignment vertical="top" wrapText="1"/>
    </xf>
    <xf numFmtId="0" fontId="18" fillId="4" borderId="9" xfId="2" applyFont="1" applyFill="1" applyBorder="1" applyAlignment="1">
      <alignment horizontal="center" vertical="top" shrinkToFit="1"/>
    </xf>
    <xf numFmtId="0" fontId="4" fillId="4" borderId="10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4" fontId="4" fillId="4" borderId="50" xfId="0" applyNumberFormat="1" applyFont="1" applyFill="1" applyBorder="1" applyAlignment="1">
      <alignment horizontal="right" vertical="top"/>
    </xf>
    <xf numFmtId="0" fontId="4" fillId="4" borderId="12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 wrapText="1"/>
    </xf>
    <xf numFmtId="4" fontId="4" fillId="4" borderId="54" xfId="0" applyNumberFormat="1" applyFont="1" applyFill="1" applyBorder="1" applyAlignment="1">
      <alignment horizontal="right" vertical="top"/>
    </xf>
    <xf numFmtId="0" fontId="14" fillId="4" borderId="55" xfId="0" applyFont="1" applyFill="1" applyBorder="1" applyAlignment="1">
      <alignment horizontal="left" vertical="top"/>
    </xf>
    <xf numFmtId="0" fontId="14" fillId="4" borderId="56" xfId="0" applyFont="1" applyFill="1" applyBorder="1" applyAlignment="1">
      <alignment horizontal="left" vertical="top"/>
    </xf>
    <xf numFmtId="0" fontId="4" fillId="4" borderId="57" xfId="0" applyFont="1" applyFill="1" applyBorder="1" applyAlignment="1">
      <alignment horizontal="left" vertical="top" wrapText="1"/>
    </xf>
    <xf numFmtId="4" fontId="4" fillId="4" borderId="42" xfId="0" applyNumberFormat="1" applyFont="1" applyFill="1" applyBorder="1" applyAlignment="1">
      <alignment horizontal="right" vertical="top"/>
    </xf>
    <xf numFmtId="0" fontId="4" fillId="16" borderId="0" xfId="0" applyFont="1" applyFill="1" applyAlignment="1">
      <alignment horizontal="left" vertical="top"/>
    </xf>
    <xf numFmtId="0" fontId="14" fillId="4" borderId="14" xfId="0" applyFont="1" applyFill="1" applyBorder="1" applyAlignment="1">
      <alignment horizontal="left" vertical="top"/>
    </xf>
    <xf numFmtId="0" fontId="14" fillId="4" borderId="16" xfId="0" applyFont="1" applyFill="1" applyBorder="1" applyAlignment="1">
      <alignment horizontal="left" vertical="top"/>
    </xf>
    <xf numFmtId="0" fontId="4" fillId="4" borderId="58" xfId="0" applyFont="1" applyFill="1" applyBorder="1" applyAlignment="1">
      <alignment horizontal="left" vertical="top" wrapText="1"/>
    </xf>
    <xf numFmtId="0" fontId="14" fillId="4" borderId="59" xfId="0" applyFont="1" applyFill="1" applyBorder="1" applyAlignment="1">
      <alignment horizontal="left" vertical="top"/>
    </xf>
    <xf numFmtId="0" fontId="14" fillId="4" borderId="60" xfId="0" applyFont="1" applyFill="1" applyBorder="1" applyAlignment="1">
      <alignment horizontal="left" vertical="top"/>
    </xf>
    <xf numFmtId="0" fontId="4" fillId="4" borderId="61" xfId="0" applyFont="1" applyFill="1" applyBorder="1" applyAlignment="1">
      <alignment horizontal="left" vertical="top" wrapText="1"/>
    </xf>
    <xf numFmtId="0" fontId="4" fillId="4" borderId="53" xfId="0" applyFont="1" applyFill="1" applyBorder="1" applyAlignment="1">
      <alignment vertical="top" wrapText="1"/>
    </xf>
    <xf numFmtId="0" fontId="4" fillId="4" borderId="62" xfId="0" applyFont="1" applyFill="1" applyBorder="1" applyAlignment="1">
      <alignment horizontal="left" vertical="top" wrapText="1"/>
    </xf>
    <xf numFmtId="4" fontId="4" fillId="4" borderId="53" xfId="0" applyNumberFormat="1" applyFont="1" applyFill="1" applyBorder="1" applyAlignment="1">
      <alignment horizontal="right" vertical="top"/>
    </xf>
    <xf numFmtId="0" fontId="4" fillId="4" borderId="63" xfId="0" applyFont="1" applyFill="1" applyBorder="1" applyAlignment="1">
      <alignment horizontal="left" vertical="top" wrapText="1"/>
    </xf>
    <xf numFmtId="0" fontId="14" fillId="4" borderId="64" xfId="0" applyFont="1" applyFill="1" applyBorder="1" applyAlignment="1">
      <alignment horizontal="left" vertical="top" wrapText="1"/>
    </xf>
    <xf numFmtId="0" fontId="14" fillId="4" borderId="65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left" vertical="top" wrapText="1"/>
    </xf>
    <xf numFmtId="4" fontId="4" fillId="4" borderId="8" xfId="0" applyNumberFormat="1" applyFont="1" applyFill="1" applyBorder="1" applyAlignment="1">
      <alignment horizontal="right" vertical="top"/>
    </xf>
    <xf numFmtId="0" fontId="4" fillId="18" borderId="0" xfId="0" applyFont="1" applyFill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4" borderId="16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4" fontId="4" fillId="4" borderId="9" xfId="0" applyNumberFormat="1" applyFont="1" applyFill="1" applyBorder="1" applyAlignment="1">
      <alignment horizontal="right" vertical="top"/>
    </xf>
    <xf numFmtId="0" fontId="4" fillId="4" borderId="49" xfId="0" applyFont="1" applyFill="1" applyBorder="1" applyAlignment="1">
      <alignment horizontal="left" vertical="top" wrapText="1"/>
    </xf>
    <xf numFmtId="0" fontId="18" fillId="4" borderId="12" xfId="2" applyFont="1" applyFill="1" applyBorder="1" applyAlignment="1">
      <alignment horizontal="center" vertical="top" shrinkToFit="1"/>
    </xf>
    <xf numFmtId="0" fontId="4" fillId="4" borderId="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18" xfId="0" applyFont="1" applyFill="1" applyBorder="1" applyAlignment="1">
      <alignment horizontal="left" vertical="top" wrapText="1"/>
    </xf>
    <xf numFmtId="0" fontId="14" fillId="4" borderId="66" xfId="0" applyFont="1" applyFill="1" applyBorder="1" applyAlignment="1">
      <alignment horizontal="left" vertical="top" wrapText="1"/>
    </xf>
    <xf numFmtId="0" fontId="14" fillId="4" borderId="67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14" fillId="4" borderId="55" xfId="0" applyFont="1" applyFill="1" applyBorder="1" applyAlignment="1">
      <alignment horizontal="left" vertical="top" wrapText="1"/>
    </xf>
    <xf numFmtId="0" fontId="14" fillId="4" borderId="56" xfId="0" applyFont="1" applyFill="1" applyBorder="1" applyAlignment="1">
      <alignment horizontal="left" vertical="top" wrapText="1"/>
    </xf>
    <xf numFmtId="0" fontId="14" fillId="4" borderId="59" xfId="0" applyFont="1" applyFill="1" applyBorder="1" applyAlignment="1">
      <alignment horizontal="left" vertical="top" wrapText="1"/>
    </xf>
    <xf numFmtId="0" fontId="14" fillId="4" borderId="60" xfId="0" applyFont="1" applyFill="1" applyBorder="1" applyAlignment="1">
      <alignment horizontal="left" vertical="top" wrapText="1"/>
    </xf>
    <xf numFmtId="0" fontId="4" fillId="4" borderId="68" xfId="0" applyFont="1" applyFill="1" applyBorder="1" applyAlignment="1">
      <alignment horizontal="left" vertical="top" wrapText="1"/>
    </xf>
    <xf numFmtId="4" fontId="4" fillId="4" borderId="69" xfId="0" applyNumberFormat="1" applyFont="1" applyFill="1" applyBorder="1" applyAlignment="1">
      <alignment horizontal="right" vertical="top"/>
    </xf>
    <xf numFmtId="0" fontId="4" fillId="4" borderId="70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vertical="top" wrapText="1"/>
    </xf>
    <xf numFmtId="0" fontId="18" fillId="4" borderId="19" xfId="0" applyFont="1" applyFill="1" applyBorder="1" applyAlignment="1">
      <alignment vertical="top" wrapText="1"/>
    </xf>
    <xf numFmtId="0" fontId="18" fillId="4" borderId="12" xfId="2" applyFont="1" applyFill="1" applyBorder="1" applyAlignment="1">
      <alignment horizontal="center" vertical="top" wrapText="1" shrinkToFit="1"/>
    </xf>
    <xf numFmtId="0" fontId="18" fillId="4" borderId="15" xfId="2" applyFont="1" applyFill="1" applyBorder="1" applyAlignment="1">
      <alignment horizontal="center" vertical="top" wrapText="1" shrinkToFit="1"/>
    </xf>
    <xf numFmtId="0" fontId="18" fillId="4" borderId="9" xfId="2" applyFont="1" applyFill="1" applyBorder="1" applyAlignment="1">
      <alignment horizontal="center" vertical="top" wrapText="1" shrinkToFit="1"/>
    </xf>
    <xf numFmtId="0" fontId="18" fillId="4" borderId="12" xfId="2" applyFont="1" applyFill="1" applyBorder="1" applyAlignment="1">
      <alignment horizontal="center" vertical="top" wrapText="1" shrinkToFit="1"/>
    </xf>
    <xf numFmtId="0" fontId="4" fillId="4" borderId="1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18" fillId="4" borderId="8" xfId="2" applyFont="1" applyFill="1" applyBorder="1" applyAlignment="1">
      <alignment horizontal="center" vertical="top" wrapText="1" shrinkToFit="1"/>
    </xf>
    <xf numFmtId="0" fontId="18" fillId="4" borderId="8" xfId="2" applyFont="1" applyFill="1" applyBorder="1" applyAlignment="1">
      <alignment horizontal="center" vertical="top" wrapText="1" shrinkToFit="1"/>
    </xf>
    <xf numFmtId="0" fontId="4" fillId="4" borderId="71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18" fillId="4" borderId="15" xfId="2" applyFont="1" applyFill="1" applyBorder="1" applyAlignment="1">
      <alignment horizontal="center" vertical="top" shrinkToFit="1"/>
    </xf>
    <xf numFmtId="4" fontId="4" fillId="4" borderId="72" xfId="0" applyNumberFormat="1" applyFont="1" applyFill="1" applyBorder="1" applyAlignment="1">
      <alignment horizontal="right" vertical="top"/>
    </xf>
    <xf numFmtId="0" fontId="4" fillId="4" borderId="22" xfId="0" applyFont="1" applyFill="1" applyBorder="1" applyAlignment="1">
      <alignment horizontal="left" vertical="top" wrapText="1"/>
    </xf>
    <xf numFmtId="9" fontId="4" fillId="4" borderId="12" xfId="0" applyNumberFormat="1" applyFont="1" applyFill="1" applyBorder="1" applyAlignment="1">
      <alignment horizontal="center" vertical="top" wrapText="1"/>
    </xf>
    <xf numFmtId="0" fontId="4" fillId="4" borderId="73" xfId="0" applyFont="1" applyFill="1" applyBorder="1" applyAlignment="1">
      <alignment horizontal="left" vertical="top" wrapText="1"/>
    </xf>
    <xf numFmtId="4" fontId="4" fillId="4" borderId="74" xfId="0" applyNumberFormat="1" applyFont="1" applyFill="1" applyBorder="1" applyAlignment="1">
      <alignment horizontal="right" vertical="top"/>
    </xf>
    <xf numFmtId="0" fontId="4" fillId="4" borderId="32" xfId="0" applyFont="1" applyFill="1" applyBorder="1" applyAlignment="1">
      <alignment horizontal="left" vertical="top"/>
    </xf>
    <xf numFmtId="0" fontId="14" fillId="4" borderId="15" xfId="0" applyFont="1" applyFill="1" applyBorder="1" applyAlignment="1">
      <alignment vertical="top" wrapText="1"/>
    </xf>
    <xf numFmtId="0" fontId="14" fillId="4" borderId="24" xfId="0" applyFont="1" applyFill="1" applyBorder="1" applyAlignment="1">
      <alignment horizontal="left" vertical="top" wrapText="1"/>
    </xf>
    <xf numFmtId="0" fontId="14" fillId="4" borderId="19" xfId="0" applyFont="1" applyFill="1" applyBorder="1" applyAlignment="1">
      <alignment horizontal="left" vertical="top" wrapText="1"/>
    </xf>
    <xf numFmtId="0" fontId="14" fillId="4" borderId="32" xfId="0" applyFont="1" applyFill="1" applyBorder="1" applyAlignment="1">
      <alignment vertical="top" wrapText="1"/>
    </xf>
    <xf numFmtId="0" fontId="18" fillId="4" borderId="8" xfId="2" applyFont="1" applyFill="1" applyBorder="1" applyAlignment="1">
      <alignment horizontal="center" vertical="top" shrinkToFit="1"/>
    </xf>
    <xf numFmtId="0" fontId="18" fillId="4" borderId="1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top" wrapText="1"/>
    </xf>
    <xf numFmtId="0" fontId="14" fillId="4" borderId="42" xfId="0" applyFont="1" applyFill="1" applyBorder="1" applyAlignment="1">
      <alignment vertical="top" wrapText="1"/>
    </xf>
    <xf numFmtId="0" fontId="18" fillId="4" borderId="14" xfId="0" applyFont="1" applyFill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  <xf numFmtId="0" fontId="14" fillId="4" borderId="24" xfId="0" applyFont="1" applyFill="1" applyBorder="1" applyAlignment="1">
      <alignment vertical="top" wrapText="1"/>
    </xf>
    <xf numFmtId="4" fontId="4" fillId="4" borderId="0" xfId="0" applyNumberFormat="1" applyFont="1" applyFill="1" applyAlignment="1">
      <alignment horizontal="right" vertical="top"/>
    </xf>
    <xf numFmtId="4" fontId="4" fillId="4" borderId="3" xfId="0" applyNumberFormat="1" applyFont="1" applyFill="1" applyBorder="1" applyAlignment="1">
      <alignment horizontal="right" vertical="top"/>
    </xf>
    <xf numFmtId="4" fontId="4" fillId="4" borderId="75" xfId="0" applyNumberFormat="1" applyFont="1" applyFill="1" applyBorder="1" applyAlignment="1">
      <alignment horizontal="right" vertical="top"/>
    </xf>
    <xf numFmtId="4" fontId="4" fillId="4" borderId="76" xfId="0" applyNumberFormat="1" applyFont="1" applyFill="1" applyBorder="1" applyAlignment="1">
      <alignment horizontal="right" vertical="top"/>
    </xf>
    <xf numFmtId="4" fontId="4" fillId="4" borderId="77" xfId="0" applyNumberFormat="1" applyFont="1" applyFill="1" applyBorder="1" applyAlignment="1">
      <alignment horizontal="right" vertical="top"/>
    </xf>
    <xf numFmtId="4" fontId="4" fillId="4" borderId="78" xfId="0" applyNumberFormat="1" applyFont="1" applyFill="1" applyBorder="1" applyAlignment="1">
      <alignment horizontal="right" vertical="top"/>
    </xf>
    <xf numFmtId="4" fontId="4" fillId="4" borderId="79" xfId="0" applyNumberFormat="1" applyFont="1" applyFill="1" applyBorder="1" applyAlignment="1">
      <alignment horizontal="right" vertical="top"/>
    </xf>
    <xf numFmtId="4" fontId="4" fillId="4" borderId="80" xfId="0" applyNumberFormat="1" applyFont="1" applyFill="1" applyBorder="1" applyAlignment="1">
      <alignment horizontal="right" vertical="top"/>
    </xf>
    <xf numFmtId="4" fontId="4" fillId="4" borderId="81" xfId="0" applyNumberFormat="1" applyFont="1" applyFill="1" applyBorder="1" applyAlignment="1">
      <alignment horizontal="right" vertical="top"/>
    </xf>
    <xf numFmtId="4" fontId="4" fillId="4" borderId="82" xfId="0" applyNumberFormat="1" applyFont="1" applyFill="1" applyBorder="1" applyAlignment="1">
      <alignment horizontal="right" vertical="top"/>
    </xf>
    <xf numFmtId="4" fontId="4" fillId="4" borderId="16" xfId="0" applyNumberFormat="1" applyFont="1" applyFill="1" applyBorder="1" applyAlignment="1">
      <alignment horizontal="right" vertical="top"/>
    </xf>
    <xf numFmtId="4" fontId="4" fillId="4" borderId="6" xfId="0" applyNumberFormat="1" applyFont="1" applyFill="1" applyBorder="1" applyAlignment="1">
      <alignment horizontal="right" vertical="top"/>
    </xf>
    <xf numFmtId="4" fontId="4" fillId="4" borderId="83" xfId="0" applyNumberFormat="1" applyFont="1" applyFill="1" applyBorder="1" applyAlignment="1">
      <alignment horizontal="right" vertical="top"/>
    </xf>
    <xf numFmtId="4" fontId="4" fillId="4" borderId="84" xfId="0" applyNumberFormat="1" applyFont="1" applyFill="1" applyBorder="1" applyAlignment="1">
      <alignment horizontal="right" vertical="top"/>
    </xf>
    <xf numFmtId="0" fontId="4" fillId="4" borderId="83" xfId="0" applyFont="1" applyFill="1" applyBorder="1" applyAlignment="1">
      <alignment vertical="top" wrapText="1"/>
    </xf>
    <xf numFmtId="4" fontId="4" fillId="4" borderId="85" xfId="0" applyNumberFormat="1" applyFont="1" applyFill="1" applyBorder="1" applyAlignment="1">
      <alignment horizontal="right" vertical="top"/>
    </xf>
    <xf numFmtId="0" fontId="4" fillId="4" borderId="75" xfId="0" applyFont="1" applyFill="1" applyBorder="1" applyAlignment="1">
      <alignment vertical="top" wrapText="1"/>
    </xf>
    <xf numFmtId="0" fontId="4" fillId="4" borderId="84" xfId="0" applyFont="1" applyFill="1" applyBorder="1" applyAlignment="1">
      <alignment vertical="top" wrapText="1"/>
    </xf>
    <xf numFmtId="0" fontId="4" fillId="4" borderId="85" xfId="0" applyFont="1" applyFill="1" applyBorder="1" applyAlignment="1">
      <alignment vertical="top" wrapText="1"/>
    </xf>
    <xf numFmtId="0" fontId="4" fillId="4" borderId="81" xfId="0" applyFont="1" applyFill="1" applyBorder="1" applyAlignment="1">
      <alignment vertical="top" wrapText="1"/>
    </xf>
    <xf numFmtId="0" fontId="4" fillId="4" borderId="85" xfId="0" applyFont="1" applyFill="1" applyBorder="1" applyAlignment="1">
      <alignment horizontal="right" vertical="top"/>
    </xf>
    <xf numFmtId="0" fontId="14" fillId="4" borderId="17" xfId="0" applyFont="1" applyFill="1" applyBorder="1" applyAlignment="1">
      <alignment horizontal="left" vertical="top" wrapText="1"/>
    </xf>
    <xf numFmtId="4" fontId="4" fillId="4" borderId="12" xfId="0" applyNumberFormat="1" applyFont="1" applyFill="1" applyBorder="1" applyAlignment="1">
      <alignment horizontal="right" vertical="top"/>
    </xf>
    <xf numFmtId="0" fontId="18" fillId="4" borderId="24" xfId="0" applyFont="1" applyFill="1" applyBorder="1" applyAlignment="1">
      <alignment horizontal="left" vertical="top" wrapText="1"/>
    </xf>
    <xf numFmtId="0" fontId="14" fillId="4" borderId="31" xfId="0" applyFont="1" applyFill="1" applyBorder="1" applyAlignment="1">
      <alignment horizontal="left" vertical="top" wrapText="1"/>
    </xf>
    <xf numFmtId="0" fontId="14" fillId="4" borderId="30" xfId="0" applyFont="1" applyFill="1" applyBorder="1" applyAlignment="1">
      <alignment vertical="top" wrapText="1"/>
    </xf>
    <xf numFmtId="0" fontId="14" fillId="4" borderId="32" xfId="0" applyFont="1" applyFill="1" applyBorder="1" applyAlignment="1">
      <alignment vertical="top"/>
    </xf>
    <xf numFmtId="4" fontId="4" fillId="4" borderId="51" xfId="0" applyNumberFormat="1" applyFont="1" applyFill="1" applyBorder="1" applyAlignment="1">
      <alignment horizontal="right" vertical="top"/>
    </xf>
    <xf numFmtId="0" fontId="4" fillId="4" borderId="5" xfId="0" applyFont="1" applyFill="1" applyBorder="1" applyAlignment="1">
      <alignment horizontal="left" vertical="top" wrapText="1"/>
    </xf>
    <xf numFmtId="4" fontId="4" fillId="4" borderId="15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9" fontId="4" fillId="4" borderId="1" xfId="0" applyNumberFormat="1" applyFont="1" applyFill="1" applyBorder="1" applyAlignment="1">
      <alignment horizontal="center" vertical="top" wrapText="1"/>
    </xf>
    <xf numFmtId="9" fontId="4" fillId="4" borderId="14" xfId="0" applyNumberFormat="1" applyFont="1" applyFill="1" applyBorder="1" applyAlignment="1">
      <alignment horizontal="center" vertical="top" wrapText="1"/>
    </xf>
    <xf numFmtId="9" fontId="4" fillId="4" borderId="4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4" fontId="4" fillId="4" borderId="57" xfId="0" applyNumberFormat="1" applyFont="1" applyFill="1" applyBorder="1" applyAlignment="1">
      <alignment horizontal="right" vertical="top"/>
    </xf>
    <xf numFmtId="0" fontId="4" fillId="4" borderId="42" xfId="0" applyFont="1" applyFill="1" applyBorder="1" applyAlignment="1">
      <alignment horizontal="left" vertical="top" wrapText="1"/>
    </xf>
    <xf numFmtId="0" fontId="4" fillId="4" borderId="86" xfId="0" applyFont="1" applyFill="1" applyBorder="1" applyAlignment="1">
      <alignment horizontal="left" vertical="top" wrapText="1"/>
    </xf>
    <xf numFmtId="4" fontId="4" fillId="4" borderId="58" xfId="0" applyNumberFormat="1" applyFont="1" applyFill="1" applyBorder="1" applyAlignment="1">
      <alignment horizontal="right" vertical="top"/>
    </xf>
    <xf numFmtId="0" fontId="4" fillId="4" borderId="24" xfId="0" applyFont="1" applyFill="1" applyBorder="1" applyAlignment="1">
      <alignment horizontal="left" vertical="top" wrapText="1"/>
    </xf>
    <xf numFmtId="4" fontId="4" fillId="4" borderId="68" xfId="0" applyNumberFormat="1" applyFont="1" applyFill="1" applyBorder="1" applyAlignment="1">
      <alignment horizontal="right" vertical="top"/>
    </xf>
    <xf numFmtId="0" fontId="4" fillId="4" borderId="32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center" vertical="top" wrapText="1"/>
    </xf>
    <xf numFmtId="4" fontId="4" fillId="4" borderId="87" xfId="0" applyNumberFormat="1" applyFont="1" applyFill="1" applyBorder="1" applyAlignment="1">
      <alignment horizontal="right" vertical="top"/>
    </xf>
    <xf numFmtId="0" fontId="4" fillId="4" borderId="16" xfId="0" applyFont="1" applyFill="1" applyBorder="1" applyAlignment="1">
      <alignment horizontal="left" vertical="top" wrapText="1"/>
    </xf>
    <xf numFmtId="4" fontId="4" fillId="4" borderId="56" xfId="0" applyNumberFormat="1" applyFont="1" applyFill="1" applyBorder="1" applyAlignment="1">
      <alignment horizontal="right" vertical="top"/>
    </xf>
    <xf numFmtId="4" fontId="4" fillId="4" borderId="60" xfId="0" applyNumberFormat="1" applyFont="1" applyFill="1" applyBorder="1" applyAlignment="1">
      <alignment horizontal="right" vertical="top"/>
    </xf>
    <xf numFmtId="4" fontId="4" fillId="4" borderId="67" xfId="0" applyNumberFormat="1" applyFont="1" applyFill="1" applyBorder="1" applyAlignment="1">
      <alignment horizontal="right" vertical="top"/>
    </xf>
    <xf numFmtId="0" fontId="4" fillId="4" borderId="13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4" fontId="4" fillId="4" borderId="13" xfId="0" applyNumberFormat="1" applyFont="1" applyFill="1" applyBorder="1" applyAlignment="1">
      <alignment horizontal="right" vertical="top"/>
    </xf>
    <xf numFmtId="0" fontId="14" fillId="4" borderId="12" xfId="0" applyFont="1" applyFill="1" applyBorder="1" applyAlignment="1">
      <alignment vertical="top"/>
    </xf>
    <xf numFmtId="0" fontId="14" fillId="4" borderId="12" xfId="0" applyFont="1" applyFill="1" applyBorder="1" applyAlignment="1">
      <alignment vertical="top" wrapText="1"/>
    </xf>
    <xf numFmtId="0" fontId="14" fillId="4" borderId="19" xfId="0" applyFont="1" applyFill="1" applyBorder="1" applyAlignment="1">
      <alignment vertical="top"/>
    </xf>
    <xf numFmtId="0" fontId="14" fillId="4" borderId="19" xfId="0" applyFont="1" applyFill="1" applyBorder="1" applyAlignment="1">
      <alignment vertical="top" wrapText="1"/>
    </xf>
    <xf numFmtId="0" fontId="14" fillId="4" borderId="24" xfId="0" applyFont="1" applyFill="1" applyBorder="1" applyAlignment="1">
      <alignment vertical="top"/>
    </xf>
    <xf numFmtId="0" fontId="14" fillId="4" borderId="9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/>
    </xf>
    <xf numFmtId="4" fontId="4" fillId="4" borderId="88" xfId="0" applyNumberFormat="1" applyFont="1" applyFill="1" applyBorder="1" applyAlignment="1">
      <alignment horizontal="right" vertical="top"/>
    </xf>
    <xf numFmtId="4" fontId="4" fillId="4" borderId="89" xfId="0" applyNumberFormat="1" applyFont="1" applyFill="1" applyBorder="1" applyAlignment="1">
      <alignment horizontal="right" vertical="top"/>
    </xf>
    <xf numFmtId="0" fontId="14" fillId="4" borderId="66" xfId="0" applyFont="1" applyFill="1" applyBorder="1" applyAlignment="1">
      <alignment horizontal="left" vertical="top"/>
    </xf>
    <xf numFmtId="0" fontId="14" fillId="4" borderId="67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center" vertical="top" wrapText="1"/>
    </xf>
    <xf numFmtId="4" fontId="4" fillId="4" borderId="12" xfId="0" applyNumberFormat="1" applyFont="1" applyFill="1" applyBorder="1" applyAlignment="1">
      <alignment vertical="top"/>
    </xf>
    <xf numFmtId="4" fontId="4" fillId="4" borderId="24" xfId="0" applyNumberFormat="1" applyFont="1" applyFill="1" applyBorder="1" applyAlignment="1">
      <alignment vertical="top" wrapText="1"/>
    </xf>
    <xf numFmtId="4" fontId="4" fillId="4" borderId="19" xfId="0" applyNumberFormat="1" applyFont="1" applyFill="1" applyBorder="1" applyAlignment="1">
      <alignment vertical="top"/>
    </xf>
    <xf numFmtId="0" fontId="4" fillId="4" borderId="8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 wrapText="1"/>
    </xf>
    <xf numFmtId="9" fontId="4" fillId="4" borderId="4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0" fontId="4" fillId="4" borderId="54" xfId="0" applyFont="1" applyFill="1" applyBorder="1" applyAlignment="1">
      <alignment horizontal="left" vertical="top" wrapText="1"/>
    </xf>
    <xf numFmtId="0" fontId="4" fillId="4" borderId="90" xfId="0" applyFont="1" applyFill="1" applyBorder="1" applyAlignment="1">
      <alignment horizontal="left" vertical="top" wrapText="1"/>
    </xf>
    <xf numFmtId="4" fontId="4" fillId="4" borderId="91" xfId="0" applyNumberFormat="1" applyFont="1" applyFill="1" applyBorder="1" applyAlignment="1">
      <alignment horizontal="right" vertical="top"/>
    </xf>
    <xf numFmtId="4" fontId="4" fillId="4" borderId="92" xfId="0" applyNumberFormat="1" applyFont="1" applyFill="1" applyBorder="1" applyAlignment="1">
      <alignment horizontal="right" vertical="top"/>
    </xf>
    <xf numFmtId="4" fontId="4" fillId="4" borderId="93" xfId="0" applyNumberFormat="1" applyFont="1" applyFill="1" applyBorder="1" applyAlignment="1">
      <alignment horizontal="right" vertical="top"/>
    </xf>
    <xf numFmtId="4" fontId="4" fillId="4" borderId="94" xfId="0" applyNumberFormat="1" applyFont="1" applyFill="1" applyBorder="1" applyAlignment="1">
      <alignment horizontal="right" vertical="top"/>
    </xf>
    <xf numFmtId="0" fontId="4" fillId="4" borderId="95" xfId="0" applyFont="1" applyFill="1" applyBorder="1" applyAlignment="1">
      <alignment vertical="top" wrapText="1"/>
    </xf>
    <xf numFmtId="0" fontId="4" fillId="4" borderId="96" xfId="0" applyFont="1" applyFill="1" applyBorder="1" applyAlignment="1">
      <alignment vertical="top" wrapText="1"/>
    </xf>
    <xf numFmtId="0" fontId="4" fillId="4" borderId="63" xfId="0" applyFont="1" applyFill="1" applyBorder="1" applyAlignment="1">
      <alignment vertical="top" wrapText="1"/>
    </xf>
    <xf numFmtId="0" fontId="4" fillId="4" borderId="72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4" fillId="4" borderId="3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96" xfId="0" applyFont="1" applyFill="1" applyBorder="1" applyAlignment="1">
      <alignment horizontal="left" vertical="top" wrapText="1"/>
    </xf>
    <xf numFmtId="0" fontId="4" fillId="4" borderId="95" xfId="0" applyFont="1" applyFill="1" applyBorder="1" applyAlignment="1">
      <alignment horizontal="left" vertical="top" wrapText="1"/>
    </xf>
    <xf numFmtId="0" fontId="18" fillId="4" borderId="15" xfId="2" applyFont="1" applyFill="1" applyBorder="1" applyAlignment="1">
      <alignment horizontal="center" vertical="top" wrapText="1" shrinkToFit="1"/>
    </xf>
    <xf numFmtId="0" fontId="4" fillId="4" borderId="19" xfId="0" applyFont="1" applyFill="1" applyBorder="1" applyAlignment="1">
      <alignment horizontal="center" vertical="top" wrapText="1"/>
    </xf>
    <xf numFmtId="4" fontId="4" fillId="4" borderId="97" xfId="0" applyNumberFormat="1" applyFont="1" applyFill="1" applyBorder="1" applyAlignment="1">
      <alignment horizontal="right" vertical="top"/>
    </xf>
    <xf numFmtId="0" fontId="4" fillId="4" borderId="12" xfId="0" applyFont="1" applyFill="1" applyBorder="1" applyAlignment="1">
      <alignment vertical="top"/>
    </xf>
    <xf numFmtId="0" fontId="4" fillId="4" borderId="70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vertical="top"/>
    </xf>
    <xf numFmtId="0" fontId="14" fillId="4" borderId="8" xfId="0" applyFont="1" applyFill="1" applyBorder="1" applyAlignment="1">
      <alignment vertical="top" wrapText="1"/>
    </xf>
    <xf numFmtId="4" fontId="4" fillId="4" borderId="27" xfId="0" applyNumberFormat="1" applyFont="1" applyFill="1" applyBorder="1" applyAlignment="1">
      <alignment horizontal="right" vertical="top"/>
    </xf>
    <xf numFmtId="4" fontId="4" fillId="4" borderId="98" xfId="0" applyNumberFormat="1" applyFont="1" applyFill="1" applyBorder="1" applyAlignment="1">
      <alignment horizontal="right" vertical="top"/>
    </xf>
    <xf numFmtId="0" fontId="4" fillId="4" borderId="70" xfId="0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vertical="top" wrapText="1"/>
    </xf>
    <xf numFmtId="0" fontId="4" fillId="4" borderId="99" xfId="0" applyFont="1" applyFill="1" applyBorder="1" applyAlignment="1">
      <alignment horizontal="center" vertical="top" wrapText="1"/>
    </xf>
    <xf numFmtId="0" fontId="4" fillId="4" borderId="30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4" fillId="4" borderId="100" xfId="0" applyFont="1" applyFill="1" applyBorder="1" applyAlignment="1">
      <alignment horizontal="center" vertical="top" wrapText="1"/>
    </xf>
    <xf numFmtId="0" fontId="4" fillId="4" borderId="31" xfId="0" applyFont="1" applyFill="1" applyBorder="1" applyAlignment="1">
      <alignment vertical="top" wrapText="1"/>
    </xf>
    <xf numFmtId="4" fontId="4" fillId="4" borderId="33" xfId="0" applyNumberFormat="1" applyFont="1" applyFill="1" applyBorder="1" applyAlignment="1">
      <alignment vertical="top"/>
    </xf>
    <xf numFmtId="4" fontId="4" fillId="4" borderId="12" xfId="0" applyNumberFormat="1" applyFont="1" applyFill="1" applyBorder="1" applyAlignment="1">
      <alignment horizontal="center" vertical="top" wrapText="1"/>
    </xf>
    <xf numFmtId="10" fontId="4" fillId="4" borderId="19" xfId="0" applyNumberFormat="1" applyFont="1" applyFill="1" applyBorder="1" applyAlignment="1">
      <alignment vertical="top" wrapText="1"/>
    </xf>
    <xf numFmtId="10" fontId="4" fillId="4" borderId="24" xfId="0" applyNumberFormat="1" applyFont="1" applyFill="1" applyBorder="1" applyAlignment="1">
      <alignment vertical="top" wrapText="1"/>
    </xf>
    <xf numFmtId="4" fontId="4" fillId="4" borderId="101" xfId="0" applyNumberFormat="1" applyFont="1" applyFill="1" applyBorder="1" applyAlignment="1">
      <alignment horizontal="right" vertical="top"/>
    </xf>
    <xf numFmtId="4" fontId="4" fillId="4" borderId="102" xfId="0" applyNumberFormat="1" applyFont="1" applyFill="1" applyBorder="1" applyAlignment="1">
      <alignment horizontal="right" vertical="top"/>
    </xf>
    <xf numFmtId="0" fontId="4" fillId="4" borderId="84" xfId="0" applyFont="1" applyFill="1" applyBorder="1" applyAlignment="1">
      <alignment horizontal="left" vertical="top" wrapText="1"/>
    </xf>
    <xf numFmtId="0" fontId="14" fillId="4" borderId="53" xfId="0" applyFont="1" applyFill="1" applyBorder="1" applyAlignment="1">
      <alignment vertical="top" wrapText="1"/>
    </xf>
    <xf numFmtId="0" fontId="18" fillId="4" borderId="4" xfId="0" applyFont="1" applyFill="1" applyBorder="1" applyAlignment="1">
      <alignment horizontal="left" vertical="top" wrapText="1"/>
    </xf>
    <xf numFmtId="0" fontId="18" fillId="4" borderId="6" xfId="0" applyFont="1" applyFill="1" applyBorder="1" applyAlignment="1">
      <alignment horizontal="left" vertical="top" wrapText="1"/>
    </xf>
  </cellXfs>
  <cellStyles count="5">
    <cellStyle name="Comma" xfId="1" builtinId="3"/>
    <cellStyle name="Comma 2" xfId="4"/>
    <cellStyle name="Comma 9" xf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33"/>
  <sheetViews>
    <sheetView tabSelected="1" zoomScale="60" zoomScaleNormal="60" workbookViewId="0">
      <pane xSplit="4" ySplit="6" topLeftCell="M16" activePane="bottomRight" state="frozen"/>
      <selection activeCell="D35" sqref="D35:D39"/>
      <selection pane="topRight" activeCell="D35" sqref="D35:D39"/>
      <selection pane="bottomLeft" activeCell="D35" sqref="D35:D39"/>
      <selection pane="bottomRight" activeCell="C34" sqref="C34:J39"/>
    </sheetView>
  </sheetViews>
  <sheetFormatPr defaultColWidth="9" defaultRowHeight="24" x14ac:dyDescent="0.2"/>
  <cols>
    <col min="1" max="1" width="10.125" style="6" customWidth="1"/>
    <col min="2" max="2" width="13.5" style="134" customWidth="1"/>
    <col min="3" max="3" width="22.75" style="134" customWidth="1"/>
    <col min="4" max="4" width="9" style="134"/>
    <col min="5" max="6" width="18.75" style="134" customWidth="1"/>
    <col min="7" max="7" width="14.75" style="134" customWidth="1"/>
    <col min="8" max="10" width="18.75" style="134" customWidth="1"/>
    <col min="11" max="11" width="20.125" style="134" customWidth="1"/>
    <col min="12" max="12" width="11.5" style="134" bestFit="1" customWidth="1"/>
    <col min="13" max="13" width="16.625" style="134" bestFit="1" customWidth="1"/>
    <col min="14" max="14" width="27.875" style="134" bestFit="1" customWidth="1"/>
    <col min="15" max="15" width="47" style="134" bestFit="1" customWidth="1"/>
    <col min="16" max="16" width="12.125" style="6" customWidth="1"/>
    <col min="17" max="51" width="9" style="6"/>
    <col min="52" max="16384" width="9" style="134"/>
  </cols>
  <sheetData>
    <row r="1" spans="1:2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</row>
    <row r="2" spans="1:21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8" t="s">
        <v>5</v>
      </c>
      <c r="M2" s="12"/>
      <c r="N2" s="5"/>
      <c r="O2" s="5"/>
    </row>
    <row r="3" spans="1:21" s="6" customFormat="1" x14ac:dyDescent="0.2">
      <c r="A3" s="13" t="s">
        <v>6</v>
      </c>
      <c r="B3" s="14" t="s">
        <v>7</v>
      </c>
      <c r="C3" s="15"/>
      <c r="D3" s="15" t="s">
        <v>8</v>
      </c>
      <c r="E3" s="16" t="s">
        <v>9</v>
      </c>
      <c r="F3" s="16"/>
      <c r="G3" s="16"/>
      <c r="H3" s="16"/>
      <c r="I3" s="16"/>
      <c r="J3" s="16"/>
      <c r="K3" s="16"/>
      <c r="L3" s="16"/>
      <c r="M3" s="16"/>
      <c r="N3" s="17"/>
      <c r="O3" s="17"/>
    </row>
    <row r="4" spans="1:21" ht="21" customHeight="1" x14ac:dyDescent="0.2">
      <c r="A4" s="18" t="s">
        <v>10</v>
      </c>
      <c r="B4" s="19" t="s">
        <v>11</v>
      </c>
      <c r="C4" s="19"/>
      <c r="D4" s="19" t="s">
        <v>12</v>
      </c>
      <c r="E4" s="18" t="s">
        <v>13</v>
      </c>
      <c r="F4" s="18"/>
      <c r="G4" s="18"/>
      <c r="H4" s="18"/>
      <c r="I4" s="18"/>
      <c r="J4" s="20" t="s">
        <v>14</v>
      </c>
      <c r="K4" s="19" t="s">
        <v>15</v>
      </c>
      <c r="L4" s="19" t="s">
        <v>16</v>
      </c>
      <c r="M4" s="19" t="s">
        <v>17</v>
      </c>
      <c r="N4" s="21" t="s">
        <v>18</v>
      </c>
      <c r="O4" s="21" t="s">
        <v>19</v>
      </c>
    </row>
    <row r="5" spans="1:21" ht="21" customHeight="1" x14ac:dyDescent="0.2">
      <c r="A5" s="18"/>
      <c r="B5" s="19"/>
      <c r="C5" s="19"/>
      <c r="D5" s="19"/>
      <c r="E5" s="18" t="s">
        <v>20</v>
      </c>
      <c r="F5" s="18"/>
      <c r="G5" s="18"/>
      <c r="H5" s="22" t="s">
        <v>21</v>
      </c>
      <c r="I5" s="19" t="s">
        <v>22</v>
      </c>
      <c r="J5" s="20"/>
      <c r="K5" s="19"/>
      <c r="L5" s="19"/>
      <c r="M5" s="19"/>
      <c r="N5" s="21"/>
      <c r="O5" s="21"/>
    </row>
    <row r="6" spans="1:21" ht="21" customHeight="1" x14ac:dyDescent="0.2">
      <c r="A6" s="18"/>
      <c r="B6" s="19"/>
      <c r="C6" s="19"/>
      <c r="D6" s="19"/>
      <c r="E6" s="23" t="s">
        <v>23</v>
      </c>
      <c r="F6" s="22" t="s">
        <v>24</v>
      </c>
      <c r="G6" s="22" t="s">
        <v>22</v>
      </c>
      <c r="H6" s="22" t="s">
        <v>25</v>
      </c>
      <c r="I6" s="19"/>
      <c r="J6" s="20"/>
      <c r="K6" s="19"/>
      <c r="L6" s="19"/>
      <c r="M6" s="19"/>
      <c r="N6" s="21"/>
      <c r="O6" s="21"/>
    </row>
    <row r="7" spans="1:21" s="6" customFormat="1" ht="23.25" customHeight="1" x14ac:dyDescent="0.2">
      <c r="A7" s="24" t="s">
        <v>26</v>
      </c>
      <c r="B7" s="24"/>
      <c r="C7" s="24"/>
      <c r="D7" s="25">
        <v>25000</v>
      </c>
      <c r="E7" s="26">
        <f>SUM(E8:E18)</f>
        <v>2899850</v>
      </c>
      <c r="F7" s="26">
        <f>SUM(F8:F18)</f>
        <v>23563570.800000001</v>
      </c>
      <c r="G7" s="26">
        <f>E7+F7</f>
        <v>26463420.800000001</v>
      </c>
      <c r="H7" s="26">
        <f>SUM(H8:H18)</f>
        <v>36422434</v>
      </c>
      <c r="I7" s="26">
        <f>G7+H7</f>
        <v>62885854.799999997</v>
      </c>
      <c r="J7" s="27">
        <f>SUM(J8:J18)</f>
        <v>601</v>
      </c>
      <c r="K7" s="28">
        <f>IFERROR(ROUND((I7/J7),2),0)</f>
        <v>104635.37</v>
      </c>
      <c r="L7" s="29">
        <f>IF(K7=0,0,IF(K7="N/A",1,IF(K7&lt;=Q$9,1,IF(K7=R$9,2,IF(K7&lt;R$9,(((K7-Q$9)/U$7)+1),IF(K7=S$9,3,IF(K7&lt;S$9,(((K7-R$9)/U$7)+2),IF(K7=T$9,4,IF(K7&lt;T$9,(((K7-S$9)/U$7)+3),IF(K7&gt;=U$9,5,IF(K7&lt;U$9,(((K7-T$9)/U$7)+4),0)))))))))))</f>
        <v>5</v>
      </c>
      <c r="M7" s="30" t="str">
        <f>IF(L7=5,"ü","û")</f>
        <v>ü</v>
      </c>
      <c r="N7" s="31"/>
      <c r="O7" s="31"/>
      <c r="P7" s="32"/>
      <c r="Q7" s="32" t="s">
        <v>27</v>
      </c>
      <c r="R7" s="32"/>
      <c r="S7" s="32"/>
      <c r="T7" s="32"/>
      <c r="U7" s="33">
        <v>5000</v>
      </c>
    </row>
    <row r="8" spans="1:21" s="6" customFormat="1" ht="23.25" customHeight="1" x14ac:dyDescent="0.2">
      <c r="A8" s="34">
        <v>1</v>
      </c>
      <c r="B8" s="35" t="s">
        <v>28</v>
      </c>
      <c r="C8" s="35"/>
      <c r="D8" s="36">
        <v>25000</v>
      </c>
      <c r="E8" s="37">
        <v>360040</v>
      </c>
      <c r="F8" s="38">
        <v>180200</v>
      </c>
      <c r="G8" s="39">
        <f t="shared" ref="G8:G30" si="0">E8+F8</f>
        <v>540240</v>
      </c>
      <c r="H8" s="37">
        <v>12500</v>
      </c>
      <c r="I8" s="39">
        <f>G8+H8</f>
        <v>552740</v>
      </c>
      <c r="J8" s="40">
        <v>54</v>
      </c>
      <c r="K8" s="41">
        <f>IFERROR(ROUND((I8/J8),2),0)</f>
        <v>10235.93</v>
      </c>
      <c r="L8" s="42">
        <f>IF(K8=0,0,IF(K8="N/A",1,IF(K8&lt;=Q$9,1,IF(K8=R$9,2,IF(K8&lt;R$9,(((K8-Q$9)/U$7)+1),IF(K8=S$9,3,IF(K8&lt;S$9,(((K8-R$9)/U$7)+2),IF(K8=T$9,4,IF(K8&lt;T$9,(((K8-S$9)/U$7)+3),IF(K8&gt;=U$9,5,IF(K8&lt;U$9,(((K8-T$9)/U$7)+4),0)))))))))))</f>
        <v>2.047186</v>
      </c>
      <c r="M8" s="43" t="str">
        <f t="shared" ref="M8:M18" si="1">IF(L8=5,"ü","û")</f>
        <v>û</v>
      </c>
      <c r="N8" s="44">
        <v>9865.56</v>
      </c>
      <c r="O8" s="45" t="s">
        <v>29</v>
      </c>
      <c r="P8" s="32"/>
      <c r="Q8" s="46" t="s">
        <v>30</v>
      </c>
      <c r="R8" s="46" t="s">
        <v>31</v>
      </c>
      <c r="S8" s="46" t="s">
        <v>32</v>
      </c>
      <c r="T8" s="46" t="s">
        <v>33</v>
      </c>
      <c r="U8" s="46" t="s">
        <v>34</v>
      </c>
    </row>
    <row r="9" spans="1:21" s="6" customFormat="1" ht="23.25" customHeight="1" x14ac:dyDescent="0.2">
      <c r="A9" s="34">
        <v>2</v>
      </c>
      <c r="B9" s="47" t="s">
        <v>35</v>
      </c>
      <c r="C9" s="47"/>
      <c r="D9" s="36">
        <v>25000</v>
      </c>
      <c r="E9" s="37">
        <v>159490</v>
      </c>
      <c r="F9" s="38">
        <v>1023530.8</v>
      </c>
      <c r="G9" s="48">
        <f t="shared" si="0"/>
        <v>1183020.8</v>
      </c>
      <c r="H9" s="37">
        <v>3063725</v>
      </c>
      <c r="I9" s="48">
        <f>G9+H9</f>
        <v>4246745.8</v>
      </c>
      <c r="J9" s="40">
        <v>51</v>
      </c>
      <c r="K9" s="41">
        <f t="shared" ref="K9:K18" si="2">IFERROR(ROUND((I9/J9),2),0)</f>
        <v>83269.53</v>
      </c>
      <c r="L9" s="42">
        <f t="shared" ref="L9:L18" si="3">IF(K9=0,0,IF(K9="N/A",1,IF(K9&lt;=Q$9,1,IF(K9=R$9,2,IF(K9&lt;R$9,(((K9-Q$9)/U$7)+1),IF(K9=S$9,3,IF(K9&lt;S$9,(((K9-R$9)/U$7)+2),IF(K9=T$9,4,IF(K9&lt;T$9,(((K9-S$9)/U$7)+3),IF(K9&gt;=U$9,5,IF(K9&lt;U$9,(((K9-T$9)/U$7)+4),0)))))))))))</f>
        <v>5</v>
      </c>
      <c r="M9" s="43" t="str">
        <f t="shared" si="1"/>
        <v>ü</v>
      </c>
      <c r="N9" s="44">
        <v>85475.41</v>
      </c>
      <c r="O9" s="45" t="s">
        <v>29</v>
      </c>
      <c r="P9" s="32" t="s">
        <v>36</v>
      </c>
      <c r="Q9" s="49">
        <v>5000</v>
      </c>
      <c r="R9" s="49">
        <v>10000</v>
      </c>
      <c r="S9" s="49">
        <v>15000</v>
      </c>
      <c r="T9" s="49">
        <v>20000</v>
      </c>
      <c r="U9" s="49">
        <v>25000</v>
      </c>
    </row>
    <row r="10" spans="1:21" s="6" customFormat="1" ht="23.25" customHeight="1" x14ac:dyDescent="0.2">
      <c r="A10" s="34">
        <v>3</v>
      </c>
      <c r="B10" s="47" t="s">
        <v>37</v>
      </c>
      <c r="C10" s="47"/>
      <c r="D10" s="36">
        <v>25000</v>
      </c>
      <c r="E10" s="37">
        <v>123690</v>
      </c>
      <c r="F10" s="38">
        <v>521225</v>
      </c>
      <c r="G10" s="48">
        <f t="shared" si="0"/>
        <v>644915</v>
      </c>
      <c r="H10" s="37">
        <v>2141400</v>
      </c>
      <c r="I10" s="48">
        <f t="shared" ref="I10:I31" si="4">G10+H10</f>
        <v>2786315</v>
      </c>
      <c r="J10" s="40">
        <v>55</v>
      </c>
      <c r="K10" s="41">
        <f t="shared" si="2"/>
        <v>50660.27</v>
      </c>
      <c r="L10" s="42">
        <f t="shared" si="3"/>
        <v>5</v>
      </c>
      <c r="M10" s="43" t="str">
        <f t="shared" si="1"/>
        <v>ü</v>
      </c>
      <c r="N10" s="50">
        <v>41782.82</v>
      </c>
      <c r="O10" s="45" t="s">
        <v>29</v>
      </c>
      <c r="P10" s="32" t="s">
        <v>38</v>
      </c>
      <c r="Q10" s="49">
        <v>40000</v>
      </c>
      <c r="R10" s="49">
        <v>45000</v>
      </c>
      <c r="S10" s="49">
        <v>50000</v>
      </c>
      <c r="T10" s="49">
        <v>55000</v>
      </c>
      <c r="U10" s="49">
        <v>60000</v>
      </c>
    </row>
    <row r="11" spans="1:21" s="6" customFormat="1" ht="24" customHeight="1" x14ac:dyDescent="0.55000000000000004">
      <c r="A11" s="34">
        <v>4</v>
      </c>
      <c r="B11" s="47" t="s">
        <v>39</v>
      </c>
      <c r="C11" s="47"/>
      <c r="D11" s="36">
        <v>25000</v>
      </c>
      <c r="E11" s="37">
        <v>438500</v>
      </c>
      <c r="F11" s="38">
        <v>8913611</v>
      </c>
      <c r="G11" s="48">
        <f t="shared" si="0"/>
        <v>9352111</v>
      </c>
      <c r="H11" s="37">
        <v>425000</v>
      </c>
      <c r="I11" s="48">
        <f>G11+H11</f>
        <v>9777111</v>
      </c>
      <c r="J11" s="40">
        <v>47</v>
      </c>
      <c r="K11" s="41">
        <f t="shared" si="2"/>
        <v>208023.64</v>
      </c>
      <c r="L11" s="42">
        <f>IF(K11=0,0,IF(K11="N/A",1,IF(K11&lt;=Q$9,1,IF(K11=R$9,2,IF(K11&lt;R$9,(((K11-Q$9)/U$7)+1),IF(K11=S$9,3,IF(K11&lt;S$9,(((K11-R$9)/U$7)+2),IF(K11=T$9,4,IF(K11&lt;T$9,(((K11-S$9)/U$7)+3),IF(K11&gt;=U$9,5,IF(K11&lt;U$9,(((K11-T$9)/U$7)+4),0)))))))))))</f>
        <v>5</v>
      </c>
      <c r="M11" s="43" t="str">
        <f t="shared" si="1"/>
        <v>ü</v>
      </c>
      <c r="N11" s="51">
        <v>187644.17</v>
      </c>
      <c r="O11" s="45" t="s">
        <v>29</v>
      </c>
      <c r="P11" s="32" t="s">
        <v>40</v>
      </c>
      <c r="Q11" s="49">
        <v>30000</v>
      </c>
      <c r="R11" s="49">
        <v>35000</v>
      </c>
      <c r="S11" s="49">
        <v>40000</v>
      </c>
      <c r="T11" s="49">
        <v>45000</v>
      </c>
      <c r="U11" s="49">
        <v>50000</v>
      </c>
    </row>
    <row r="12" spans="1:21" s="6" customFormat="1" ht="23.25" customHeight="1" x14ac:dyDescent="0.55000000000000004">
      <c r="A12" s="34">
        <v>5</v>
      </c>
      <c r="B12" s="47" t="s">
        <v>41</v>
      </c>
      <c r="C12" s="47"/>
      <c r="D12" s="36">
        <v>25000</v>
      </c>
      <c r="E12" s="37">
        <v>594680</v>
      </c>
      <c r="F12" s="38">
        <v>8962970.25</v>
      </c>
      <c r="G12" s="48">
        <f t="shared" si="0"/>
        <v>9557650.25</v>
      </c>
      <c r="H12" s="37">
        <v>14384101</v>
      </c>
      <c r="I12" s="48">
        <f t="shared" si="4"/>
        <v>23941751.25</v>
      </c>
      <c r="J12" s="40">
        <v>93</v>
      </c>
      <c r="K12" s="41">
        <f t="shared" si="2"/>
        <v>257438.19</v>
      </c>
      <c r="L12" s="42">
        <f t="shared" si="3"/>
        <v>5</v>
      </c>
      <c r="M12" s="43" t="str">
        <f t="shared" si="1"/>
        <v>ü</v>
      </c>
      <c r="N12" s="52">
        <v>114863.99</v>
      </c>
      <c r="O12" s="45" t="s">
        <v>29</v>
      </c>
    </row>
    <row r="13" spans="1:21" s="6" customFormat="1" ht="23.25" customHeight="1" x14ac:dyDescent="0.55000000000000004">
      <c r="A13" s="34">
        <v>6</v>
      </c>
      <c r="B13" s="47" t="s">
        <v>42</v>
      </c>
      <c r="C13" s="47"/>
      <c r="D13" s="36">
        <v>25000</v>
      </c>
      <c r="E13" s="37">
        <v>305650</v>
      </c>
      <c r="F13" s="37">
        <v>169149</v>
      </c>
      <c r="G13" s="39">
        <f t="shared" si="0"/>
        <v>474799</v>
      </c>
      <c r="H13" s="37">
        <v>1395000</v>
      </c>
      <c r="I13" s="39">
        <f t="shared" si="4"/>
        <v>1869799</v>
      </c>
      <c r="J13" s="40">
        <v>52</v>
      </c>
      <c r="K13" s="41">
        <f t="shared" si="2"/>
        <v>35957.67</v>
      </c>
      <c r="L13" s="42">
        <f t="shared" si="3"/>
        <v>5</v>
      </c>
      <c r="M13" s="43" t="str">
        <f t="shared" si="1"/>
        <v>ü</v>
      </c>
      <c r="N13" s="52">
        <v>21053.82</v>
      </c>
      <c r="O13" s="45" t="s">
        <v>29</v>
      </c>
    </row>
    <row r="14" spans="1:21" s="6" customFormat="1" x14ac:dyDescent="0.55000000000000004">
      <c r="A14" s="34">
        <v>7</v>
      </c>
      <c r="B14" s="47" t="s">
        <v>43</v>
      </c>
      <c r="C14" s="47"/>
      <c r="D14" s="36">
        <v>25000</v>
      </c>
      <c r="E14" s="37">
        <v>289215</v>
      </c>
      <c r="F14" s="37">
        <v>2649784.75</v>
      </c>
      <c r="G14" s="39">
        <f t="shared" si="0"/>
        <v>2938999.75</v>
      </c>
      <c r="H14" s="37">
        <v>884325</v>
      </c>
      <c r="I14" s="39">
        <f t="shared" si="4"/>
        <v>3823324.75</v>
      </c>
      <c r="J14" s="40">
        <v>58</v>
      </c>
      <c r="K14" s="41">
        <f t="shared" si="2"/>
        <v>65919.39</v>
      </c>
      <c r="L14" s="42">
        <f t="shared" si="3"/>
        <v>5</v>
      </c>
      <c r="M14" s="43" t="str">
        <f t="shared" si="1"/>
        <v>ü</v>
      </c>
      <c r="N14" s="52">
        <v>64586.29</v>
      </c>
      <c r="O14" s="45" t="s">
        <v>29</v>
      </c>
    </row>
    <row r="15" spans="1:21" s="6" customFormat="1" x14ac:dyDescent="0.55000000000000004">
      <c r="A15" s="34">
        <v>8</v>
      </c>
      <c r="B15" s="47" t="s">
        <v>44</v>
      </c>
      <c r="C15" s="47"/>
      <c r="D15" s="36">
        <v>25000</v>
      </c>
      <c r="E15" s="37">
        <v>150005</v>
      </c>
      <c r="F15" s="37">
        <v>1128100</v>
      </c>
      <c r="G15" s="39">
        <f t="shared" si="0"/>
        <v>1278105</v>
      </c>
      <c r="H15" s="37">
        <v>7032664</v>
      </c>
      <c r="I15" s="39">
        <f t="shared" si="4"/>
        <v>8310769</v>
      </c>
      <c r="J15" s="40">
        <v>64</v>
      </c>
      <c r="K15" s="41">
        <f t="shared" si="2"/>
        <v>129855.77</v>
      </c>
      <c r="L15" s="42">
        <f t="shared" si="3"/>
        <v>5</v>
      </c>
      <c r="M15" s="43" t="str">
        <f t="shared" si="1"/>
        <v>ü</v>
      </c>
      <c r="N15" s="52">
        <v>129137.02</v>
      </c>
      <c r="O15" s="45" t="s">
        <v>29</v>
      </c>
    </row>
    <row r="16" spans="1:21" s="6" customFormat="1" x14ac:dyDescent="0.55000000000000004">
      <c r="A16" s="34">
        <v>9</v>
      </c>
      <c r="B16" s="47" t="s">
        <v>45</v>
      </c>
      <c r="C16" s="47"/>
      <c r="D16" s="36">
        <v>25000</v>
      </c>
      <c r="E16" s="37">
        <v>124405</v>
      </c>
      <c r="F16" s="37">
        <v>15000</v>
      </c>
      <c r="G16" s="39">
        <f t="shared" si="0"/>
        <v>139405</v>
      </c>
      <c r="H16" s="37">
        <v>5355075</v>
      </c>
      <c r="I16" s="39">
        <f t="shared" si="4"/>
        <v>5494480</v>
      </c>
      <c r="J16" s="40">
        <v>43</v>
      </c>
      <c r="K16" s="41">
        <f t="shared" si="2"/>
        <v>127778.6</v>
      </c>
      <c r="L16" s="42">
        <f>IF(K16=0,0,IF(K16="N/A",1,IF(K16&lt;=Q$9,1,IF(K16=R$9,2,IF(K16&lt;R$9,(((K16-Q$9)/U$7)+1),IF(K16=S$9,3,IF(K16&lt;S$9,(((K16-R$9)/U$7)+2),IF(K16=T$9,4,IF(K16&lt;T$9,(((K16-S$9)/U$7)+3),IF(K16&gt;=U$9,5,IF(K16&lt;U$9,(((K16-T$9)/U$7)+4),0)))))))))))</f>
        <v>5</v>
      </c>
      <c r="M16" s="43" t="str">
        <f t="shared" si="1"/>
        <v>ü</v>
      </c>
      <c r="N16" s="53">
        <v>168119.19</v>
      </c>
      <c r="O16" s="45" t="s">
        <v>29</v>
      </c>
    </row>
    <row r="17" spans="1:15" s="6" customFormat="1" x14ac:dyDescent="0.55000000000000004">
      <c r="A17" s="54"/>
      <c r="B17" s="47" t="s">
        <v>46</v>
      </c>
      <c r="C17" s="47"/>
      <c r="D17" s="36">
        <v>25000</v>
      </c>
      <c r="E17" s="55">
        <v>157975</v>
      </c>
      <c r="F17" s="56">
        <v>0</v>
      </c>
      <c r="G17" s="39">
        <f t="shared" si="0"/>
        <v>157975</v>
      </c>
      <c r="H17" s="55">
        <v>1345000</v>
      </c>
      <c r="I17" s="39">
        <f t="shared" si="4"/>
        <v>1502975</v>
      </c>
      <c r="J17" s="57">
        <v>63</v>
      </c>
      <c r="K17" s="41">
        <f t="shared" si="2"/>
        <v>23856.75</v>
      </c>
      <c r="L17" s="42">
        <f t="shared" si="3"/>
        <v>4.77135</v>
      </c>
      <c r="M17" s="43" t="str">
        <f t="shared" si="1"/>
        <v>û</v>
      </c>
      <c r="N17" s="52">
        <v>22559.919999999998</v>
      </c>
      <c r="O17" s="45" t="s">
        <v>29</v>
      </c>
    </row>
    <row r="18" spans="1:15" s="6" customFormat="1" x14ac:dyDescent="0.55000000000000004">
      <c r="A18" s="34">
        <v>10</v>
      </c>
      <c r="B18" s="47" t="s">
        <v>47</v>
      </c>
      <c r="C18" s="47"/>
      <c r="D18" s="58">
        <v>25000</v>
      </c>
      <c r="E18" s="59">
        <f>SUM(E19:E22)</f>
        <v>196200</v>
      </c>
      <c r="F18" s="59"/>
      <c r="G18" s="60">
        <f>E18+F18</f>
        <v>196200</v>
      </c>
      <c r="H18" s="61">
        <f>SUM(H19:H22)</f>
        <v>383644</v>
      </c>
      <c r="I18" s="60">
        <f>G18+H18</f>
        <v>579844</v>
      </c>
      <c r="J18" s="62">
        <v>21</v>
      </c>
      <c r="K18" s="41">
        <f t="shared" si="2"/>
        <v>27611.62</v>
      </c>
      <c r="L18" s="42">
        <f t="shared" si="3"/>
        <v>5</v>
      </c>
      <c r="M18" s="43" t="str">
        <f t="shared" si="1"/>
        <v>ü</v>
      </c>
      <c r="N18" s="52">
        <v>26711.62</v>
      </c>
      <c r="O18" s="45" t="s">
        <v>29</v>
      </c>
    </row>
    <row r="19" spans="1:15" s="6" customFormat="1" ht="24" customHeight="1" x14ac:dyDescent="0.2">
      <c r="A19" s="63"/>
      <c r="B19" s="64" t="s">
        <v>48</v>
      </c>
      <c r="C19" s="64"/>
      <c r="D19" s="65"/>
      <c r="E19" s="61">
        <v>54100</v>
      </c>
      <c r="F19" s="59"/>
      <c r="G19" s="60">
        <f t="shared" ref="G19:G23" si="5">E19+F19</f>
        <v>54100</v>
      </c>
      <c r="H19" s="61">
        <f>325000+9548</f>
        <v>334548</v>
      </c>
      <c r="I19" s="60"/>
      <c r="J19" s="66">
        <v>7</v>
      </c>
      <c r="K19" s="67"/>
      <c r="L19" s="68"/>
      <c r="M19" s="69"/>
      <c r="N19" s="70"/>
      <c r="O19" s="71"/>
    </row>
    <row r="20" spans="1:15" s="6" customFormat="1" ht="24" customHeight="1" x14ac:dyDescent="0.2">
      <c r="A20" s="63"/>
      <c r="B20" s="64" t="s">
        <v>49</v>
      </c>
      <c r="C20" s="64"/>
      <c r="D20" s="65"/>
      <c r="E20" s="61">
        <v>70900</v>
      </c>
      <c r="F20" s="72"/>
      <c r="G20" s="60">
        <f t="shared" si="5"/>
        <v>70900</v>
      </c>
      <c r="H20" s="61">
        <v>39548</v>
      </c>
      <c r="I20" s="60"/>
      <c r="J20" s="73">
        <v>4</v>
      </c>
      <c r="K20" s="67"/>
      <c r="L20" s="68"/>
      <c r="M20" s="69"/>
      <c r="N20" s="70"/>
      <c r="O20" s="71"/>
    </row>
    <row r="21" spans="1:15" s="6" customFormat="1" ht="24" customHeight="1" x14ac:dyDescent="0.2">
      <c r="A21" s="63"/>
      <c r="B21" s="64" t="s">
        <v>50</v>
      </c>
      <c r="C21" s="64"/>
      <c r="D21" s="65"/>
      <c r="E21" s="61">
        <v>41000</v>
      </c>
      <c r="F21" s="72"/>
      <c r="G21" s="60">
        <f t="shared" si="5"/>
        <v>41000</v>
      </c>
      <c r="H21" s="61">
        <v>9548</v>
      </c>
      <c r="I21" s="60"/>
      <c r="J21" s="73">
        <v>5</v>
      </c>
      <c r="K21" s="67"/>
      <c r="L21" s="68"/>
      <c r="M21" s="69"/>
      <c r="N21" s="70"/>
      <c r="O21" s="71"/>
    </row>
    <row r="22" spans="1:15" s="6" customFormat="1" ht="24" customHeight="1" x14ac:dyDescent="0.55000000000000004">
      <c r="A22" s="63"/>
      <c r="B22" s="64" t="s">
        <v>51</v>
      </c>
      <c r="C22" s="64"/>
      <c r="D22" s="74"/>
      <c r="E22" s="75">
        <v>30200</v>
      </c>
      <c r="F22" s="76"/>
      <c r="G22" s="77">
        <f t="shared" si="5"/>
        <v>30200</v>
      </c>
      <c r="H22" s="61">
        <v>0</v>
      </c>
      <c r="I22" s="76"/>
      <c r="J22" s="78">
        <v>5</v>
      </c>
      <c r="K22" s="67"/>
      <c r="L22" s="68"/>
      <c r="M22" s="69"/>
      <c r="N22" s="70"/>
      <c r="O22" s="71"/>
    </row>
    <row r="23" spans="1:15" s="6" customFormat="1" ht="21" customHeight="1" x14ac:dyDescent="0.2">
      <c r="A23" s="79" t="s">
        <v>52</v>
      </c>
      <c r="B23" s="80"/>
      <c r="C23" s="81"/>
      <c r="D23" s="82">
        <v>60000</v>
      </c>
      <c r="E23" s="83">
        <f>SUM(E24:E27)</f>
        <v>810270</v>
      </c>
      <c r="F23" s="83">
        <f>SUM(F24:F27)</f>
        <v>9247345.0500000007</v>
      </c>
      <c r="G23" s="83">
        <f t="shared" si="5"/>
        <v>10057615.050000001</v>
      </c>
      <c r="H23" s="83">
        <f>SUM(H24:H27)</f>
        <v>108973190</v>
      </c>
      <c r="I23" s="83">
        <f t="shared" si="4"/>
        <v>119030805.05</v>
      </c>
      <c r="J23" s="84">
        <f>SUM(J24:J27)</f>
        <v>179</v>
      </c>
      <c r="K23" s="28">
        <f>IFERROR(ROUND((I23/J23),2),0)</f>
        <v>664976.56000000006</v>
      </c>
      <c r="L23" s="85">
        <f>IF(K23=0,0,IF(K23="N/A",1,IF(K23&lt;=Q$10,1,IF(K23=R$10,2,IF(K23&lt;R$10,(((K23-Q$10)/U$7)+1),IF(K23=S$10,3,IF(K23&lt;S$10,(((K23-R$10)/U$7)+2),IF(K23=T$10,4,IF(K23&lt;T$10,(((K23-S$10)/U$7)+3),IF(K23&gt;=U$10,5,IF(K23&lt;U$10,(((K23-T$10)/U$7)+4),0)))))))))))</f>
        <v>5</v>
      </c>
      <c r="M23" s="86" t="str">
        <f>IF(L23=5,"ü","û")</f>
        <v>ü</v>
      </c>
      <c r="N23" s="31"/>
      <c r="O23" s="87"/>
    </row>
    <row r="24" spans="1:15" s="6" customFormat="1" x14ac:dyDescent="0.2">
      <c r="A24" s="54"/>
      <c r="B24" s="47" t="s">
        <v>53</v>
      </c>
      <c r="C24" s="47"/>
      <c r="D24" s="36">
        <v>60000</v>
      </c>
      <c r="E24" s="88">
        <v>19600</v>
      </c>
      <c r="F24" s="88">
        <v>0</v>
      </c>
      <c r="G24" s="39">
        <f t="shared" si="0"/>
        <v>19600</v>
      </c>
      <c r="H24" s="89">
        <v>0</v>
      </c>
      <c r="I24" s="39">
        <f t="shared" si="4"/>
        <v>19600</v>
      </c>
      <c r="J24" s="90">
        <v>7</v>
      </c>
      <c r="K24" s="41">
        <f>IFERROR(ROUND((I24/J24),2),0)</f>
        <v>2800</v>
      </c>
      <c r="L24" s="42">
        <f>IF(K24=0,0,IF(K24="N/A",1,IF(K24&lt;=Q$10,1,IF(K24=R$10,2,IF(K24&lt;R$10,(((K24-Q$10)/U$7)+1),IF(K24=S$10,3,IF(K24&lt;S$10,(((K24-R$10)/U$7)+2),IF(K24=T$10,4,IF(K24&lt;T$10,(((K24-S$10)/U$7)+3),IF(K24&gt;=U$10,5,IF(K24&lt;U$10,(((K24-T$10)/U$7)+4),0)))))))))))</f>
        <v>1</v>
      </c>
      <c r="M24" s="43" t="str">
        <f t="shared" ref="M24:M27" si="6">IF(L24=5,"ü","û")</f>
        <v>û</v>
      </c>
      <c r="N24" s="91">
        <v>2800</v>
      </c>
      <c r="O24" s="45" t="s">
        <v>29</v>
      </c>
    </row>
    <row r="25" spans="1:15" s="6" customFormat="1" x14ac:dyDescent="0.2">
      <c r="A25" s="34">
        <v>1</v>
      </c>
      <c r="B25" s="47" t="s">
        <v>54</v>
      </c>
      <c r="C25" s="47"/>
      <c r="D25" s="36">
        <v>60000</v>
      </c>
      <c r="E25" s="92">
        <v>554460</v>
      </c>
      <c r="F25" s="92">
        <v>5991146.0499999998</v>
      </c>
      <c r="G25" s="39">
        <f t="shared" si="0"/>
        <v>6545606.0499999998</v>
      </c>
      <c r="H25" s="93">
        <v>77224205</v>
      </c>
      <c r="I25" s="39">
        <f t="shared" si="4"/>
        <v>83769811.049999997</v>
      </c>
      <c r="J25" s="40">
        <v>105</v>
      </c>
      <c r="K25" s="41">
        <f t="shared" ref="K25:K27" si="7">IFERROR(ROUND((I25/J25),2),0)</f>
        <v>797807.72</v>
      </c>
      <c r="L25" s="42">
        <f>IF(K25=0,0,IF(K25="N/A",1,IF(K25&lt;=Q$10,1,IF(K25=R$10,2,IF(K25&lt;R$10,(((K25-Q$10)/U$7)+1),IF(K25=S$10,3,IF(K25&lt;S$10,(((K25-R$10)/U$7)+2),IF(K25=T$10,4,IF(K25&lt;T$10,(((K25-S$10)/U$7)+3),IF(K25&gt;=U$10,5,IF(K25&lt;U$10,(((K25-T$10)/U$7)+4),0)))))))))))</f>
        <v>5</v>
      </c>
      <c r="M25" s="43" t="str">
        <f t="shared" si="6"/>
        <v>ü</v>
      </c>
      <c r="N25" s="91">
        <v>803652.03</v>
      </c>
      <c r="O25" s="45" t="s">
        <v>29</v>
      </c>
    </row>
    <row r="26" spans="1:15" s="6" customFormat="1" x14ac:dyDescent="0.2">
      <c r="A26" s="34">
        <v>2</v>
      </c>
      <c r="B26" s="47" t="s">
        <v>55</v>
      </c>
      <c r="C26" s="47"/>
      <c r="D26" s="36">
        <v>60000</v>
      </c>
      <c r="E26" s="92">
        <v>223410</v>
      </c>
      <c r="F26" s="92">
        <v>3144849</v>
      </c>
      <c r="G26" s="39">
        <f t="shared" si="0"/>
        <v>3368259</v>
      </c>
      <c r="H26" s="92">
        <v>28348985</v>
      </c>
      <c r="I26" s="39">
        <f t="shared" si="4"/>
        <v>31717244</v>
      </c>
      <c r="J26" s="40">
        <v>55</v>
      </c>
      <c r="K26" s="41">
        <f t="shared" si="7"/>
        <v>576677.16</v>
      </c>
      <c r="L26" s="42">
        <f t="shared" ref="L26" si="8">IF(K26=0,0,IF(K26="N/A",1,IF(K26&lt;=Q$10,1,IF(K26=R$10,2,IF(K26&lt;R$10,(((K26-Q$10)/U$7)+1),IF(K26=S$10,3,IF(K26&lt;S$10,(((K26-R$10)/U$7)+2),IF(K26=T$10,4,IF(K26&lt;T$10,(((K26-S$10)/U$7)+3),IF(K26&gt;=U$10,5,IF(K26&lt;U$10,(((K26-T$10)/U$7)+4),0)))))))))))</f>
        <v>5</v>
      </c>
      <c r="M26" s="43" t="str">
        <f t="shared" si="6"/>
        <v>ü</v>
      </c>
      <c r="N26" s="94">
        <v>567158.98</v>
      </c>
      <c r="O26" s="45" t="s">
        <v>29</v>
      </c>
    </row>
    <row r="27" spans="1:15" s="6" customFormat="1" x14ac:dyDescent="0.55000000000000004">
      <c r="A27" s="34">
        <v>3</v>
      </c>
      <c r="B27" s="95" t="s">
        <v>56</v>
      </c>
      <c r="C27" s="95"/>
      <c r="D27" s="36">
        <v>60000</v>
      </c>
      <c r="E27" s="96">
        <v>12800</v>
      </c>
      <c r="F27" s="96">
        <v>111350</v>
      </c>
      <c r="G27" s="39">
        <f t="shared" si="0"/>
        <v>124150</v>
      </c>
      <c r="H27" s="96">
        <v>3400000</v>
      </c>
      <c r="I27" s="39">
        <f t="shared" si="4"/>
        <v>3524150</v>
      </c>
      <c r="J27" s="97">
        <v>12</v>
      </c>
      <c r="K27" s="41">
        <f t="shared" si="7"/>
        <v>293679.17</v>
      </c>
      <c r="L27" s="42">
        <f>IF(K27=0,0,IF(K27="N/A",1,IF(K27&lt;=Q$10,1,IF(K27=R$10,2,IF(K27&lt;R$10,(((K27-Q$10)/U$7)+1),IF(K27=S$10,3,IF(K27&lt;S$10,(((K27-R$10)/U$7)+2),IF(K27=T$10,4,IF(K27&lt;T$10,(((K27-S$10)/U$7)+3),IF(K27&gt;=U$10,5,IF(K27&lt;U$10,(((K27-T$10)/U$7)+4),0)))))))))))</f>
        <v>5</v>
      </c>
      <c r="M27" s="43" t="str">
        <f t="shared" si="6"/>
        <v>ü</v>
      </c>
      <c r="N27" s="98">
        <v>243679.17</v>
      </c>
      <c r="O27" s="45" t="s">
        <v>29</v>
      </c>
    </row>
    <row r="28" spans="1:15" s="6" customFormat="1" ht="21" customHeight="1" x14ac:dyDescent="0.2">
      <c r="A28" s="79" t="s">
        <v>57</v>
      </c>
      <c r="B28" s="80"/>
      <c r="C28" s="81"/>
      <c r="D28" s="82">
        <v>50000</v>
      </c>
      <c r="E28" s="83">
        <f>SUM(E29:E30)</f>
        <v>336450</v>
      </c>
      <c r="F28" s="83">
        <f>SUM(F29:F30)</f>
        <v>7794844.1499999994</v>
      </c>
      <c r="G28" s="83">
        <f t="shared" si="0"/>
        <v>8131294.1499999994</v>
      </c>
      <c r="H28" s="99">
        <f>SUM(H29:H30)</f>
        <v>0</v>
      </c>
      <c r="I28" s="83">
        <f t="shared" si="4"/>
        <v>8131294.1499999994</v>
      </c>
      <c r="J28" s="84">
        <f>SUM(J29:J30)</f>
        <v>110</v>
      </c>
      <c r="K28" s="28">
        <f>IFERROR(ROUND((I28/J28),2),0)</f>
        <v>73920.86</v>
      </c>
      <c r="L28" s="85">
        <f>IF(K28=0,0,IF(K28="N/A",1,IF(K28&lt;=Q$11,1,IF(K28=R$11,2,IF(K28&lt;R$11,(((K28-Q$11)/U$7)+1),IF(K28=S$11,3,IF(K28&lt;S$11,(((K28-R$11)/U$7)+2),IF(K28=T$11,4,IF(K28&lt;T$11,(((K28-S$11)/U$7)+3),IF(K28&gt;=U$11,5,IF(K28&lt;U$11,(((K28-T$11)/U$7)+4),0)))))))))))</f>
        <v>5</v>
      </c>
      <c r="M28" s="86" t="str">
        <f>IF(L28=5,"ü","û")</f>
        <v>ü</v>
      </c>
      <c r="N28" s="31"/>
      <c r="O28" s="87"/>
    </row>
    <row r="29" spans="1:15" s="6" customFormat="1" x14ac:dyDescent="0.2">
      <c r="A29" s="34">
        <v>1</v>
      </c>
      <c r="B29" s="47" t="s">
        <v>58</v>
      </c>
      <c r="C29" s="47"/>
      <c r="D29" s="36">
        <v>50000</v>
      </c>
      <c r="E29" s="92">
        <v>68100</v>
      </c>
      <c r="F29" s="92">
        <v>0</v>
      </c>
      <c r="G29" s="39">
        <f t="shared" si="0"/>
        <v>68100</v>
      </c>
      <c r="H29" s="92">
        <v>0</v>
      </c>
      <c r="I29" s="39">
        <f>G29+H29</f>
        <v>68100</v>
      </c>
      <c r="J29" s="40">
        <v>49</v>
      </c>
      <c r="K29" s="41">
        <f>IFERROR(ROUND((I29/J29),2),0)</f>
        <v>1389.8</v>
      </c>
      <c r="L29" s="42">
        <f>IF(K29=0,0,IF(K29="N/A",1,IF(K29&lt;=Q$11,1,IF(K29=R$11,2,IF(K29&lt;R$11,(((K29-Q$11)/U$7)+1),IF(K29=S$11,3,IF(K29&lt;S$11,(((K29-R$11)/U$7)+2),IF(K29=T$11,4,IF(K29&lt;T$11,(((K29-S$11)/U$7)+3),IF(K29&gt;=U$11,5,IF(K29&lt;U$11,(((K29-T$11)/U$7)+4),0)))))))))))</f>
        <v>1</v>
      </c>
      <c r="M29" s="43" t="str">
        <f t="shared" ref="M29:M30" si="9">IF(L29=5,"ü","û")</f>
        <v>û</v>
      </c>
      <c r="N29" s="91">
        <v>1389.8</v>
      </c>
      <c r="O29" s="45" t="s">
        <v>29</v>
      </c>
    </row>
    <row r="30" spans="1:15" s="6" customFormat="1" x14ac:dyDescent="0.2">
      <c r="A30" s="34">
        <v>2</v>
      </c>
      <c r="B30" s="47" t="s">
        <v>59</v>
      </c>
      <c r="C30" s="47"/>
      <c r="D30" s="36">
        <v>50000</v>
      </c>
      <c r="E30" s="92">
        <v>268350</v>
      </c>
      <c r="F30" s="92">
        <f>415657.3+7379186.85</f>
        <v>7794844.1499999994</v>
      </c>
      <c r="G30" s="39">
        <f t="shared" si="0"/>
        <v>8063194.1499999994</v>
      </c>
      <c r="H30" s="92">
        <v>0</v>
      </c>
      <c r="I30" s="39">
        <f t="shared" si="4"/>
        <v>8063194.1499999994</v>
      </c>
      <c r="J30" s="40">
        <v>61</v>
      </c>
      <c r="K30" s="41">
        <f>IFERROR(ROUND((I30/J30),2),0)</f>
        <v>132183.51</v>
      </c>
      <c r="L30" s="42">
        <f>IF(K30=0,0,IF(K30="N/A",1,IF(K30&lt;=Q$11,1,IF(K30=R$11,2,IF(K30&lt;R$11,(((K30-Q$11)/U$7)+1),IF(K30=S$11,3,IF(K30&lt;S$11,(((K30-R$11)/U$7)+2),IF(K30=T$11,4,IF(K30&lt;T$11,(((K30-S$11)/U$7)+3),IF(K30&gt;=U$11,5,IF(K30&lt;U$11,(((K30-T$11)/U$7)+4),0)))))))))))</f>
        <v>5</v>
      </c>
      <c r="M30" s="43" t="str">
        <f t="shared" si="9"/>
        <v>ü</v>
      </c>
      <c r="N30" s="91">
        <v>128962.2</v>
      </c>
      <c r="O30" s="45" t="s">
        <v>29</v>
      </c>
    </row>
    <row r="31" spans="1:15" s="6" customFormat="1" x14ac:dyDescent="0.55000000000000004">
      <c r="A31" s="100" t="s">
        <v>22</v>
      </c>
      <c r="B31" s="101"/>
      <c r="C31" s="102"/>
      <c r="D31" s="103"/>
      <c r="E31" s="104">
        <f>E7+E23+E28</f>
        <v>4046570</v>
      </c>
      <c r="F31" s="104">
        <f>F7+F23+F28</f>
        <v>40605760</v>
      </c>
      <c r="G31" s="105">
        <f>E31+F31</f>
        <v>44652330</v>
      </c>
      <c r="H31" s="104">
        <f>H7+H23+H28</f>
        <v>145395624</v>
      </c>
      <c r="I31" s="105">
        <f t="shared" si="4"/>
        <v>190047954</v>
      </c>
      <c r="J31" s="106">
        <f>J7+J23+J28</f>
        <v>890</v>
      </c>
      <c r="K31" s="107">
        <f>IFERROR(ROUND((I31/J31),2),0)</f>
        <v>213537.03</v>
      </c>
      <c r="L31" s="108"/>
      <c r="M31" s="109"/>
      <c r="N31" s="110"/>
      <c r="O31" s="110"/>
    </row>
    <row r="32" spans="1:15" s="6" customFormat="1" x14ac:dyDescent="0.2">
      <c r="A32" s="54"/>
      <c r="B32" s="111" t="s">
        <v>60</v>
      </c>
      <c r="C32" s="111"/>
      <c r="D32" s="112"/>
      <c r="E32" s="113">
        <f>E17+E24</f>
        <v>177575</v>
      </c>
      <c r="F32" s="113">
        <f>F17+F24</f>
        <v>0</v>
      </c>
      <c r="G32" s="114">
        <f>E32+F32</f>
        <v>177575</v>
      </c>
      <c r="H32" s="113">
        <f>H17+H24</f>
        <v>1345000</v>
      </c>
      <c r="I32" s="115">
        <f>G32+H32</f>
        <v>1522575</v>
      </c>
      <c r="J32" s="116">
        <f>J17+J24</f>
        <v>70</v>
      </c>
      <c r="K32" s="117">
        <f>IFERROR(ROUND((I32/J32),2),0)</f>
        <v>21751.07</v>
      </c>
      <c r="L32" s="118">
        <f>IF(K32=0,0,IF(K32="N/A",1,IF(K32&lt;=Q$9,1,IF(K32=R$9,2,IF(K32&lt;R$9,(((K32-Q$9)/U$7)+1),IF(K32=S$9,3,IF(K32&lt;S$9,(((K32-R$9)/U$7)+2),IF(K32=T$9,4,IF(K32&lt;T$9,(((K32-S$9)/U$7)+3),IF(K32&gt;=U$9,5,IF(K32&lt;U$9,(((K32-T$9)/U$7)+4),0)))))))))))</f>
        <v>4.3502140000000002</v>
      </c>
      <c r="M32" s="119" t="str">
        <f>IF(L32=5,"ü","û")</f>
        <v>û</v>
      </c>
      <c r="N32" s="120"/>
      <c r="O32" s="120"/>
    </row>
    <row r="33" spans="1:15" s="6" customFormat="1" x14ac:dyDescent="0.2"/>
    <row r="34" spans="1:15" s="6" customFormat="1" ht="55.5" x14ac:dyDescent="0.2">
      <c r="A34" s="121" t="s">
        <v>61</v>
      </c>
      <c r="B34" s="121"/>
      <c r="C34" s="122" t="s">
        <v>62</v>
      </c>
      <c r="D34" s="122"/>
      <c r="E34" s="122"/>
      <c r="F34" s="122"/>
      <c r="G34" s="122"/>
      <c r="H34" s="122"/>
      <c r="I34" s="122"/>
      <c r="J34" s="122"/>
      <c r="K34" s="123" t="s">
        <v>2</v>
      </c>
      <c r="L34" s="123" t="s">
        <v>63</v>
      </c>
      <c r="M34" s="123" t="s">
        <v>17</v>
      </c>
      <c r="N34" s="124" t="s">
        <v>18</v>
      </c>
      <c r="O34" s="125" t="s">
        <v>19</v>
      </c>
    </row>
    <row r="35" spans="1:15" s="6" customFormat="1" ht="21" customHeight="1" x14ac:dyDescent="0.2">
      <c r="A35" s="121"/>
      <c r="B35" s="121"/>
      <c r="C35" s="122"/>
      <c r="D35" s="122"/>
      <c r="E35" s="122"/>
      <c r="F35" s="122"/>
      <c r="G35" s="122"/>
      <c r="H35" s="122"/>
      <c r="I35" s="122"/>
      <c r="J35" s="122"/>
      <c r="K35" s="126">
        <v>3</v>
      </c>
      <c r="L35" s="126">
        <v>3</v>
      </c>
      <c r="M35" s="127" t="str">
        <f t="shared" ref="M35" si="10">IF(L35=5,"ü","û")</f>
        <v>û</v>
      </c>
      <c r="N35" s="128">
        <v>3</v>
      </c>
      <c r="O35" s="129" t="s">
        <v>64</v>
      </c>
    </row>
    <row r="36" spans="1:15" s="6" customFormat="1" x14ac:dyDescent="0.2"/>
    <row r="37" spans="1:15" s="6" customFormat="1" x14ac:dyDescent="0.2"/>
    <row r="38" spans="1:15" s="6" customFormat="1" x14ac:dyDescent="0.2"/>
    <row r="39" spans="1:15" s="6" customFormat="1" x14ac:dyDescent="0.2"/>
    <row r="40" spans="1:15" s="6" customFormat="1" x14ac:dyDescent="0.2"/>
    <row r="41" spans="1:15" s="6" customFormat="1" x14ac:dyDescent="0.2"/>
    <row r="42" spans="1:15" s="6" customFormat="1" x14ac:dyDescent="0.2"/>
    <row r="43" spans="1:15" s="6" customFormat="1" x14ac:dyDescent="0.2"/>
    <row r="44" spans="1:15" s="6" customFormat="1" x14ac:dyDescent="0.2"/>
    <row r="45" spans="1:15" s="6" customFormat="1" ht="48" x14ac:dyDescent="0.2">
      <c r="A45" s="6" t="str">
        <f t="shared" ref="A45:K60" si="11">A4</f>
        <v>ลำดับ</v>
      </c>
      <c r="B45" s="6" t="str">
        <f t="shared" si="11"/>
        <v>หน่วยงาน</v>
      </c>
      <c r="C45" s="6" t="s">
        <v>11</v>
      </c>
      <c r="D45" s="6" t="str">
        <f t="shared" si="11"/>
        <v>เป้าหมาย</v>
      </c>
      <c r="E45" s="6" t="str">
        <f>E4</f>
        <v>เงินสนับสนุนงานวิจัยและงานสร้างสรรค์ต่อจำนวนอาจารย์ประจำ</v>
      </c>
      <c r="F45" s="6">
        <f t="shared" si="11"/>
        <v>0</v>
      </c>
      <c r="G45" s="6" t="s">
        <v>65</v>
      </c>
      <c r="H45" s="6">
        <f t="shared" si="11"/>
        <v>0</v>
      </c>
      <c r="I45" s="6" t="s">
        <v>65</v>
      </c>
      <c r="J45" s="130" t="s">
        <v>66</v>
      </c>
      <c r="K45" s="6" t="s">
        <v>67</v>
      </c>
    </row>
    <row r="46" spans="1:15" s="6" customFormat="1" hidden="1" x14ac:dyDescent="0.2">
      <c r="A46" s="6">
        <f t="shared" si="11"/>
        <v>0</v>
      </c>
      <c r="B46" s="6">
        <f t="shared" si="11"/>
        <v>0</v>
      </c>
      <c r="C46" s="6">
        <f t="shared" si="11"/>
        <v>0</v>
      </c>
      <c r="D46" s="6">
        <f t="shared" si="11"/>
        <v>0</v>
      </c>
      <c r="E46" s="6" t="str">
        <f t="shared" si="11"/>
        <v>แหล่งทุนภายใน</v>
      </c>
      <c r="F46" s="6">
        <f t="shared" si="11"/>
        <v>0</v>
      </c>
      <c r="G46" s="6">
        <f t="shared" si="11"/>
        <v>0</v>
      </c>
      <c r="H46" s="6" t="str">
        <f t="shared" si="11"/>
        <v>แหล่งทุนภายนอก</v>
      </c>
      <c r="I46" s="6" t="str">
        <f t="shared" si="11"/>
        <v>รวม</v>
      </c>
      <c r="K46" s="6">
        <f t="shared" si="11"/>
        <v>0</v>
      </c>
    </row>
    <row r="47" spans="1:15" s="6" customFormat="1" hidden="1" x14ac:dyDescent="0.2">
      <c r="A47" s="6">
        <f t="shared" si="11"/>
        <v>0</v>
      </c>
      <c r="B47" s="6">
        <f t="shared" si="11"/>
        <v>0</v>
      </c>
      <c r="C47" s="6">
        <f t="shared" si="11"/>
        <v>0</v>
      </c>
      <c r="D47" s="6">
        <f t="shared" si="11"/>
        <v>0</v>
      </c>
      <c r="E47" s="6" t="str">
        <f t="shared" si="11"/>
        <v>งบประมาณรายได้</v>
      </c>
      <c r="F47" s="6" t="str">
        <f t="shared" si="11"/>
        <v>งบประมาณแผ่นดิน</v>
      </c>
      <c r="G47" s="6" t="str">
        <f t="shared" si="11"/>
        <v>รวม</v>
      </c>
      <c r="H47" s="6" t="str">
        <f t="shared" si="11"/>
        <v>งบประมาณภายนอก</v>
      </c>
      <c r="I47" s="6">
        <f t="shared" si="11"/>
        <v>0</v>
      </c>
      <c r="K47" s="6">
        <f t="shared" si="11"/>
        <v>0</v>
      </c>
    </row>
    <row r="48" spans="1:15" s="6" customFormat="1" hidden="1" x14ac:dyDescent="0.2">
      <c r="B48" s="6">
        <f t="shared" si="11"/>
        <v>0</v>
      </c>
      <c r="C48" s="6">
        <f t="shared" si="11"/>
        <v>0</v>
      </c>
      <c r="D48" s="6">
        <f t="shared" si="11"/>
        <v>25000</v>
      </c>
      <c r="E48" s="6">
        <f t="shared" si="11"/>
        <v>2899850</v>
      </c>
      <c r="F48" s="6">
        <f t="shared" si="11"/>
        <v>23563570.800000001</v>
      </c>
      <c r="G48" s="6">
        <f t="shared" si="11"/>
        <v>26463420.800000001</v>
      </c>
      <c r="H48" s="6">
        <f t="shared" si="11"/>
        <v>36422434</v>
      </c>
      <c r="I48" s="6">
        <f t="shared" si="11"/>
        <v>62885854.799999997</v>
      </c>
      <c r="J48" s="6">
        <f t="shared" si="11"/>
        <v>601</v>
      </c>
      <c r="K48" s="6">
        <f t="shared" si="11"/>
        <v>104635.37</v>
      </c>
    </row>
    <row r="49" spans="1:11" s="6" customFormat="1" x14ac:dyDescent="0.2">
      <c r="A49" s="131" t="s">
        <v>36</v>
      </c>
      <c r="B49" s="6" t="str">
        <f t="shared" si="11"/>
        <v>1) คณะครุศาสตร์</v>
      </c>
      <c r="C49" s="6" t="s">
        <v>68</v>
      </c>
      <c r="D49" s="6">
        <f t="shared" si="11"/>
        <v>25000</v>
      </c>
      <c r="E49" s="6">
        <f t="shared" si="11"/>
        <v>360040</v>
      </c>
      <c r="F49" s="6">
        <f t="shared" si="11"/>
        <v>180200</v>
      </c>
      <c r="G49" s="6">
        <f t="shared" si="11"/>
        <v>540240</v>
      </c>
      <c r="H49" s="6">
        <f t="shared" si="11"/>
        <v>12500</v>
      </c>
      <c r="I49" s="6">
        <f t="shared" si="11"/>
        <v>552740</v>
      </c>
      <c r="J49" s="6">
        <f t="shared" si="11"/>
        <v>54</v>
      </c>
      <c r="K49" s="6">
        <f t="shared" si="11"/>
        <v>10235.93</v>
      </c>
    </row>
    <row r="50" spans="1:11" s="6" customFormat="1" x14ac:dyDescent="0.2">
      <c r="A50" s="131"/>
      <c r="B50" s="6" t="str">
        <f t="shared" si="11"/>
        <v>2) คณะมนุษยศาสตร์และสังคมศาสตร์</v>
      </c>
      <c r="C50" s="6" t="s">
        <v>69</v>
      </c>
      <c r="D50" s="6">
        <f t="shared" si="11"/>
        <v>25000</v>
      </c>
      <c r="E50" s="6">
        <f t="shared" si="11"/>
        <v>159490</v>
      </c>
      <c r="F50" s="6">
        <f t="shared" si="11"/>
        <v>1023530.8</v>
      </c>
      <c r="G50" s="6">
        <f t="shared" si="11"/>
        <v>1183020.8</v>
      </c>
      <c r="H50" s="6">
        <f t="shared" si="11"/>
        <v>3063725</v>
      </c>
      <c r="I50" s="6">
        <f t="shared" si="11"/>
        <v>4246745.8</v>
      </c>
      <c r="J50" s="6">
        <f t="shared" si="11"/>
        <v>51</v>
      </c>
      <c r="K50" s="6">
        <f t="shared" si="11"/>
        <v>83269.53</v>
      </c>
    </row>
    <row r="51" spans="1:11" s="6" customFormat="1" x14ac:dyDescent="0.2">
      <c r="A51" s="131"/>
      <c r="B51" s="6" t="str">
        <f t="shared" si="11"/>
        <v>3) คณะวิทยาการจัดการ</v>
      </c>
      <c r="C51" s="6" t="s">
        <v>70</v>
      </c>
      <c r="D51" s="6">
        <f t="shared" si="11"/>
        <v>25000</v>
      </c>
      <c r="E51" s="6">
        <f t="shared" si="11"/>
        <v>123690</v>
      </c>
      <c r="F51" s="6">
        <f t="shared" si="11"/>
        <v>521225</v>
      </c>
      <c r="G51" s="6">
        <f t="shared" si="11"/>
        <v>644915</v>
      </c>
      <c r="H51" s="6">
        <f t="shared" si="11"/>
        <v>2141400</v>
      </c>
      <c r="I51" s="6">
        <f t="shared" si="11"/>
        <v>2786315</v>
      </c>
      <c r="J51" s="6">
        <f t="shared" si="11"/>
        <v>55</v>
      </c>
      <c r="K51" s="6">
        <f t="shared" si="11"/>
        <v>50660.27</v>
      </c>
    </row>
    <row r="52" spans="1:11" s="6" customFormat="1" x14ac:dyDescent="0.2">
      <c r="A52" s="131"/>
      <c r="B52" s="6" t="str">
        <f t="shared" si="11"/>
        <v>4) คณะศิลปกรรมศาสตร์</v>
      </c>
      <c r="C52" s="6" t="s">
        <v>71</v>
      </c>
      <c r="D52" s="6">
        <f t="shared" si="11"/>
        <v>25000</v>
      </c>
      <c r="E52" s="6">
        <f t="shared" si="11"/>
        <v>438500</v>
      </c>
      <c r="F52" s="6">
        <f t="shared" si="11"/>
        <v>8913611</v>
      </c>
      <c r="G52" s="6">
        <f t="shared" si="11"/>
        <v>9352111</v>
      </c>
      <c r="H52" s="6">
        <f t="shared" si="11"/>
        <v>425000</v>
      </c>
      <c r="I52" s="6">
        <f t="shared" si="11"/>
        <v>9777111</v>
      </c>
      <c r="J52" s="6">
        <f t="shared" si="11"/>
        <v>47</v>
      </c>
      <c r="K52" s="6">
        <f t="shared" si="11"/>
        <v>208023.64</v>
      </c>
    </row>
    <row r="53" spans="1:11" s="6" customFormat="1" x14ac:dyDescent="0.2">
      <c r="A53" s="131"/>
      <c r="B53" s="6" t="str">
        <f t="shared" si="11"/>
        <v>5) วิทยาลัยนวัตกรรมและการจัดการ</v>
      </c>
      <c r="C53" s="6" t="s">
        <v>72</v>
      </c>
      <c r="D53" s="6">
        <f t="shared" si="11"/>
        <v>25000</v>
      </c>
      <c r="E53" s="6">
        <f t="shared" si="11"/>
        <v>594680</v>
      </c>
      <c r="F53" s="6">
        <f t="shared" si="11"/>
        <v>8962970.25</v>
      </c>
      <c r="G53" s="6">
        <f t="shared" si="11"/>
        <v>9557650.25</v>
      </c>
      <c r="H53" s="6">
        <f t="shared" si="11"/>
        <v>14384101</v>
      </c>
      <c r="I53" s="6">
        <f t="shared" si="11"/>
        <v>23941751.25</v>
      </c>
      <c r="J53" s="6">
        <f t="shared" si="11"/>
        <v>93</v>
      </c>
      <c r="K53" s="6">
        <f t="shared" si="11"/>
        <v>257438.19</v>
      </c>
    </row>
    <row r="54" spans="1:11" s="6" customFormat="1" x14ac:dyDescent="0.2">
      <c r="A54" s="131"/>
      <c r="B54" s="6" t="str">
        <f t="shared" si="11"/>
        <v>6) วิทยาลัยโลจิสติกส์และซัพพลายเชน</v>
      </c>
      <c r="C54" s="6" t="s">
        <v>73</v>
      </c>
      <c r="D54" s="6">
        <f t="shared" si="11"/>
        <v>25000</v>
      </c>
      <c r="E54" s="6">
        <f t="shared" si="11"/>
        <v>305650</v>
      </c>
      <c r="F54" s="6">
        <f t="shared" si="11"/>
        <v>169149</v>
      </c>
      <c r="G54" s="6">
        <f t="shared" si="11"/>
        <v>474799</v>
      </c>
      <c r="H54" s="6">
        <f t="shared" si="11"/>
        <v>1395000</v>
      </c>
      <c r="I54" s="6">
        <f t="shared" si="11"/>
        <v>1869799</v>
      </c>
      <c r="J54" s="6">
        <f t="shared" si="11"/>
        <v>52</v>
      </c>
      <c r="K54" s="6">
        <f t="shared" si="11"/>
        <v>35957.67</v>
      </c>
    </row>
    <row r="55" spans="1:11" s="6" customFormat="1" x14ac:dyDescent="0.2">
      <c r="A55" s="131"/>
      <c r="B55" s="6" t="str">
        <f t="shared" si="11"/>
        <v>7) วิทยาลัยการเมืองและการปกครอง</v>
      </c>
      <c r="C55" s="6" t="s">
        <v>74</v>
      </c>
      <c r="D55" s="6">
        <f t="shared" si="11"/>
        <v>25000</v>
      </c>
      <c r="E55" s="6">
        <f t="shared" si="11"/>
        <v>289215</v>
      </c>
      <c r="F55" s="6">
        <f t="shared" si="11"/>
        <v>2649784.75</v>
      </c>
      <c r="G55" s="6">
        <f t="shared" si="11"/>
        <v>2938999.75</v>
      </c>
      <c r="H55" s="6">
        <f t="shared" si="11"/>
        <v>884325</v>
      </c>
      <c r="I55" s="6">
        <f t="shared" si="11"/>
        <v>3823324.75</v>
      </c>
      <c r="J55" s="6">
        <f t="shared" si="11"/>
        <v>58</v>
      </c>
      <c r="K55" s="6">
        <f t="shared" si="11"/>
        <v>65919.39</v>
      </c>
    </row>
    <row r="56" spans="1:11" s="6" customFormat="1" x14ac:dyDescent="0.2">
      <c r="A56" s="131"/>
      <c r="B56" s="6" t="str">
        <f t="shared" si="11"/>
        <v>8) วิทยาลัยการจัดการอุตสาหกรรมบริการ</v>
      </c>
      <c r="C56" s="6" t="s">
        <v>75</v>
      </c>
      <c r="D56" s="6">
        <f t="shared" si="11"/>
        <v>25000</v>
      </c>
      <c r="E56" s="6">
        <f t="shared" si="11"/>
        <v>150005</v>
      </c>
      <c r="F56" s="6">
        <f t="shared" si="11"/>
        <v>1128100</v>
      </c>
      <c r="G56" s="6">
        <f t="shared" si="11"/>
        <v>1278105</v>
      </c>
      <c r="H56" s="6">
        <f t="shared" si="11"/>
        <v>7032664</v>
      </c>
      <c r="I56" s="6">
        <f t="shared" si="11"/>
        <v>8310769</v>
      </c>
      <c r="J56" s="6">
        <f t="shared" si="11"/>
        <v>64</v>
      </c>
      <c r="K56" s="6">
        <f t="shared" si="11"/>
        <v>129855.77</v>
      </c>
    </row>
    <row r="57" spans="1:11" s="6" customFormat="1" x14ac:dyDescent="0.2">
      <c r="A57" s="131"/>
      <c r="B57" s="6" t="str">
        <f t="shared" si="11"/>
        <v>9) วิทยาลัยนิเทศศาสตร์</v>
      </c>
      <c r="C57" s="6" t="s">
        <v>76</v>
      </c>
      <c r="D57" s="6">
        <f t="shared" si="11"/>
        <v>25000</v>
      </c>
      <c r="E57" s="6">
        <f t="shared" si="11"/>
        <v>124405</v>
      </c>
      <c r="F57" s="6">
        <f t="shared" si="11"/>
        <v>15000</v>
      </c>
      <c r="G57" s="6">
        <f t="shared" si="11"/>
        <v>139405</v>
      </c>
      <c r="H57" s="6">
        <f t="shared" si="11"/>
        <v>5355075</v>
      </c>
      <c r="I57" s="6">
        <f t="shared" si="11"/>
        <v>5494480</v>
      </c>
      <c r="J57" s="6">
        <f t="shared" si="11"/>
        <v>43</v>
      </c>
      <c r="K57" s="6">
        <f t="shared" si="11"/>
        <v>127778.6</v>
      </c>
    </row>
    <row r="58" spans="1:11" s="6" customFormat="1" x14ac:dyDescent="0.2">
      <c r="A58" s="131"/>
      <c r="B58" s="6" t="str">
        <f t="shared" si="11"/>
        <v>10.1) บัณฑิตวิทยาลัย (กลุ่มมนุษยศาสตร์ฯ)</v>
      </c>
      <c r="C58" s="6" t="s">
        <v>77</v>
      </c>
      <c r="D58" s="6">
        <f t="shared" si="11"/>
        <v>25000</v>
      </c>
      <c r="E58" s="6">
        <f t="shared" si="11"/>
        <v>157975</v>
      </c>
      <c r="F58" s="6">
        <f t="shared" si="11"/>
        <v>0</v>
      </c>
      <c r="G58" s="6">
        <f t="shared" si="11"/>
        <v>157975</v>
      </c>
      <c r="H58" s="6">
        <f t="shared" si="11"/>
        <v>1345000</v>
      </c>
      <c r="I58" s="6">
        <f t="shared" si="11"/>
        <v>1502975</v>
      </c>
      <c r="J58" s="6">
        <f t="shared" si="11"/>
        <v>63</v>
      </c>
      <c r="K58" s="6">
        <f t="shared" si="11"/>
        <v>23856.75</v>
      </c>
    </row>
    <row r="59" spans="1:11" s="6" customFormat="1" x14ac:dyDescent="0.2">
      <c r="A59" s="131"/>
      <c r="B59" s="6" t="str">
        <f t="shared" si="11"/>
        <v>11) ศูนย์การศึกษาจังหวัดอุดรธานี</v>
      </c>
      <c r="C59" s="6" t="s">
        <v>78</v>
      </c>
      <c r="D59" s="6">
        <f t="shared" si="11"/>
        <v>25000</v>
      </c>
      <c r="E59" s="6">
        <f t="shared" si="11"/>
        <v>196200</v>
      </c>
      <c r="F59" s="6">
        <f t="shared" si="11"/>
        <v>0</v>
      </c>
      <c r="G59" s="6">
        <f t="shared" si="11"/>
        <v>196200</v>
      </c>
      <c r="H59" s="6">
        <f t="shared" si="11"/>
        <v>383644</v>
      </c>
      <c r="I59" s="6">
        <f t="shared" si="11"/>
        <v>579844</v>
      </c>
      <c r="J59" s="6">
        <f t="shared" si="11"/>
        <v>21</v>
      </c>
      <c r="K59" s="6">
        <f t="shared" si="11"/>
        <v>27611.62</v>
      </c>
    </row>
    <row r="60" spans="1:11" s="6" customFormat="1" hidden="1" x14ac:dyDescent="0.2">
      <c r="A60" s="131"/>
      <c r="B60" s="6" t="str">
        <f t="shared" si="11"/>
        <v>11.1) วิทยาลัยการเมืองการปกครอง</v>
      </c>
      <c r="C60" s="6">
        <f t="shared" si="11"/>
        <v>0</v>
      </c>
      <c r="D60" s="6">
        <f t="shared" si="11"/>
        <v>0</v>
      </c>
      <c r="E60" s="6">
        <f t="shared" si="11"/>
        <v>54100</v>
      </c>
      <c r="F60" s="6">
        <f t="shared" si="11"/>
        <v>0</v>
      </c>
      <c r="G60" s="6">
        <f t="shared" si="11"/>
        <v>54100</v>
      </c>
      <c r="H60" s="6">
        <f t="shared" si="11"/>
        <v>334548</v>
      </c>
      <c r="I60" s="6">
        <f t="shared" si="11"/>
        <v>0</v>
      </c>
      <c r="J60" s="6">
        <f t="shared" si="11"/>
        <v>7</v>
      </c>
      <c r="K60" s="6">
        <f t="shared" si="11"/>
        <v>0</v>
      </c>
    </row>
    <row r="61" spans="1:11" s="6" customFormat="1" hidden="1" x14ac:dyDescent="0.2">
      <c r="A61" s="131"/>
      <c r="B61" s="6" t="str">
        <f t="shared" ref="B61:K63" si="12">B20</f>
        <v>11.2) วิทยาลัยการจัดการอุตสาหกรรมบริการ</v>
      </c>
      <c r="C61" s="6">
        <f t="shared" si="12"/>
        <v>0</v>
      </c>
      <c r="D61" s="6">
        <f t="shared" si="12"/>
        <v>0</v>
      </c>
      <c r="E61" s="6">
        <f t="shared" si="12"/>
        <v>70900</v>
      </c>
      <c r="F61" s="6">
        <f t="shared" si="12"/>
        <v>0</v>
      </c>
      <c r="G61" s="6">
        <f t="shared" si="12"/>
        <v>70900</v>
      </c>
      <c r="H61" s="6">
        <f t="shared" si="12"/>
        <v>39548</v>
      </c>
      <c r="I61" s="6">
        <f t="shared" si="12"/>
        <v>0</v>
      </c>
      <c r="J61" s="6">
        <f t="shared" si="12"/>
        <v>4</v>
      </c>
      <c r="K61" s="6">
        <f t="shared" si="12"/>
        <v>0</v>
      </c>
    </row>
    <row r="62" spans="1:11" s="6" customFormat="1" hidden="1" x14ac:dyDescent="0.2">
      <c r="A62" s="131"/>
      <c r="B62" s="6" t="str">
        <f t="shared" si="12"/>
        <v>11.3) วิทยาลัยนวัตกรรมและการจัดการ</v>
      </c>
      <c r="C62" s="6">
        <f t="shared" si="12"/>
        <v>0</v>
      </c>
      <c r="D62" s="6">
        <f t="shared" si="12"/>
        <v>0</v>
      </c>
      <c r="E62" s="6">
        <f t="shared" si="12"/>
        <v>41000</v>
      </c>
      <c r="F62" s="6">
        <f t="shared" si="12"/>
        <v>0</v>
      </c>
      <c r="G62" s="6">
        <f t="shared" si="12"/>
        <v>41000</v>
      </c>
      <c r="H62" s="6">
        <f t="shared" si="12"/>
        <v>9548</v>
      </c>
      <c r="I62" s="6">
        <f t="shared" si="12"/>
        <v>0</v>
      </c>
      <c r="J62" s="6">
        <f t="shared" si="12"/>
        <v>5</v>
      </c>
      <c r="K62" s="6">
        <f t="shared" si="12"/>
        <v>0</v>
      </c>
    </row>
    <row r="63" spans="1:11" s="6" customFormat="1" hidden="1" x14ac:dyDescent="0.2">
      <c r="A63" s="131"/>
      <c r="B63" s="6" t="str">
        <f t="shared" si="12"/>
        <v>11.4) วิทยาลัยโลจิสติกส์และซัพพลายเชน</v>
      </c>
      <c r="C63" s="6">
        <f t="shared" si="12"/>
        <v>0</v>
      </c>
      <c r="D63" s="6">
        <f t="shared" si="12"/>
        <v>0</v>
      </c>
      <c r="E63" s="6">
        <f t="shared" si="12"/>
        <v>30200</v>
      </c>
      <c r="F63" s="6">
        <f t="shared" si="12"/>
        <v>0</v>
      </c>
      <c r="G63" s="6">
        <f t="shared" si="12"/>
        <v>30200</v>
      </c>
      <c r="H63" s="6">
        <f t="shared" si="12"/>
        <v>0</v>
      </c>
      <c r="I63" s="6">
        <f t="shared" si="12"/>
        <v>0</v>
      </c>
      <c r="J63" s="6">
        <f t="shared" si="12"/>
        <v>5</v>
      </c>
      <c r="K63" s="6">
        <f t="shared" si="12"/>
        <v>0</v>
      </c>
    </row>
    <row r="64" spans="1:11" s="6" customFormat="1" hidden="1" x14ac:dyDescent="0.2">
      <c r="A64" s="6" t="str">
        <f t="shared" ref="A64:K68" si="13">A23</f>
        <v>2.กลุ่มสาขาวิชาวิทยาศาสตร์และเทคโนโลยี</v>
      </c>
      <c r="B64" s="6">
        <f t="shared" si="13"/>
        <v>0</v>
      </c>
      <c r="C64" s="6">
        <f t="shared" si="13"/>
        <v>0</v>
      </c>
      <c r="D64" s="6">
        <f t="shared" si="13"/>
        <v>60000</v>
      </c>
      <c r="E64" s="6">
        <f t="shared" si="13"/>
        <v>810270</v>
      </c>
      <c r="F64" s="6">
        <f t="shared" si="13"/>
        <v>9247345.0500000007</v>
      </c>
      <c r="G64" s="6">
        <f t="shared" si="13"/>
        <v>10057615.050000001</v>
      </c>
      <c r="H64" s="6">
        <f t="shared" si="13"/>
        <v>108973190</v>
      </c>
      <c r="I64" s="6">
        <f t="shared" si="13"/>
        <v>119030805.05</v>
      </c>
      <c r="J64" s="6">
        <f t="shared" si="13"/>
        <v>179</v>
      </c>
      <c r="K64" s="6">
        <f t="shared" si="13"/>
        <v>664976.56000000006</v>
      </c>
    </row>
    <row r="65" spans="1:11" s="6" customFormat="1" x14ac:dyDescent="0.2">
      <c r="A65" s="132" t="s">
        <v>38</v>
      </c>
      <c r="B65" s="6" t="str">
        <f t="shared" si="13"/>
        <v>10.2)  บัณฑิตวิทยาลัย (กลุ่มวิทยาศาสตร์ฯ)</v>
      </c>
      <c r="C65" s="6" t="s">
        <v>79</v>
      </c>
      <c r="D65" s="6">
        <f t="shared" si="13"/>
        <v>60000</v>
      </c>
      <c r="E65" s="6">
        <f t="shared" si="13"/>
        <v>19600</v>
      </c>
      <c r="F65" s="6">
        <f t="shared" si="13"/>
        <v>0</v>
      </c>
      <c r="G65" s="6">
        <f t="shared" si="13"/>
        <v>19600</v>
      </c>
      <c r="H65" s="6">
        <f t="shared" si="13"/>
        <v>0</v>
      </c>
      <c r="I65" s="6">
        <f t="shared" si="13"/>
        <v>19600</v>
      </c>
      <c r="J65" s="6">
        <f t="shared" si="13"/>
        <v>7</v>
      </c>
      <c r="K65" s="6">
        <f t="shared" si="13"/>
        <v>2800</v>
      </c>
    </row>
    <row r="66" spans="1:11" s="6" customFormat="1" x14ac:dyDescent="0.2">
      <c r="A66" s="132"/>
      <c r="B66" s="6" t="str">
        <f t="shared" si="13"/>
        <v>12) คณะวิทยาศาสตร์และเทคโนโลยี</v>
      </c>
      <c r="C66" s="6" t="s">
        <v>80</v>
      </c>
      <c r="D66" s="6">
        <f t="shared" si="13"/>
        <v>60000</v>
      </c>
      <c r="E66" s="6">
        <f t="shared" si="13"/>
        <v>554460</v>
      </c>
      <c r="F66" s="6">
        <f t="shared" si="13"/>
        <v>5991146.0499999998</v>
      </c>
      <c r="G66" s="6">
        <f t="shared" si="13"/>
        <v>6545606.0499999998</v>
      </c>
      <c r="H66" s="6">
        <f t="shared" si="13"/>
        <v>77224205</v>
      </c>
      <c r="I66" s="6">
        <f t="shared" si="13"/>
        <v>83769811.049999997</v>
      </c>
      <c r="J66" s="6">
        <f t="shared" si="13"/>
        <v>105</v>
      </c>
      <c r="K66" s="6">
        <f t="shared" si="13"/>
        <v>797807.72</v>
      </c>
    </row>
    <row r="67" spans="1:11" s="6" customFormat="1" x14ac:dyDescent="0.2">
      <c r="A67" s="132"/>
      <c r="B67" s="6" t="str">
        <f t="shared" si="13"/>
        <v>13) คณะเทคโนโลยีอุตสาหกรรม</v>
      </c>
      <c r="C67" s="6" t="s">
        <v>81</v>
      </c>
      <c r="D67" s="6">
        <f t="shared" si="13"/>
        <v>60000</v>
      </c>
      <c r="E67" s="6">
        <f t="shared" si="13"/>
        <v>223410</v>
      </c>
      <c r="F67" s="6">
        <f t="shared" si="13"/>
        <v>3144849</v>
      </c>
      <c r="G67" s="6">
        <f t="shared" si="13"/>
        <v>3368259</v>
      </c>
      <c r="H67" s="6">
        <f t="shared" si="13"/>
        <v>28348985</v>
      </c>
      <c r="I67" s="6">
        <f t="shared" si="13"/>
        <v>31717244</v>
      </c>
      <c r="J67" s="6">
        <f t="shared" si="13"/>
        <v>55</v>
      </c>
      <c r="K67" s="6">
        <f t="shared" si="13"/>
        <v>576677.16</v>
      </c>
    </row>
    <row r="68" spans="1:11" s="6" customFormat="1" x14ac:dyDescent="0.2">
      <c r="A68" s="132"/>
      <c r="B68" s="6" t="str">
        <f>B27</f>
        <v xml:space="preserve">   14) วิทยาลัยสถาปัตยกรรมศาสตร์</v>
      </c>
      <c r="C68" s="6" t="s">
        <v>82</v>
      </c>
      <c r="D68" s="6">
        <f t="shared" si="13"/>
        <v>60000</v>
      </c>
      <c r="E68" s="6">
        <f t="shared" si="13"/>
        <v>12800</v>
      </c>
      <c r="F68" s="6">
        <f t="shared" si="13"/>
        <v>111350</v>
      </c>
      <c r="G68" s="6">
        <f t="shared" si="13"/>
        <v>124150</v>
      </c>
      <c r="H68" s="6">
        <f t="shared" si="13"/>
        <v>3400000</v>
      </c>
      <c r="I68" s="6">
        <f t="shared" si="13"/>
        <v>3524150</v>
      </c>
      <c r="J68" s="6">
        <f t="shared" si="13"/>
        <v>12</v>
      </c>
      <c r="K68" s="6">
        <f t="shared" si="13"/>
        <v>293679.17</v>
      </c>
    </row>
    <row r="69" spans="1:11" s="6" customFormat="1" hidden="1" x14ac:dyDescent="0.2">
      <c r="B69" s="6">
        <f t="shared" ref="B69:K70" si="14">B28</f>
        <v>0</v>
      </c>
      <c r="C69" s="6">
        <f t="shared" si="14"/>
        <v>0</v>
      </c>
      <c r="D69" s="6">
        <f t="shared" si="14"/>
        <v>50000</v>
      </c>
      <c r="E69" s="6">
        <f t="shared" si="14"/>
        <v>336450</v>
      </c>
      <c r="F69" s="6">
        <f t="shared" si="14"/>
        <v>7794844.1499999994</v>
      </c>
      <c r="G69" s="6">
        <f t="shared" si="14"/>
        <v>8131294.1499999994</v>
      </c>
      <c r="H69" s="6">
        <f t="shared" si="14"/>
        <v>0</v>
      </c>
      <c r="I69" s="6">
        <f t="shared" si="14"/>
        <v>8131294.1499999994</v>
      </c>
      <c r="J69" s="6">
        <f t="shared" si="14"/>
        <v>110</v>
      </c>
      <c r="K69" s="6">
        <f t="shared" si="14"/>
        <v>73920.86</v>
      </c>
    </row>
    <row r="70" spans="1:11" s="6" customFormat="1" x14ac:dyDescent="0.2">
      <c r="A70" s="6" t="s">
        <v>83</v>
      </c>
      <c r="B70" s="6" t="str">
        <f t="shared" si="14"/>
        <v>15) วิทยาลัยพยาบาลและสุขภาพ</v>
      </c>
      <c r="C70" s="6" t="s">
        <v>84</v>
      </c>
      <c r="D70" s="6">
        <f t="shared" si="14"/>
        <v>50000</v>
      </c>
      <c r="E70" s="6">
        <f t="shared" si="14"/>
        <v>68100</v>
      </c>
      <c r="F70" s="6">
        <f t="shared" si="14"/>
        <v>0</v>
      </c>
      <c r="G70" s="6">
        <f t="shared" si="14"/>
        <v>68100</v>
      </c>
      <c r="H70" s="6">
        <f t="shared" si="14"/>
        <v>0</v>
      </c>
      <c r="I70" s="6">
        <f t="shared" si="14"/>
        <v>68100</v>
      </c>
      <c r="J70" s="6">
        <f t="shared" si="14"/>
        <v>49</v>
      </c>
      <c r="K70" s="6">
        <f t="shared" si="14"/>
        <v>1389.8</v>
      </c>
    </row>
    <row r="71" spans="1:11" s="6" customFormat="1" x14ac:dyDescent="0.2">
      <c r="A71" s="6">
        <f t="shared" ref="A71:K72" si="15">A30</f>
        <v>2</v>
      </c>
      <c r="B71" s="6" t="str">
        <f t="shared" si="15"/>
        <v>16) วิทยาลัยสหเวชศาสตร์</v>
      </c>
      <c r="C71" s="6" t="s">
        <v>85</v>
      </c>
      <c r="D71" s="6">
        <f t="shared" si="15"/>
        <v>50000</v>
      </c>
      <c r="E71" s="6">
        <f t="shared" si="15"/>
        <v>268350</v>
      </c>
      <c r="F71" s="6">
        <f t="shared" si="15"/>
        <v>7794844.1499999994</v>
      </c>
      <c r="G71" s="6">
        <f t="shared" si="15"/>
        <v>8063194.1499999994</v>
      </c>
      <c r="H71" s="6">
        <f t="shared" si="15"/>
        <v>0</v>
      </c>
      <c r="I71" s="6">
        <f t="shared" si="15"/>
        <v>8063194.1499999994</v>
      </c>
      <c r="J71" s="6">
        <f t="shared" si="15"/>
        <v>61</v>
      </c>
      <c r="K71" s="6">
        <f t="shared" si="15"/>
        <v>132183.51</v>
      </c>
    </row>
    <row r="72" spans="1:11" s="6" customFormat="1" x14ac:dyDescent="0.2">
      <c r="A72" s="6" t="s">
        <v>86</v>
      </c>
      <c r="B72" s="6">
        <f t="shared" si="15"/>
        <v>0</v>
      </c>
      <c r="C72" s="6" t="s">
        <v>86</v>
      </c>
      <c r="D72" s="6">
        <f t="shared" si="15"/>
        <v>0</v>
      </c>
      <c r="E72" s="6">
        <f t="shared" si="15"/>
        <v>4046570</v>
      </c>
      <c r="F72" s="6">
        <f t="shared" si="15"/>
        <v>40605760</v>
      </c>
      <c r="G72" s="6">
        <f t="shared" si="15"/>
        <v>44652330</v>
      </c>
      <c r="H72" s="6">
        <f t="shared" si="15"/>
        <v>145395624</v>
      </c>
      <c r="I72" s="6">
        <f t="shared" si="15"/>
        <v>190047954</v>
      </c>
      <c r="J72" s="6">
        <f t="shared" si="15"/>
        <v>890</v>
      </c>
      <c r="K72" s="6">
        <f t="shared" si="15"/>
        <v>213537.03</v>
      </c>
    </row>
    <row r="73" spans="1:11" s="6" customFormat="1" x14ac:dyDescent="0.2">
      <c r="A73" s="6">
        <f t="shared" ref="A73:K73" si="16">A32</f>
        <v>0</v>
      </c>
      <c r="B73" s="6" t="str">
        <f t="shared" si="16"/>
        <v>10) บัณฑิตวิทยาลัย (กลุ่มมนุษยศาสตร์ฯ+วิทยาศาสตร์ฯ)</v>
      </c>
      <c r="C73" s="6">
        <f t="shared" si="16"/>
        <v>0</v>
      </c>
      <c r="D73" s="6">
        <f t="shared" si="16"/>
        <v>0</v>
      </c>
      <c r="E73" s="6">
        <f t="shared" si="16"/>
        <v>177575</v>
      </c>
      <c r="F73" s="6">
        <f t="shared" si="16"/>
        <v>0</v>
      </c>
      <c r="G73" s="6">
        <f t="shared" si="16"/>
        <v>177575</v>
      </c>
      <c r="H73" s="6">
        <f t="shared" si="16"/>
        <v>1345000</v>
      </c>
      <c r="I73" s="6">
        <f t="shared" si="16"/>
        <v>1522575</v>
      </c>
      <c r="J73" s="6">
        <f t="shared" si="16"/>
        <v>70</v>
      </c>
      <c r="K73" s="6">
        <f t="shared" si="16"/>
        <v>21751.07</v>
      </c>
    </row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ht="48" x14ac:dyDescent="0.2">
      <c r="A78" s="6" t="s">
        <v>87</v>
      </c>
      <c r="I78" s="6" t="s">
        <v>65</v>
      </c>
      <c r="J78" s="130" t="s">
        <v>66</v>
      </c>
      <c r="K78" s="6" t="s">
        <v>67</v>
      </c>
    </row>
    <row r="79" spans="1:11" s="6" customFormat="1" x14ac:dyDescent="0.2">
      <c r="A79" s="6" t="s">
        <v>88</v>
      </c>
      <c r="I79" s="133">
        <f t="shared" ref="I79:K79" si="17">I7</f>
        <v>62885854.799999997</v>
      </c>
      <c r="J79" s="133">
        <f t="shared" si="17"/>
        <v>601</v>
      </c>
      <c r="K79" s="133">
        <f t="shared" si="17"/>
        <v>104635.37</v>
      </c>
    </row>
    <row r="80" spans="1:11" s="6" customFormat="1" x14ac:dyDescent="0.2">
      <c r="A80" s="6" t="s">
        <v>89</v>
      </c>
      <c r="I80" s="133">
        <f t="shared" ref="I80:K80" si="18">I23</f>
        <v>119030805.05</v>
      </c>
      <c r="J80" s="133">
        <f t="shared" si="18"/>
        <v>179</v>
      </c>
      <c r="K80" s="133">
        <f t="shared" si="18"/>
        <v>664976.56000000006</v>
      </c>
    </row>
    <row r="81" spans="1:11" s="6" customFormat="1" x14ac:dyDescent="0.2">
      <c r="A81" s="6" t="s">
        <v>90</v>
      </c>
      <c r="I81" s="133">
        <f t="shared" ref="I81:K81" si="19">I28</f>
        <v>8131294.1499999994</v>
      </c>
      <c r="J81" s="133">
        <f t="shared" si="19"/>
        <v>110</v>
      </c>
      <c r="K81" s="133">
        <f t="shared" si="19"/>
        <v>73920.86</v>
      </c>
    </row>
    <row r="82" spans="1:11" s="6" customFormat="1" x14ac:dyDescent="0.2"/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mergeCells count="48">
    <mergeCell ref="A31:C31"/>
    <mergeCell ref="B32:C32"/>
    <mergeCell ref="A34:B35"/>
    <mergeCell ref="C34:J35"/>
    <mergeCell ref="A49:A63"/>
    <mergeCell ref="A65:A68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A23:C23"/>
    <mergeCell ref="B24:C24"/>
    <mergeCell ref="B13:C13"/>
    <mergeCell ref="B14:C14"/>
    <mergeCell ref="B15:C15"/>
    <mergeCell ref="B16:C16"/>
    <mergeCell ref="B17:C17"/>
    <mergeCell ref="B18:C18"/>
    <mergeCell ref="A7:C7"/>
    <mergeCell ref="B8:C8"/>
    <mergeCell ref="B9:C9"/>
    <mergeCell ref="B10:C10"/>
    <mergeCell ref="B11:C11"/>
    <mergeCell ref="B12:C12"/>
    <mergeCell ref="L4:L6"/>
    <mergeCell ref="M4:M6"/>
    <mergeCell ref="N4:N6"/>
    <mergeCell ref="O4:O6"/>
    <mergeCell ref="E5:G5"/>
    <mergeCell ref="I5:I6"/>
    <mergeCell ref="A4:A6"/>
    <mergeCell ref="B4:C6"/>
    <mergeCell ref="D4:D6"/>
    <mergeCell ref="E4:I4"/>
    <mergeCell ref="J4:J6"/>
    <mergeCell ref="K4:K6"/>
    <mergeCell ref="A1:B1"/>
    <mergeCell ref="C1:K1"/>
    <mergeCell ref="L1:M1"/>
    <mergeCell ref="A2:B2"/>
    <mergeCell ref="L2:M2"/>
    <mergeCell ref="E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68"/>
  <sheetViews>
    <sheetView zoomScale="60" zoomScaleNormal="60" workbookViewId="0">
      <pane xSplit="3" ySplit="5" topLeftCell="H2058" activePane="bottomRight" state="frozen"/>
      <selection activeCell="D37" sqref="D37"/>
      <selection pane="topRight" activeCell="D37" sqref="D37"/>
      <selection pane="bottomLeft" activeCell="D37" sqref="D37"/>
      <selection pane="bottomRight" activeCell="D35" sqref="D35:D39"/>
    </sheetView>
  </sheetViews>
  <sheetFormatPr defaultColWidth="9" defaultRowHeight="24" x14ac:dyDescent="0.2"/>
  <cols>
    <col min="1" max="1" width="9" style="139"/>
    <col min="2" max="2" width="18.75" style="139" bestFit="1" customWidth="1"/>
    <col min="3" max="3" width="18.25" style="139" customWidth="1"/>
    <col min="4" max="4" width="20.75" style="139" bestFit="1" customWidth="1"/>
    <col min="5" max="5" width="20.75" style="139" customWidth="1"/>
    <col min="6" max="6" width="20" style="139" customWidth="1"/>
    <col min="7" max="7" width="20" style="138" customWidth="1"/>
    <col min="8" max="8" width="18.125" style="138" customWidth="1"/>
    <col min="9" max="9" width="35" style="138" customWidth="1"/>
    <col min="10" max="10" width="29" style="138" customWidth="1"/>
    <col min="11" max="11" width="14.625" style="138" customWidth="1"/>
    <col min="12" max="12" width="30.5" style="138" customWidth="1"/>
    <col min="13" max="13" width="20.125" style="138" bestFit="1" customWidth="1"/>
    <col min="14" max="47" width="9" style="138"/>
    <col min="48" max="16384" width="9" style="139"/>
  </cols>
  <sheetData>
    <row r="1" spans="1:67" ht="30.75" x14ac:dyDescent="0.2">
      <c r="A1" s="135"/>
      <c r="B1" s="136" t="s">
        <v>91</v>
      </c>
      <c r="C1" s="137" t="s">
        <v>1</v>
      </c>
      <c r="D1" s="137"/>
      <c r="E1" s="137"/>
      <c r="F1" s="137"/>
      <c r="G1" s="137"/>
      <c r="H1" s="137"/>
      <c r="I1" s="137"/>
      <c r="J1" s="137"/>
      <c r="K1" s="137"/>
      <c r="L1" s="2" t="s">
        <v>2</v>
      </c>
      <c r="M1" s="4"/>
    </row>
    <row r="2" spans="1:67" ht="30.75" x14ac:dyDescent="0.2">
      <c r="A2" s="140"/>
      <c r="B2" s="141" t="s">
        <v>3</v>
      </c>
      <c r="C2" s="142" t="s">
        <v>4</v>
      </c>
      <c r="D2" s="142"/>
      <c r="E2" s="142"/>
      <c r="F2" s="142"/>
      <c r="G2" s="142"/>
      <c r="H2" s="142"/>
      <c r="I2" s="142"/>
      <c r="J2" s="142"/>
      <c r="K2" s="142"/>
      <c r="L2" s="8" t="s">
        <v>5</v>
      </c>
      <c r="M2" s="12"/>
    </row>
    <row r="3" spans="1:67" s="138" customFormat="1" x14ac:dyDescent="0.2">
      <c r="A3" s="140"/>
      <c r="B3" s="143"/>
      <c r="C3" s="15" t="s">
        <v>92</v>
      </c>
      <c r="D3" s="15"/>
      <c r="E3" s="15" t="s">
        <v>93</v>
      </c>
    </row>
    <row r="4" spans="1:67" x14ac:dyDescent="0.2">
      <c r="A4" s="144" t="s">
        <v>10</v>
      </c>
      <c r="B4" s="145" t="s">
        <v>94</v>
      </c>
      <c r="C4" s="146"/>
      <c r="D4" s="147" t="s">
        <v>95</v>
      </c>
      <c r="E4" s="148" t="s">
        <v>96</v>
      </c>
      <c r="F4" s="149"/>
      <c r="G4" s="149"/>
      <c r="H4" s="150"/>
      <c r="I4" s="151" t="s">
        <v>97</v>
      </c>
      <c r="J4" s="152" t="s">
        <v>98</v>
      </c>
      <c r="K4" s="153" t="s">
        <v>99</v>
      </c>
      <c r="L4" s="154" t="s">
        <v>100</v>
      </c>
      <c r="M4" s="155" t="s">
        <v>101</v>
      </c>
    </row>
    <row r="5" spans="1:67" s="138" customFormat="1" x14ac:dyDescent="0.2">
      <c r="A5" s="156"/>
      <c r="B5" s="157"/>
      <c r="C5" s="158"/>
      <c r="D5" s="159"/>
      <c r="E5" s="160" t="s">
        <v>102</v>
      </c>
      <c r="F5" s="160" t="s">
        <v>103</v>
      </c>
      <c r="G5" s="161" t="s">
        <v>104</v>
      </c>
      <c r="H5" s="160" t="s">
        <v>105</v>
      </c>
      <c r="I5" s="162"/>
      <c r="J5" s="163"/>
      <c r="K5" s="164"/>
      <c r="L5" s="165"/>
      <c r="M5" s="166"/>
    </row>
    <row r="6" spans="1:67" ht="22.5" customHeight="1" x14ac:dyDescent="0.2">
      <c r="A6" s="167">
        <v>1</v>
      </c>
      <c r="B6" s="168" t="s">
        <v>106</v>
      </c>
      <c r="C6" s="169"/>
      <c r="D6" s="170" t="s">
        <v>107</v>
      </c>
      <c r="E6" s="170"/>
      <c r="F6" s="170"/>
      <c r="G6" s="170"/>
      <c r="H6" s="170" t="s">
        <v>108</v>
      </c>
      <c r="I6" s="171" t="s">
        <v>109</v>
      </c>
      <c r="J6" s="172" t="s">
        <v>110</v>
      </c>
      <c r="K6" s="173">
        <f>10000*96%</f>
        <v>9600</v>
      </c>
      <c r="L6" s="174" t="s">
        <v>111</v>
      </c>
      <c r="M6" s="175" t="s">
        <v>112</v>
      </c>
      <c r="N6" s="176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</row>
    <row r="7" spans="1:67" ht="22.5" customHeight="1" x14ac:dyDescent="0.2">
      <c r="A7" s="177"/>
      <c r="B7" s="178"/>
      <c r="C7" s="179"/>
      <c r="D7" s="180"/>
      <c r="E7" s="180"/>
      <c r="F7" s="180"/>
      <c r="G7" s="180"/>
      <c r="H7" s="180"/>
      <c r="I7" s="181" t="s">
        <v>113</v>
      </c>
      <c r="J7" s="182" t="s">
        <v>110</v>
      </c>
      <c r="K7" s="183">
        <f>10000*1%</f>
        <v>100</v>
      </c>
      <c r="L7" s="184"/>
      <c r="M7" s="185"/>
      <c r="N7" s="176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</row>
    <row r="8" spans="1:67" ht="22.5" customHeight="1" x14ac:dyDescent="0.2">
      <c r="A8" s="177"/>
      <c r="B8" s="178"/>
      <c r="C8" s="179"/>
      <c r="D8" s="180"/>
      <c r="E8" s="180"/>
      <c r="F8" s="180"/>
      <c r="G8" s="180"/>
      <c r="H8" s="180"/>
      <c r="I8" s="181" t="s">
        <v>114</v>
      </c>
      <c r="J8" s="172" t="s">
        <v>110</v>
      </c>
      <c r="K8" s="186">
        <f>10000*1%</f>
        <v>100</v>
      </c>
      <c r="L8" s="184"/>
      <c r="M8" s="185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</row>
    <row r="9" spans="1:67" ht="22.5" customHeight="1" x14ac:dyDescent="0.2">
      <c r="A9" s="177"/>
      <c r="B9" s="178"/>
      <c r="C9" s="179"/>
      <c r="D9" s="180"/>
      <c r="E9" s="180"/>
      <c r="F9" s="180"/>
      <c r="G9" s="180"/>
      <c r="H9" s="180"/>
      <c r="I9" s="181" t="s">
        <v>115</v>
      </c>
      <c r="J9" s="187" t="s">
        <v>110</v>
      </c>
      <c r="K9" s="183">
        <f>10000*1%</f>
        <v>100</v>
      </c>
      <c r="L9" s="184"/>
      <c r="M9" s="185"/>
      <c r="N9" s="176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</row>
    <row r="10" spans="1:67" ht="22.5" customHeight="1" x14ac:dyDescent="0.2">
      <c r="A10" s="177"/>
      <c r="B10" s="178"/>
      <c r="C10" s="179"/>
      <c r="D10" s="180"/>
      <c r="E10" s="180"/>
      <c r="F10" s="180"/>
      <c r="G10" s="180"/>
      <c r="H10" s="180"/>
      <c r="I10" s="188" t="s">
        <v>116</v>
      </c>
      <c r="J10" s="187" t="s">
        <v>117</v>
      </c>
      <c r="K10" s="183">
        <f>10000*1%</f>
        <v>100</v>
      </c>
      <c r="L10" s="184"/>
      <c r="M10" s="185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</row>
    <row r="11" spans="1:67" ht="22.5" customHeight="1" x14ac:dyDescent="0.2">
      <c r="A11" s="189"/>
      <c r="B11" s="190"/>
      <c r="C11" s="191"/>
      <c r="D11" s="192"/>
      <c r="E11" s="192"/>
      <c r="F11" s="192"/>
      <c r="G11" s="192"/>
      <c r="H11" s="192"/>
      <c r="I11" s="193"/>
      <c r="J11" s="194"/>
      <c r="K11" s="195">
        <f>SUM(K6:K10)</f>
        <v>10000</v>
      </c>
      <c r="L11" s="196"/>
      <c r="M11" s="197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</row>
    <row r="12" spans="1:67" ht="23.25" customHeight="1" x14ac:dyDescent="0.2">
      <c r="A12" s="167">
        <v>2</v>
      </c>
      <c r="B12" s="168" t="s">
        <v>118</v>
      </c>
      <c r="C12" s="169"/>
      <c r="D12" s="170" t="s">
        <v>107</v>
      </c>
      <c r="E12" s="170"/>
      <c r="F12" s="170"/>
      <c r="G12" s="170"/>
      <c r="H12" s="170"/>
      <c r="I12" s="171" t="s">
        <v>119</v>
      </c>
      <c r="J12" s="198" t="s">
        <v>110</v>
      </c>
      <c r="K12" s="173">
        <f>3000*20%</f>
        <v>600</v>
      </c>
      <c r="L12" s="169" t="s">
        <v>111</v>
      </c>
      <c r="M12" s="175" t="s">
        <v>120</v>
      </c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</row>
    <row r="13" spans="1:67" ht="23.25" customHeight="1" x14ac:dyDescent="0.2">
      <c r="A13" s="177"/>
      <c r="B13" s="178"/>
      <c r="C13" s="179"/>
      <c r="D13" s="180"/>
      <c r="E13" s="180"/>
      <c r="F13" s="180"/>
      <c r="G13" s="180"/>
      <c r="H13" s="180"/>
      <c r="I13" s="188" t="s">
        <v>121</v>
      </c>
      <c r="J13" s="172" t="s">
        <v>110</v>
      </c>
      <c r="K13" s="199">
        <f>3000*15%</f>
        <v>450</v>
      </c>
      <c r="L13" s="179"/>
      <c r="M13" s="185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</row>
    <row r="14" spans="1:67" ht="23.25" customHeight="1" x14ac:dyDescent="0.2">
      <c r="A14" s="177"/>
      <c r="B14" s="178"/>
      <c r="C14" s="179"/>
      <c r="D14" s="180"/>
      <c r="E14" s="180"/>
      <c r="F14" s="180"/>
      <c r="G14" s="180"/>
      <c r="H14" s="180"/>
      <c r="I14" s="188" t="s">
        <v>122</v>
      </c>
      <c r="J14" s="187" t="s">
        <v>110</v>
      </c>
      <c r="K14" s="200">
        <f>3000*10%</f>
        <v>300</v>
      </c>
      <c r="L14" s="179"/>
      <c r="M14" s="185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</row>
    <row r="15" spans="1:67" ht="23.25" customHeight="1" x14ac:dyDescent="0.2">
      <c r="A15" s="177"/>
      <c r="B15" s="178"/>
      <c r="C15" s="179"/>
      <c r="D15" s="180"/>
      <c r="E15" s="180"/>
      <c r="F15" s="180"/>
      <c r="G15" s="180"/>
      <c r="H15" s="180"/>
      <c r="I15" s="188" t="s">
        <v>123</v>
      </c>
      <c r="J15" s="187" t="s">
        <v>110</v>
      </c>
      <c r="K15" s="200">
        <f>3000*15%</f>
        <v>450</v>
      </c>
      <c r="L15" s="179"/>
      <c r="M15" s="185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</row>
    <row r="16" spans="1:67" ht="23.25" customHeight="1" x14ac:dyDescent="0.2">
      <c r="A16" s="177"/>
      <c r="B16" s="178"/>
      <c r="C16" s="179"/>
      <c r="D16" s="180"/>
      <c r="E16" s="180"/>
      <c r="F16" s="180"/>
      <c r="G16" s="180"/>
      <c r="H16" s="180"/>
      <c r="I16" s="171" t="s">
        <v>124</v>
      </c>
      <c r="J16" s="187" t="s">
        <v>110</v>
      </c>
      <c r="K16" s="200">
        <f>3000*10%</f>
        <v>300</v>
      </c>
      <c r="L16" s="179"/>
      <c r="M16" s="185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</row>
    <row r="17" spans="1:67" ht="23.25" customHeight="1" x14ac:dyDescent="0.2">
      <c r="A17" s="177"/>
      <c r="B17" s="178"/>
      <c r="C17" s="179"/>
      <c r="D17" s="180"/>
      <c r="E17" s="180"/>
      <c r="F17" s="180"/>
      <c r="G17" s="180"/>
      <c r="H17" s="180"/>
      <c r="I17" s="181" t="s">
        <v>125</v>
      </c>
      <c r="J17" s="187" t="s">
        <v>126</v>
      </c>
      <c r="K17" s="200">
        <f>3000*10%</f>
        <v>300</v>
      </c>
      <c r="L17" s="179"/>
      <c r="M17" s="185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</row>
    <row r="18" spans="1:67" ht="23.25" customHeight="1" x14ac:dyDescent="0.2">
      <c r="A18" s="177"/>
      <c r="B18" s="178"/>
      <c r="C18" s="179"/>
      <c r="D18" s="180"/>
      <c r="E18" s="180"/>
      <c r="F18" s="180"/>
      <c r="G18" s="180"/>
      <c r="H18" s="180"/>
      <c r="I18" s="181" t="s">
        <v>127</v>
      </c>
      <c r="J18" s="187" t="s">
        <v>110</v>
      </c>
      <c r="K18" s="201">
        <f>3000*10%</f>
        <v>300</v>
      </c>
      <c r="L18" s="179"/>
      <c r="M18" s="185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</row>
    <row r="19" spans="1:67" ht="23.25" customHeight="1" x14ac:dyDescent="0.2">
      <c r="A19" s="177"/>
      <c r="B19" s="178"/>
      <c r="C19" s="179"/>
      <c r="D19" s="180"/>
      <c r="E19" s="180"/>
      <c r="F19" s="180"/>
      <c r="G19" s="180"/>
      <c r="H19" s="180"/>
      <c r="I19" s="181" t="s">
        <v>128</v>
      </c>
      <c r="J19" s="187" t="s">
        <v>117</v>
      </c>
      <c r="K19" s="202">
        <f>3000*10%</f>
        <v>300</v>
      </c>
      <c r="L19" s="179"/>
      <c r="M19" s="185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</row>
    <row r="20" spans="1:67" ht="23.25" customHeight="1" x14ac:dyDescent="0.2">
      <c r="A20" s="189"/>
      <c r="B20" s="190"/>
      <c r="C20" s="191"/>
      <c r="D20" s="192"/>
      <c r="E20" s="192"/>
      <c r="F20" s="192"/>
      <c r="G20" s="192"/>
      <c r="H20" s="192"/>
      <c r="I20" s="203"/>
      <c r="J20" s="204"/>
      <c r="K20" s="205">
        <f>SUM(K12:K19)</f>
        <v>3000</v>
      </c>
      <c r="L20" s="191"/>
      <c r="M20" s="197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</row>
    <row r="21" spans="1:67" ht="23.25" customHeight="1" x14ac:dyDescent="0.2">
      <c r="A21" s="167">
        <v>3</v>
      </c>
      <c r="B21" s="168" t="s">
        <v>129</v>
      </c>
      <c r="C21" s="169"/>
      <c r="D21" s="170" t="s">
        <v>107</v>
      </c>
      <c r="E21" s="170"/>
      <c r="F21" s="170"/>
      <c r="G21" s="170"/>
      <c r="H21" s="170" t="s">
        <v>108</v>
      </c>
      <c r="I21" s="171" t="s">
        <v>130</v>
      </c>
      <c r="J21" s="198" t="s">
        <v>110</v>
      </c>
      <c r="K21" s="206">
        <f>11000*40%</f>
        <v>4400</v>
      </c>
      <c r="L21" s="174" t="s">
        <v>111</v>
      </c>
      <c r="M21" s="175" t="s">
        <v>131</v>
      </c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</row>
    <row r="22" spans="1:67" ht="23.25" customHeight="1" x14ac:dyDescent="0.2">
      <c r="A22" s="177"/>
      <c r="B22" s="178"/>
      <c r="C22" s="179"/>
      <c r="D22" s="180"/>
      <c r="E22" s="180"/>
      <c r="F22" s="180"/>
      <c r="G22" s="180"/>
      <c r="H22" s="180"/>
      <c r="I22" s="181" t="s">
        <v>132</v>
      </c>
      <c r="J22" s="172" t="s">
        <v>110</v>
      </c>
      <c r="K22" s="202">
        <f>11000*30%</f>
        <v>3300</v>
      </c>
      <c r="L22" s="184"/>
      <c r="M22" s="185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</row>
    <row r="23" spans="1:67" ht="23.25" customHeight="1" x14ac:dyDescent="0.2">
      <c r="A23" s="177"/>
      <c r="B23" s="178"/>
      <c r="C23" s="179"/>
      <c r="D23" s="180"/>
      <c r="E23" s="180"/>
      <c r="F23" s="180"/>
      <c r="G23" s="180"/>
      <c r="H23" s="180"/>
      <c r="I23" s="181" t="s">
        <v>133</v>
      </c>
      <c r="J23" s="207" t="s">
        <v>110</v>
      </c>
      <c r="K23" s="186">
        <f>11000*20%</f>
        <v>2200</v>
      </c>
      <c r="L23" s="184"/>
      <c r="M23" s="185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</row>
    <row r="24" spans="1:67" ht="23.25" customHeight="1" x14ac:dyDescent="0.2">
      <c r="A24" s="177"/>
      <c r="B24" s="178"/>
      <c r="C24" s="179"/>
      <c r="D24" s="180"/>
      <c r="E24" s="180"/>
      <c r="F24" s="180"/>
      <c r="G24" s="180"/>
      <c r="H24" s="180"/>
      <c r="I24" s="181" t="s">
        <v>134</v>
      </c>
      <c r="J24" s="187" t="s">
        <v>135</v>
      </c>
      <c r="K24" s="208">
        <f>11000*10%</f>
        <v>1100</v>
      </c>
      <c r="L24" s="184"/>
      <c r="M24" s="185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</row>
    <row r="25" spans="1:67" ht="23.25" customHeight="1" x14ac:dyDescent="0.2">
      <c r="A25" s="189"/>
      <c r="B25" s="190"/>
      <c r="C25" s="191"/>
      <c r="D25" s="192"/>
      <c r="E25" s="192"/>
      <c r="F25" s="192"/>
      <c r="G25" s="192"/>
      <c r="H25" s="192"/>
      <c r="I25" s="203"/>
      <c r="J25" s="194"/>
      <c r="K25" s="209">
        <f>SUM(K21:K24)</f>
        <v>11000</v>
      </c>
      <c r="L25" s="196"/>
      <c r="M25" s="197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</row>
    <row r="26" spans="1:67" ht="23.25" customHeight="1" x14ac:dyDescent="0.2">
      <c r="A26" s="167">
        <v>4</v>
      </c>
      <c r="B26" s="168" t="s">
        <v>136</v>
      </c>
      <c r="C26" s="169"/>
      <c r="D26" s="170" t="s">
        <v>107</v>
      </c>
      <c r="E26" s="170"/>
      <c r="F26" s="170"/>
      <c r="G26" s="170"/>
      <c r="H26" s="170" t="s">
        <v>137</v>
      </c>
      <c r="I26" s="171" t="s">
        <v>138</v>
      </c>
      <c r="J26" s="172" t="s">
        <v>110</v>
      </c>
      <c r="K26" s="173">
        <f>5000*50%</f>
        <v>2500</v>
      </c>
      <c r="L26" s="174" t="s">
        <v>111</v>
      </c>
      <c r="M26" s="175" t="s">
        <v>139</v>
      </c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</row>
    <row r="27" spans="1:67" ht="23.25" customHeight="1" x14ac:dyDescent="0.2">
      <c r="A27" s="177"/>
      <c r="B27" s="178"/>
      <c r="C27" s="179"/>
      <c r="D27" s="180"/>
      <c r="E27" s="180"/>
      <c r="F27" s="180"/>
      <c r="G27" s="180"/>
      <c r="H27" s="180"/>
      <c r="I27" s="188" t="s">
        <v>140</v>
      </c>
      <c r="J27" s="187" t="s">
        <v>110</v>
      </c>
      <c r="K27" s="183">
        <f>5000*40%</f>
        <v>2000</v>
      </c>
      <c r="L27" s="184"/>
      <c r="M27" s="185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</row>
    <row r="28" spans="1:67" ht="23.25" customHeight="1" x14ac:dyDescent="0.2">
      <c r="A28" s="177"/>
      <c r="B28" s="178"/>
      <c r="C28" s="179"/>
      <c r="D28" s="180"/>
      <c r="E28" s="180"/>
      <c r="F28" s="180"/>
      <c r="G28" s="180"/>
      <c r="H28" s="180"/>
      <c r="I28" s="171" t="s">
        <v>141</v>
      </c>
      <c r="J28" s="187" t="s">
        <v>117</v>
      </c>
      <c r="K28" s="183">
        <f>5000*5%</f>
        <v>250</v>
      </c>
      <c r="L28" s="184"/>
      <c r="M28" s="185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</row>
    <row r="29" spans="1:67" ht="23.25" customHeight="1" x14ac:dyDescent="0.2">
      <c r="A29" s="177"/>
      <c r="B29" s="178"/>
      <c r="C29" s="179"/>
      <c r="D29" s="180"/>
      <c r="E29" s="180"/>
      <c r="F29" s="180"/>
      <c r="G29" s="180"/>
      <c r="H29" s="180"/>
      <c r="I29" s="171" t="s">
        <v>142</v>
      </c>
      <c r="J29" s="187" t="s">
        <v>117</v>
      </c>
      <c r="K29" s="183">
        <f>5000*5%</f>
        <v>250</v>
      </c>
      <c r="L29" s="184"/>
      <c r="M29" s="185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</row>
    <row r="30" spans="1:67" ht="23.25" customHeight="1" x14ac:dyDescent="0.2">
      <c r="A30" s="189"/>
      <c r="B30" s="190"/>
      <c r="C30" s="191"/>
      <c r="D30" s="192"/>
      <c r="E30" s="192"/>
      <c r="F30" s="192"/>
      <c r="G30" s="192"/>
      <c r="H30" s="192"/>
      <c r="I30" s="203"/>
      <c r="J30" s="194"/>
      <c r="K30" s="195">
        <f>SUM(K26:K29)</f>
        <v>5000</v>
      </c>
      <c r="L30" s="196"/>
      <c r="M30" s="197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</row>
    <row r="31" spans="1:67" ht="23.25" customHeight="1" x14ac:dyDescent="0.2">
      <c r="A31" s="167">
        <v>5</v>
      </c>
      <c r="B31" s="168" t="s">
        <v>143</v>
      </c>
      <c r="C31" s="169"/>
      <c r="D31" s="170" t="s">
        <v>107</v>
      </c>
      <c r="E31" s="170"/>
      <c r="F31" s="170"/>
      <c r="G31" s="170"/>
      <c r="H31" s="170"/>
      <c r="I31" s="171" t="s">
        <v>144</v>
      </c>
      <c r="J31" s="172" t="s">
        <v>145</v>
      </c>
      <c r="K31" s="210">
        <f>10000*50%</f>
        <v>5000</v>
      </c>
      <c r="L31" s="169" t="s">
        <v>111</v>
      </c>
      <c r="M31" s="175" t="s">
        <v>146</v>
      </c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</row>
    <row r="32" spans="1:67" ht="23.25" customHeight="1" x14ac:dyDescent="0.2">
      <c r="A32" s="177"/>
      <c r="B32" s="178"/>
      <c r="C32" s="179"/>
      <c r="D32" s="180"/>
      <c r="E32" s="180"/>
      <c r="F32" s="180"/>
      <c r="G32" s="180"/>
      <c r="H32" s="180"/>
      <c r="I32" s="188" t="s">
        <v>140</v>
      </c>
      <c r="J32" s="187" t="s">
        <v>147</v>
      </c>
      <c r="K32" s="201">
        <f>10000*40%</f>
        <v>4000</v>
      </c>
      <c r="L32" s="179"/>
      <c r="M32" s="185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</row>
    <row r="33" spans="1:67" ht="23.25" customHeight="1" x14ac:dyDescent="0.2">
      <c r="A33" s="177"/>
      <c r="B33" s="178"/>
      <c r="C33" s="179"/>
      <c r="D33" s="180"/>
      <c r="E33" s="180"/>
      <c r="F33" s="180"/>
      <c r="G33" s="180"/>
      <c r="H33" s="180"/>
      <c r="I33" s="171" t="s">
        <v>148</v>
      </c>
      <c r="J33" s="187" t="s">
        <v>117</v>
      </c>
      <c r="K33" s="202">
        <f>10000*10%</f>
        <v>1000</v>
      </c>
      <c r="L33" s="179"/>
      <c r="M33" s="185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</row>
    <row r="34" spans="1:67" ht="23.25" customHeight="1" x14ac:dyDescent="0.2">
      <c r="A34" s="189"/>
      <c r="B34" s="190"/>
      <c r="C34" s="191"/>
      <c r="D34" s="192"/>
      <c r="E34" s="192"/>
      <c r="F34" s="192"/>
      <c r="G34" s="192"/>
      <c r="H34" s="192"/>
      <c r="I34" s="203"/>
      <c r="J34" s="194"/>
      <c r="K34" s="211">
        <f>SUM(K31:K33)</f>
        <v>10000</v>
      </c>
      <c r="L34" s="191"/>
      <c r="M34" s="197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</row>
    <row r="35" spans="1:67" ht="23.25" customHeight="1" x14ac:dyDescent="0.2">
      <c r="A35" s="167">
        <v>6</v>
      </c>
      <c r="B35" s="168" t="s">
        <v>149</v>
      </c>
      <c r="C35" s="169"/>
      <c r="D35" s="170" t="s">
        <v>107</v>
      </c>
      <c r="E35" s="170"/>
      <c r="F35" s="170"/>
      <c r="G35" s="170"/>
      <c r="H35" s="170"/>
      <c r="I35" s="171" t="s">
        <v>150</v>
      </c>
      <c r="J35" s="172" t="s">
        <v>110</v>
      </c>
      <c r="K35" s="212">
        <f>8000*85%</f>
        <v>6800</v>
      </c>
      <c r="L35" s="174" t="s">
        <v>111</v>
      </c>
      <c r="M35" s="175" t="s">
        <v>151</v>
      </c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</row>
    <row r="36" spans="1:67" ht="23.25" customHeight="1" x14ac:dyDescent="0.2">
      <c r="A36" s="177"/>
      <c r="B36" s="178"/>
      <c r="C36" s="179"/>
      <c r="D36" s="180"/>
      <c r="E36" s="180"/>
      <c r="F36" s="180"/>
      <c r="G36" s="180"/>
      <c r="H36" s="180"/>
      <c r="I36" s="181" t="s">
        <v>152</v>
      </c>
      <c r="J36" s="182" t="s">
        <v>110</v>
      </c>
      <c r="K36" s="208">
        <f>8000*5%</f>
        <v>400</v>
      </c>
      <c r="L36" s="184"/>
      <c r="M36" s="185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</row>
    <row r="37" spans="1:67" ht="23.25" customHeight="1" x14ac:dyDescent="0.2">
      <c r="A37" s="177"/>
      <c r="B37" s="178"/>
      <c r="C37" s="179"/>
      <c r="D37" s="180"/>
      <c r="E37" s="180"/>
      <c r="F37" s="180"/>
      <c r="G37" s="180"/>
      <c r="H37" s="180"/>
      <c r="I37" s="181" t="s">
        <v>153</v>
      </c>
      <c r="J37" s="182" t="s">
        <v>110</v>
      </c>
      <c r="K37" s="208">
        <f>8000*5%</f>
        <v>400</v>
      </c>
      <c r="L37" s="184"/>
      <c r="M37" s="185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</row>
    <row r="38" spans="1:67" ht="23.25" customHeight="1" x14ac:dyDescent="0.2">
      <c r="A38" s="177"/>
      <c r="B38" s="178"/>
      <c r="C38" s="179"/>
      <c r="D38" s="180"/>
      <c r="E38" s="180"/>
      <c r="F38" s="180"/>
      <c r="G38" s="180"/>
      <c r="H38" s="180"/>
      <c r="I38" s="188" t="s">
        <v>154</v>
      </c>
      <c r="J38" s="172" t="s">
        <v>117</v>
      </c>
      <c r="K38" s="202">
        <f>8000*5%</f>
        <v>400</v>
      </c>
      <c r="L38" s="184"/>
      <c r="M38" s="185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</row>
    <row r="39" spans="1:67" ht="23.25" customHeight="1" x14ac:dyDescent="0.2">
      <c r="A39" s="189"/>
      <c r="B39" s="190"/>
      <c r="C39" s="191"/>
      <c r="D39" s="192"/>
      <c r="E39" s="192"/>
      <c r="F39" s="192"/>
      <c r="G39" s="192"/>
      <c r="H39" s="192"/>
      <c r="I39" s="203"/>
      <c r="J39" s="194"/>
      <c r="K39" s="195">
        <f>SUM(K35:K38)</f>
        <v>8000</v>
      </c>
      <c r="L39" s="196"/>
      <c r="M39" s="197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</row>
    <row r="40" spans="1:67" ht="23.25" customHeight="1" x14ac:dyDescent="0.2">
      <c r="A40" s="167">
        <v>7</v>
      </c>
      <c r="B40" s="168" t="s">
        <v>155</v>
      </c>
      <c r="C40" s="169"/>
      <c r="D40" s="170" t="s">
        <v>107</v>
      </c>
      <c r="E40" s="170"/>
      <c r="F40" s="170"/>
      <c r="G40" s="170"/>
      <c r="H40" s="170" t="s">
        <v>108</v>
      </c>
      <c r="I40" s="171" t="s">
        <v>156</v>
      </c>
      <c r="J40" s="198" t="s">
        <v>110</v>
      </c>
      <c r="K40" s="213">
        <f>8000*35%</f>
        <v>2800</v>
      </c>
      <c r="L40" s="169" t="s">
        <v>111</v>
      </c>
      <c r="M40" s="175" t="s">
        <v>157</v>
      </c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</row>
    <row r="41" spans="1:67" ht="23.25" customHeight="1" x14ac:dyDescent="0.2">
      <c r="A41" s="177"/>
      <c r="B41" s="178"/>
      <c r="C41" s="179"/>
      <c r="D41" s="180"/>
      <c r="E41" s="180"/>
      <c r="F41" s="180"/>
      <c r="G41" s="180"/>
      <c r="H41" s="180"/>
      <c r="I41" s="181" t="s">
        <v>158</v>
      </c>
      <c r="J41" s="172" t="s">
        <v>110</v>
      </c>
      <c r="K41" s="214">
        <f>8000*10%</f>
        <v>800</v>
      </c>
      <c r="L41" s="179"/>
      <c r="M41" s="185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</row>
    <row r="42" spans="1:67" ht="23.25" customHeight="1" x14ac:dyDescent="0.2">
      <c r="A42" s="177"/>
      <c r="B42" s="178"/>
      <c r="C42" s="179"/>
      <c r="D42" s="180"/>
      <c r="E42" s="180"/>
      <c r="F42" s="180"/>
      <c r="G42" s="180"/>
      <c r="H42" s="180"/>
      <c r="I42" s="188" t="s">
        <v>159</v>
      </c>
      <c r="J42" s="187" t="s">
        <v>110</v>
      </c>
      <c r="K42" s="202">
        <f>8000*5%</f>
        <v>400</v>
      </c>
      <c r="L42" s="179"/>
      <c r="M42" s="185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</row>
    <row r="43" spans="1:67" ht="23.25" customHeight="1" x14ac:dyDescent="0.2">
      <c r="A43" s="177"/>
      <c r="B43" s="178"/>
      <c r="C43" s="179"/>
      <c r="D43" s="180"/>
      <c r="E43" s="180"/>
      <c r="F43" s="180"/>
      <c r="G43" s="180"/>
      <c r="H43" s="180"/>
      <c r="I43" s="188" t="s">
        <v>160</v>
      </c>
      <c r="J43" s="187" t="s">
        <v>110</v>
      </c>
      <c r="K43" s="201">
        <f>8000*45%</f>
        <v>3600</v>
      </c>
      <c r="L43" s="179"/>
      <c r="M43" s="185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</row>
    <row r="44" spans="1:67" ht="23.25" customHeight="1" x14ac:dyDescent="0.2">
      <c r="A44" s="177"/>
      <c r="B44" s="178"/>
      <c r="C44" s="179"/>
      <c r="D44" s="180"/>
      <c r="E44" s="180"/>
      <c r="F44" s="180"/>
      <c r="G44" s="180"/>
      <c r="H44" s="180"/>
      <c r="I44" s="171" t="s">
        <v>161</v>
      </c>
      <c r="J44" s="187" t="s">
        <v>117</v>
      </c>
      <c r="K44" s="201">
        <f>8000*5%</f>
        <v>400</v>
      </c>
      <c r="L44" s="179"/>
      <c r="M44" s="185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</row>
    <row r="45" spans="1:67" ht="23.25" customHeight="1" x14ac:dyDescent="0.2">
      <c r="A45" s="189"/>
      <c r="B45" s="190"/>
      <c r="C45" s="191"/>
      <c r="D45" s="192"/>
      <c r="E45" s="192"/>
      <c r="F45" s="192"/>
      <c r="G45" s="192"/>
      <c r="H45" s="192"/>
      <c r="I45" s="203"/>
      <c r="J45" s="194"/>
      <c r="K45" s="209">
        <f>SUM(K40:K44)</f>
        <v>8000</v>
      </c>
      <c r="L45" s="191"/>
      <c r="M45" s="197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</row>
    <row r="46" spans="1:67" ht="23.25" customHeight="1" x14ac:dyDescent="0.2">
      <c r="A46" s="167">
        <v>8</v>
      </c>
      <c r="B46" s="168" t="s">
        <v>162</v>
      </c>
      <c r="C46" s="169"/>
      <c r="D46" s="170" t="s">
        <v>163</v>
      </c>
      <c r="E46" s="170"/>
      <c r="F46" s="170"/>
      <c r="G46" s="170"/>
      <c r="H46" s="170" t="s">
        <v>164</v>
      </c>
      <c r="I46" s="171" t="s">
        <v>165</v>
      </c>
      <c r="J46" s="172" t="s">
        <v>110</v>
      </c>
      <c r="K46" s="173">
        <f>630000*60%</f>
        <v>378000</v>
      </c>
      <c r="L46" s="174" t="s">
        <v>166</v>
      </c>
      <c r="M46" s="175" t="s">
        <v>167</v>
      </c>
      <c r="N46" s="176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</row>
    <row r="47" spans="1:67" ht="23.25" customHeight="1" x14ac:dyDescent="0.2">
      <c r="A47" s="177"/>
      <c r="B47" s="178"/>
      <c r="C47" s="179"/>
      <c r="D47" s="180"/>
      <c r="E47" s="180"/>
      <c r="F47" s="180"/>
      <c r="G47" s="180"/>
      <c r="H47" s="180"/>
      <c r="I47" s="181" t="s">
        <v>168</v>
      </c>
      <c r="J47" s="182" t="s">
        <v>117</v>
      </c>
      <c r="K47" s="183">
        <f>630000*40%</f>
        <v>252000</v>
      </c>
      <c r="L47" s="184"/>
      <c r="M47" s="185"/>
      <c r="N47" s="176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</row>
    <row r="48" spans="1:67" ht="23.25" customHeight="1" x14ac:dyDescent="0.2">
      <c r="A48" s="189"/>
      <c r="B48" s="190"/>
      <c r="C48" s="191"/>
      <c r="D48" s="192"/>
      <c r="E48" s="192"/>
      <c r="F48" s="192"/>
      <c r="G48" s="192"/>
      <c r="H48" s="192"/>
      <c r="I48" s="203"/>
      <c r="J48" s="215"/>
      <c r="K48" s="216">
        <f>SUM(K46:K47)</f>
        <v>630000</v>
      </c>
      <c r="L48" s="196"/>
      <c r="M48" s="197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</row>
    <row r="49" spans="1:67" ht="23.25" customHeight="1" x14ac:dyDescent="0.2">
      <c r="A49" s="167">
        <v>9</v>
      </c>
      <c r="B49" s="168" t="s">
        <v>169</v>
      </c>
      <c r="C49" s="169"/>
      <c r="D49" s="170" t="s">
        <v>163</v>
      </c>
      <c r="E49" s="170"/>
      <c r="F49" s="170"/>
      <c r="G49" s="170"/>
      <c r="H49" s="170"/>
      <c r="I49" s="217" t="s">
        <v>170</v>
      </c>
      <c r="J49" s="172" t="s">
        <v>110</v>
      </c>
      <c r="K49" s="173">
        <f>630000*60%</f>
        <v>378000</v>
      </c>
      <c r="L49" s="169" t="s">
        <v>166</v>
      </c>
      <c r="M49" s="175" t="s">
        <v>171</v>
      </c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</row>
    <row r="50" spans="1:67" ht="23.25" customHeight="1" x14ac:dyDescent="0.2">
      <c r="A50" s="177"/>
      <c r="B50" s="178"/>
      <c r="C50" s="179"/>
      <c r="D50" s="180"/>
      <c r="E50" s="180"/>
      <c r="F50" s="180"/>
      <c r="G50" s="180"/>
      <c r="H50" s="180"/>
      <c r="I50" s="171" t="s">
        <v>168</v>
      </c>
      <c r="J50" s="187" t="s">
        <v>117</v>
      </c>
      <c r="K50" s="201">
        <f>630000*40%</f>
        <v>252000</v>
      </c>
      <c r="L50" s="179"/>
      <c r="M50" s="185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</row>
    <row r="51" spans="1:67" ht="23.25" customHeight="1" x14ac:dyDescent="0.2">
      <c r="A51" s="189"/>
      <c r="B51" s="190"/>
      <c r="C51" s="191"/>
      <c r="D51" s="192"/>
      <c r="E51" s="192"/>
      <c r="F51" s="192"/>
      <c r="G51" s="192"/>
      <c r="H51" s="192"/>
      <c r="I51" s="203"/>
      <c r="J51" s="194"/>
      <c r="K51" s="209">
        <f>SUM(K49:K50)</f>
        <v>630000</v>
      </c>
      <c r="L51" s="191"/>
      <c r="M51" s="197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</row>
    <row r="52" spans="1:67" ht="23.25" customHeight="1" x14ac:dyDescent="0.2">
      <c r="A52" s="167">
        <v>10</v>
      </c>
      <c r="B52" s="168" t="s">
        <v>172</v>
      </c>
      <c r="C52" s="169"/>
      <c r="D52" s="170" t="s">
        <v>163</v>
      </c>
      <c r="E52" s="170"/>
      <c r="F52" s="170"/>
      <c r="G52" s="170"/>
      <c r="H52" s="170"/>
      <c r="I52" s="171" t="s">
        <v>173</v>
      </c>
      <c r="J52" s="172" t="s">
        <v>147</v>
      </c>
      <c r="K52" s="218">
        <f>539800*50%</f>
        <v>269900</v>
      </c>
      <c r="L52" s="175" t="s">
        <v>166</v>
      </c>
      <c r="M52" s="175" t="s">
        <v>174</v>
      </c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</row>
    <row r="53" spans="1:67" ht="23.25" customHeight="1" x14ac:dyDescent="0.2">
      <c r="A53" s="177"/>
      <c r="B53" s="178"/>
      <c r="C53" s="179"/>
      <c r="D53" s="180"/>
      <c r="E53" s="180"/>
      <c r="F53" s="180"/>
      <c r="G53" s="180"/>
      <c r="H53" s="180"/>
      <c r="I53" s="181" t="s">
        <v>175</v>
      </c>
      <c r="J53" s="182" t="s">
        <v>176</v>
      </c>
      <c r="K53" s="201">
        <f t="shared" ref="K53:K62" si="0">539800*5%</f>
        <v>26990</v>
      </c>
      <c r="L53" s="179"/>
      <c r="M53" s="185"/>
      <c r="N53" s="176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</row>
    <row r="54" spans="1:67" ht="23.25" customHeight="1" x14ac:dyDescent="0.2">
      <c r="A54" s="177"/>
      <c r="B54" s="178"/>
      <c r="C54" s="179"/>
      <c r="D54" s="180"/>
      <c r="E54" s="180"/>
      <c r="F54" s="180"/>
      <c r="G54" s="180"/>
      <c r="H54" s="180"/>
      <c r="I54" s="181" t="s">
        <v>177</v>
      </c>
      <c r="J54" s="172" t="s">
        <v>147</v>
      </c>
      <c r="K54" s="219">
        <f t="shared" si="0"/>
        <v>26990</v>
      </c>
      <c r="L54" s="185"/>
      <c r="M54" s="185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</row>
    <row r="55" spans="1:67" ht="23.25" customHeight="1" x14ac:dyDescent="0.2">
      <c r="A55" s="177"/>
      <c r="B55" s="178"/>
      <c r="C55" s="179"/>
      <c r="D55" s="180"/>
      <c r="E55" s="180"/>
      <c r="F55" s="180"/>
      <c r="G55" s="180"/>
      <c r="H55" s="180"/>
      <c r="I55" s="181" t="s">
        <v>178</v>
      </c>
      <c r="J55" s="187" t="s">
        <v>179</v>
      </c>
      <c r="K55" s="201">
        <f t="shared" si="0"/>
        <v>26990</v>
      </c>
      <c r="L55" s="179"/>
      <c r="M55" s="185"/>
      <c r="N55" s="176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</row>
    <row r="56" spans="1:67" ht="23.25" customHeight="1" x14ac:dyDescent="0.2">
      <c r="A56" s="177"/>
      <c r="B56" s="178"/>
      <c r="C56" s="179"/>
      <c r="D56" s="180"/>
      <c r="E56" s="180"/>
      <c r="F56" s="180"/>
      <c r="G56" s="180"/>
      <c r="H56" s="180"/>
      <c r="I56" s="181" t="s">
        <v>180</v>
      </c>
      <c r="J56" s="187" t="s">
        <v>181</v>
      </c>
      <c r="K56" s="201">
        <f t="shared" si="0"/>
        <v>26990</v>
      </c>
      <c r="L56" s="179"/>
      <c r="M56" s="185"/>
      <c r="N56" s="176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</row>
    <row r="57" spans="1:67" ht="23.25" customHeight="1" x14ac:dyDescent="0.2">
      <c r="A57" s="177"/>
      <c r="B57" s="178"/>
      <c r="C57" s="179"/>
      <c r="D57" s="180"/>
      <c r="E57" s="180"/>
      <c r="F57" s="180"/>
      <c r="G57" s="180"/>
      <c r="H57" s="180"/>
      <c r="I57" s="181" t="s">
        <v>182</v>
      </c>
      <c r="J57" s="187" t="s">
        <v>183</v>
      </c>
      <c r="K57" s="201">
        <f t="shared" si="0"/>
        <v>26990</v>
      </c>
      <c r="L57" s="179"/>
      <c r="M57" s="185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</row>
    <row r="58" spans="1:67" ht="23.25" customHeight="1" x14ac:dyDescent="0.2">
      <c r="A58" s="177"/>
      <c r="B58" s="178"/>
      <c r="C58" s="179"/>
      <c r="D58" s="180"/>
      <c r="E58" s="180"/>
      <c r="F58" s="180"/>
      <c r="G58" s="180"/>
      <c r="H58" s="180"/>
      <c r="I58" s="188" t="s">
        <v>184</v>
      </c>
      <c r="J58" s="182" t="s">
        <v>179</v>
      </c>
      <c r="K58" s="201">
        <f t="shared" si="0"/>
        <v>26990</v>
      </c>
      <c r="L58" s="179"/>
      <c r="M58" s="185"/>
      <c r="N58" s="176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</row>
    <row r="59" spans="1:67" ht="23.25" customHeight="1" x14ac:dyDescent="0.2">
      <c r="A59" s="177"/>
      <c r="B59" s="178"/>
      <c r="C59" s="179"/>
      <c r="D59" s="180"/>
      <c r="E59" s="180"/>
      <c r="F59" s="180"/>
      <c r="G59" s="180"/>
      <c r="H59" s="180"/>
      <c r="I59" s="171" t="s">
        <v>185</v>
      </c>
      <c r="J59" s="182" t="s">
        <v>186</v>
      </c>
      <c r="K59" s="201">
        <f t="shared" si="0"/>
        <v>26990</v>
      </c>
      <c r="L59" s="179"/>
      <c r="M59" s="185"/>
      <c r="N59" s="176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</row>
    <row r="60" spans="1:67" ht="23.25" customHeight="1" x14ac:dyDescent="0.2">
      <c r="A60" s="177"/>
      <c r="B60" s="178"/>
      <c r="C60" s="179"/>
      <c r="D60" s="180"/>
      <c r="E60" s="180"/>
      <c r="F60" s="180"/>
      <c r="G60" s="180"/>
      <c r="H60" s="180"/>
      <c r="I60" s="181" t="s">
        <v>187</v>
      </c>
      <c r="J60" s="172" t="s">
        <v>147</v>
      </c>
      <c r="K60" s="219">
        <f t="shared" si="0"/>
        <v>26990</v>
      </c>
      <c r="L60" s="185"/>
      <c r="M60" s="185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</row>
    <row r="61" spans="1:67" ht="23.25" customHeight="1" x14ac:dyDescent="0.2">
      <c r="A61" s="177"/>
      <c r="B61" s="178"/>
      <c r="C61" s="179"/>
      <c r="D61" s="180"/>
      <c r="E61" s="180"/>
      <c r="F61" s="180"/>
      <c r="G61" s="180"/>
      <c r="H61" s="180"/>
      <c r="I61" s="181" t="s">
        <v>188</v>
      </c>
      <c r="J61" s="182" t="s">
        <v>179</v>
      </c>
      <c r="K61" s="201">
        <f t="shared" si="0"/>
        <v>26990</v>
      </c>
      <c r="L61" s="179"/>
      <c r="M61" s="185"/>
      <c r="N61" s="176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</row>
    <row r="62" spans="1:67" ht="23.25" customHeight="1" x14ac:dyDescent="0.2">
      <c r="A62" s="177"/>
      <c r="B62" s="178"/>
      <c r="C62" s="179"/>
      <c r="D62" s="180"/>
      <c r="E62" s="180"/>
      <c r="F62" s="180"/>
      <c r="G62" s="180"/>
      <c r="H62" s="180"/>
      <c r="I62" s="188" t="s">
        <v>189</v>
      </c>
      <c r="J62" s="182" t="s">
        <v>190</v>
      </c>
      <c r="K62" s="201">
        <f t="shared" si="0"/>
        <v>26990</v>
      </c>
      <c r="L62" s="179"/>
      <c r="M62" s="185"/>
      <c r="N62" s="176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</row>
    <row r="63" spans="1:67" ht="23.25" customHeight="1" x14ac:dyDescent="0.2">
      <c r="A63" s="177"/>
      <c r="B63" s="178"/>
      <c r="C63" s="179"/>
      <c r="D63" s="180"/>
      <c r="E63" s="180"/>
      <c r="F63" s="180"/>
      <c r="G63" s="180"/>
      <c r="H63" s="180"/>
      <c r="I63" s="171" t="s">
        <v>191</v>
      </c>
      <c r="J63" s="172" t="s">
        <v>147</v>
      </c>
      <c r="K63" s="220">
        <f>539800*5%</f>
        <v>26990</v>
      </c>
      <c r="L63" s="185"/>
      <c r="M63" s="185"/>
      <c r="N63" s="176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</row>
    <row r="64" spans="1:67" ht="23.25" customHeight="1" x14ac:dyDescent="0.2">
      <c r="A64" s="189"/>
      <c r="B64" s="190"/>
      <c r="C64" s="191"/>
      <c r="D64" s="192"/>
      <c r="E64" s="192"/>
      <c r="F64" s="192"/>
      <c r="G64" s="192"/>
      <c r="H64" s="192"/>
      <c r="I64" s="203"/>
      <c r="J64" s="194"/>
      <c r="K64" s="195">
        <f>SUM(K52:K62)</f>
        <v>539800</v>
      </c>
      <c r="L64" s="191"/>
      <c r="M64" s="197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</row>
    <row r="65" spans="1:67" ht="23.25" customHeight="1" x14ac:dyDescent="0.2">
      <c r="A65" s="167">
        <v>11</v>
      </c>
      <c r="B65" s="168" t="s">
        <v>192</v>
      </c>
      <c r="C65" s="169"/>
      <c r="D65" s="170" t="s">
        <v>163</v>
      </c>
      <c r="E65" s="170"/>
      <c r="F65" s="170"/>
      <c r="G65" s="170"/>
      <c r="H65" s="170"/>
      <c r="I65" s="171" t="s">
        <v>193</v>
      </c>
      <c r="J65" s="172" t="s">
        <v>147</v>
      </c>
      <c r="K65" s="173">
        <f>23965*50%</f>
        <v>11982.5</v>
      </c>
      <c r="L65" s="174" t="s">
        <v>166</v>
      </c>
      <c r="M65" s="175" t="s">
        <v>194</v>
      </c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</row>
    <row r="66" spans="1:67" ht="23.25" customHeight="1" x14ac:dyDescent="0.2">
      <c r="A66" s="177"/>
      <c r="B66" s="178"/>
      <c r="C66" s="179"/>
      <c r="D66" s="180"/>
      <c r="E66" s="180"/>
      <c r="F66" s="180"/>
      <c r="G66" s="180"/>
      <c r="H66" s="180"/>
      <c r="I66" s="188" t="s">
        <v>195</v>
      </c>
      <c r="J66" s="187" t="s">
        <v>196</v>
      </c>
      <c r="K66" s="183">
        <f>23965*50%</f>
        <v>11982.5</v>
      </c>
      <c r="L66" s="184"/>
      <c r="M66" s="185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</row>
    <row r="67" spans="1:67" ht="23.25" customHeight="1" x14ac:dyDescent="0.2">
      <c r="A67" s="189"/>
      <c r="B67" s="190"/>
      <c r="C67" s="191"/>
      <c r="D67" s="192"/>
      <c r="E67" s="192"/>
      <c r="F67" s="192"/>
      <c r="G67" s="192"/>
      <c r="H67" s="192"/>
      <c r="I67" s="193"/>
      <c r="J67" s="194"/>
      <c r="K67" s="195">
        <f>SUM(K65:K66)</f>
        <v>23965</v>
      </c>
      <c r="L67" s="196"/>
      <c r="M67" s="197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</row>
    <row r="68" spans="1:67" ht="23.25" customHeight="1" x14ac:dyDescent="0.2">
      <c r="A68" s="167">
        <v>12</v>
      </c>
      <c r="B68" s="168" t="s">
        <v>197</v>
      </c>
      <c r="C68" s="169"/>
      <c r="D68" s="170" t="s">
        <v>163</v>
      </c>
      <c r="E68" s="170"/>
      <c r="F68" s="170"/>
      <c r="G68" s="170"/>
      <c r="H68" s="170"/>
      <c r="I68" s="217" t="s">
        <v>198</v>
      </c>
      <c r="J68" s="172" t="s">
        <v>110</v>
      </c>
      <c r="K68" s="173">
        <f>227415*85%</f>
        <v>193302.75</v>
      </c>
      <c r="L68" s="169" t="s">
        <v>166</v>
      </c>
      <c r="M68" s="175" t="s">
        <v>199</v>
      </c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</row>
    <row r="69" spans="1:67" ht="23.25" customHeight="1" x14ac:dyDescent="0.2">
      <c r="A69" s="177"/>
      <c r="B69" s="178"/>
      <c r="C69" s="179"/>
      <c r="D69" s="180"/>
      <c r="E69" s="180"/>
      <c r="F69" s="180"/>
      <c r="G69" s="180"/>
      <c r="H69" s="180"/>
      <c r="I69" s="171" t="s">
        <v>200</v>
      </c>
      <c r="J69" s="187" t="s">
        <v>110</v>
      </c>
      <c r="K69" s="200">
        <f>227415*5%</f>
        <v>11370.75</v>
      </c>
      <c r="L69" s="179"/>
      <c r="M69" s="185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</row>
    <row r="70" spans="1:67" ht="23.25" customHeight="1" x14ac:dyDescent="0.2">
      <c r="A70" s="177"/>
      <c r="B70" s="178"/>
      <c r="C70" s="179"/>
      <c r="D70" s="180"/>
      <c r="E70" s="180"/>
      <c r="F70" s="180"/>
      <c r="G70" s="180"/>
      <c r="H70" s="180"/>
      <c r="I70" s="188" t="s">
        <v>201</v>
      </c>
      <c r="J70" s="187" t="s">
        <v>145</v>
      </c>
      <c r="K70" s="200">
        <f>227415*5%</f>
        <v>11370.75</v>
      </c>
      <c r="L70" s="179"/>
      <c r="M70" s="185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</row>
    <row r="71" spans="1:67" ht="23.25" customHeight="1" x14ac:dyDescent="0.2">
      <c r="A71" s="177"/>
      <c r="B71" s="178"/>
      <c r="C71" s="179"/>
      <c r="D71" s="180"/>
      <c r="E71" s="180"/>
      <c r="F71" s="180"/>
      <c r="G71" s="180"/>
      <c r="H71" s="180"/>
      <c r="I71" s="171" t="s">
        <v>202</v>
      </c>
      <c r="J71" s="187" t="s">
        <v>196</v>
      </c>
      <c r="K71" s="201">
        <f>227415*5%</f>
        <v>11370.75</v>
      </c>
      <c r="L71" s="179"/>
      <c r="M71" s="185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</row>
    <row r="72" spans="1:67" ht="23.25" customHeight="1" x14ac:dyDescent="0.2">
      <c r="A72" s="189"/>
      <c r="B72" s="190"/>
      <c r="C72" s="191"/>
      <c r="D72" s="192"/>
      <c r="E72" s="192"/>
      <c r="F72" s="192"/>
      <c r="G72" s="192"/>
      <c r="H72" s="192"/>
      <c r="I72" s="203"/>
      <c r="J72" s="194"/>
      <c r="K72" s="209">
        <f>SUM(K68:K71)</f>
        <v>227415</v>
      </c>
      <c r="L72" s="191"/>
      <c r="M72" s="197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</row>
    <row r="73" spans="1:67" ht="23.25" customHeight="1" x14ac:dyDescent="0.2">
      <c r="A73" s="167">
        <v>13</v>
      </c>
      <c r="B73" s="168" t="s">
        <v>203</v>
      </c>
      <c r="C73" s="221"/>
      <c r="D73" s="222" t="s">
        <v>163</v>
      </c>
      <c r="E73" s="170"/>
      <c r="F73" s="170"/>
      <c r="G73" s="170"/>
      <c r="H73" s="170"/>
      <c r="I73" s="171" t="s">
        <v>204</v>
      </c>
      <c r="J73" s="223" t="s">
        <v>110</v>
      </c>
      <c r="K73" s="210">
        <f>227920*80%</f>
        <v>182336</v>
      </c>
      <c r="L73" s="169" t="s">
        <v>166</v>
      </c>
      <c r="M73" s="175" t="s">
        <v>205</v>
      </c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</row>
    <row r="74" spans="1:67" ht="23.25" customHeight="1" x14ac:dyDescent="0.2">
      <c r="A74" s="177"/>
      <c r="B74" s="178"/>
      <c r="C74" s="224"/>
      <c r="D74" s="225"/>
      <c r="E74" s="180"/>
      <c r="F74" s="180"/>
      <c r="G74" s="180"/>
      <c r="H74" s="180"/>
      <c r="I74" s="181" t="s">
        <v>206</v>
      </c>
      <c r="J74" s="207" t="s">
        <v>145</v>
      </c>
      <c r="K74" s="214">
        <f>227920*5%</f>
        <v>11396</v>
      </c>
      <c r="L74" s="179"/>
      <c r="M74" s="185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</row>
    <row r="75" spans="1:67" ht="23.25" customHeight="1" x14ac:dyDescent="0.2">
      <c r="A75" s="177"/>
      <c r="B75" s="178"/>
      <c r="C75" s="224"/>
      <c r="D75" s="225"/>
      <c r="E75" s="180"/>
      <c r="F75" s="180"/>
      <c r="G75" s="180"/>
      <c r="H75" s="180"/>
      <c r="I75" s="181" t="s">
        <v>207</v>
      </c>
      <c r="J75" s="172" t="s">
        <v>147</v>
      </c>
      <c r="K75" s="214">
        <f>227920*5%</f>
        <v>11396</v>
      </c>
      <c r="L75" s="179"/>
      <c r="M75" s="185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</row>
    <row r="76" spans="1:67" ht="23.25" customHeight="1" x14ac:dyDescent="0.2">
      <c r="A76" s="177"/>
      <c r="B76" s="178"/>
      <c r="C76" s="224"/>
      <c r="D76" s="225"/>
      <c r="E76" s="180"/>
      <c r="F76" s="180"/>
      <c r="G76" s="180"/>
      <c r="H76" s="180"/>
      <c r="I76" s="181" t="s">
        <v>208</v>
      </c>
      <c r="J76" s="187" t="s">
        <v>209</v>
      </c>
      <c r="K76" s="202">
        <f>227920*5%</f>
        <v>11396</v>
      </c>
      <c r="L76" s="179"/>
      <c r="M76" s="185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</row>
    <row r="77" spans="1:67" ht="23.25" customHeight="1" x14ac:dyDescent="0.2">
      <c r="A77" s="177"/>
      <c r="B77" s="178"/>
      <c r="C77" s="224"/>
      <c r="D77" s="225"/>
      <c r="E77" s="180"/>
      <c r="F77" s="180"/>
      <c r="G77" s="180"/>
      <c r="H77" s="180"/>
      <c r="I77" s="181" t="s">
        <v>210</v>
      </c>
      <c r="J77" s="226" t="s">
        <v>117</v>
      </c>
      <c r="K77" s="214">
        <f>227920*5%</f>
        <v>11396</v>
      </c>
      <c r="L77" s="179"/>
      <c r="M77" s="185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</row>
    <row r="78" spans="1:67" ht="23.25" customHeight="1" x14ac:dyDescent="0.2">
      <c r="A78" s="189"/>
      <c r="B78" s="190"/>
      <c r="C78" s="227"/>
      <c r="D78" s="228"/>
      <c r="E78" s="192"/>
      <c r="F78" s="192"/>
      <c r="G78" s="192"/>
      <c r="H78" s="192"/>
      <c r="I78" s="203"/>
      <c r="J78" s="204"/>
      <c r="K78" s="205">
        <f>SUM(K73:K77)</f>
        <v>227920</v>
      </c>
      <c r="L78" s="191"/>
      <c r="M78" s="197"/>
      <c r="N78" s="176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</row>
    <row r="79" spans="1:67" ht="23.25" customHeight="1" x14ac:dyDescent="0.2">
      <c r="A79" s="167">
        <v>14</v>
      </c>
      <c r="B79" s="168" t="s">
        <v>211</v>
      </c>
      <c r="C79" s="169"/>
      <c r="D79" s="170" t="s">
        <v>163</v>
      </c>
      <c r="E79" s="170"/>
      <c r="F79" s="170"/>
      <c r="G79" s="170"/>
      <c r="H79" s="170"/>
      <c r="I79" s="217" t="s">
        <v>212</v>
      </c>
      <c r="J79" s="172" t="s">
        <v>110</v>
      </c>
      <c r="K79" s="212">
        <f>110800*50%</f>
        <v>55400</v>
      </c>
      <c r="L79" s="174" t="s">
        <v>166</v>
      </c>
      <c r="M79" s="175" t="s">
        <v>213</v>
      </c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</row>
    <row r="80" spans="1:67" ht="23.25" customHeight="1" x14ac:dyDescent="0.2">
      <c r="A80" s="177"/>
      <c r="B80" s="178"/>
      <c r="C80" s="179"/>
      <c r="D80" s="180"/>
      <c r="E80" s="180"/>
      <c r="F80" s="180"/>
      <c r="G80" s="180"/>
      <c r="H80" s="180"/>
      <c r="I80" s="171" t="s">
        <v>214</v>
      </c>
      <c r="J80" s="187" t="s">
        <v>110</v>
      </c>
      <c r="K80" s="202">
        <f>110800*10%</f>
        <v>11080</v>
      </c>
      <c r="L80" s="184"/>
      <c r="M80" s="185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</row>
    <row r="81" spans="1:67" ht="23.25" customHeight="1" x14ac:dyDescent="0.2">
      <c r="A81" s="177"/>
      <c r="B81" s="178"/>
      <c r="C81" s="179"/>
      <c r="D81" s="180"/>
      <c r="E81" s="180"/>
      <c r="F81" s="180"/>
      <c r="G81" s="180"/>
      <c r="H81" s="180"/>
      <c r="I81" s="188" t="s">
        <v>215</v>
      </c>
      <c r="J81" s="226" t="s">
        <v>110</v>
      </c>
      <c r="K81" s="186">
        <f>110800*10%</f>
        <v>11080</v>
      </c>
      <c r="L81" s="184"/>
      <c r="M81" s="185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</row>
    <row r="82" spans="1:67" ht="23.25" customHeight="1" x14ac:dyDescent="0.2">
      <c r="A82" s="177"/>
      <c r="B82" s="178"/>
      <c r="C82" s="179"/>
      <c r="D82" s="180"/>
      <c r="E82" s="180"/>
      <c r="F82" s="180"/>
      <c r="G82" s="180"/>
      <c r="H82" s="180"/>
      <c r="I82" s="171" t="s">
        <v>216</v>
      </c>
      <c r="J82" s="226" t="s">
        <v>110</v>
      </c>
      <c r="K82" s="229">
        <f>110800*10%</f>
        <v>11080</v>
      </c>
      <c r="L82" s="184"/>
      <c r="M82" s="185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</row>
    <row r="83" spans="1:67" ht="23.25" customHeight="1" x14ac:dyDescent="0.2">
      <c r="A83" s="177"/>
      <c r="B83" s="178"/>
      <c r="C83" s="179"/>
      <c r="D83" s="180"/>
      <c r="E83" s="180"/>
      <c r="F83" s="180"/>
      <c r="G83" s="180"/>
      <c r="H83" s="180"/>
      <c r="I83" s="181" t="s">
        <v>217</v>
      </c>
      <c r="J83" s="207" t="s">
        <v>110</v>
      </c>
      <c r="K83" s="229">
        <f>110800*10%</f>
        <v>11080</v>
      </c>
      <c r="L83" s="184"/>
      <c r="M83" s="185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</row>
    <row r="84" spans="1:67" ht="23.25" customHeight="1" x14ac:dyDescent="0.2">
      <c r="A84" s="177"/>
      <c r="B84" s="178"/>
      <c r="C84" s="179"/>
      <c r="D84" s="180"/>
      <c r="E84" s="180"/>
      <c r="F84" s="180"/>
      <c r="G84" s="180"/>
      <c r="H84" s="180"/>
      <c r="I84" s="188" t="s">
        <v>218</v>
      </c>
      <c r="J84" s="172" t="s">
        <v>110</v>
      </c>
      <c r="K84" s="230">
        <f>110800*10%</f>
        <v>11080</v>
      </c>
      <c r="L84" s="184"/>
      <c r="M84" s="185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</row>
    <row r="85" spans="1:67" ht="23.25" customHeight="1" x14ac:dyDescent="0.2">
      <c r="A85" s="189"/>
      <c r="B85" s="190"/>
      <c r="C85" s="191"/>
      <c r="D85" s="192"/>
      <c r="E85" s="192"/>
      <c r="F85" s="192"/>
      <c r="G85" s="192"/>
      <c r="H85" s="192"/>
      <c r="I85" s="193"/>
      <c r="J85" s="194"/>
      <c r="K85" s="209">
        <f>SUM(K79:K84)</f>
        <v>110800</v>
      </c>
      <c r="L85" s="196"/>
      <c r="M85" s="197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</row>
    <row r="86" spans="1:67" ht="23.25" customHeight="1" x14ac:dyDescent="0.2">
      <c r="A86" s="167">
        <v>15</v>
      </c>
      <c r="B86" s="168" t="s">
        <v>219</v>
      </c>
      <c r="C86" s="169"/>
      <c r="D86" s="170" t="s">
        <v>163</v>
      </c>
      <c r="E86" s="170"/>
      <c r="F86" s="170"/>
      <c r="G86" s="170"/>
      <c r="H86" s="170" t="s">
        <v>164</v>
      </c>
      <c r="I86" s="171" t="s">
        <v>220</v>
      </c>
      <c r="J86" s="172" t="s">
        <v>110</v>
      </c>
      <c r="K86" s="173">
        <f>155000*90%</f>
        <v>139500</v>
      </c>
      <c r="L86" s="169" t="s">
        <v>166</v>
      </c>
      <c r="M86" s="175" t="s">
        <v>221</v>
      </c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</row>
    <row r="87" spans="1:67" ht="23.25" customHeight="1" x14ac:dyDescent="0.2">
      <c r="A87" s="177"/>
      <c r="B87" s="178"/>
      <c r="C87" s="179"/>
      <c r="D87" s="180"/>
      <c r="E87" s="180"/>
      <c r="F87" s="180"/>
      <c r="G87" s="180"/>
      <c r="H87" s="180"/>
      <c r="I87" s="188" t="s">
        <v>222</v>
      </c>
      <c r="J87" s="187" t="s">
        <v>223</v>
      </c>
      <c r="K87" s="200">
        <f>155000*10%</f>
        <v>15500</v>
      </c>
      <c r="L87" s="179"/>
      <c r="M87" s="185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</row>
    <row r="88" spans="1:67" ht="23.25" customHeight="1" x14ac:dyDescent="0.2">
      <c r="A88" s="189"/>
      <c r="B88" s="190"/>
      <c r="C88" s="191"/>
      <c r="D88" s="192"/>
      <c r="E88" s="192"/>
      <c r="F88" s="192"/>
      <c r="G88" s="192"/>
      <c r="H88" s="192"/>
      <c r="I88" s="193"/>
      <c r="J88" s="194"/>
      <c r="K88" s="211">
        <f>SUM(K86:K87)</f>
        <v>155000</v>
      </c>
      <c r="L88" s="191"/>
      <c r="M88" s="197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</row>
    <row r="89" spans="1:67" ht="58.5" customHeight="1" x14ac:dyDescent="0.2">
      <c r="A89" s="231">
        <v>16</v>
      </c>
      <c r="B89" s="232" t="s">
        <v>224</v>
      </c>
      <c r="C89" s="233" t="s">
        <v>224</v>
      </c>
      <c r="D89" s="234" t="s">
        <v>163</v>
      </c>
      <c r="E89" s="234"/>
      <c r="F89" s="234"/>
      <c r="G89" s="234"/>
      <c r="H89" s="235"/>
      <c r="I89" s="236" t="s">
        <v>225</v>
      </c>
      <c r="J89" s="237" t="s">
        <v>117</v>
      </c>
      <c r="K89" s="238">
        <v>155000</v>
      </c>
      <c r="L89" s="239" t="s">
        <v>166</v>
      </c>
      <c r="M89" s="240" t="s">
        <v>226</v>
      </c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</row>
    <row r="90" spans="1:67" ht="23.25" customHeight="1" x14ac:dyDescent="0.2">
      <c r="A90" s="167">
        <v>17</v>
      </c>
      <c r="B90" s="168" t="s">
        <v>227</v>
      </c>
      <c r="C90" s="169"/>
      <c r="D90" s="170" t="s">
        <v>163</v>
      </c>
      <c r="E90" s="170"/>
      <c r="F90" s="170"/>
      <c r="G90" s="170"/>
      <c r="H90" s="170" t="s">
        <v>164</v>
      </c>
      <c r="I90" s="171" t="s">
        <v>228</v>
      </c>
      <c r="J90" s="172" t="s">
        <v>110</v>
      </c>
      <c r="K90" s="173">
        <f>155000*90%</f>
        <v>139500</v>
      </c>
      <c r="L90" s="184" t="s">
        <v>166</v>
      </c>
      <c r="M90" s="185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</row>
    <row r="91" spans="1:67" ht="23.25" customHeight="1" x14ac:dyDescent="0.2">
      <c r="A91" s="177"/>
      <c r="B91" s="178"/>
      <c r="C91" s="179"/>
      <c r="D91" s="180"/>
      <c r="E91" s="180"/>
      <c r="F91" s="180"/>
      <c r="G91" s="180"/>
      <c r="H91" s="180"/>
      <c r="I91" s="241" t="s">
        <v>229</v>
      </c>
      <c r="J91" s="187" t="s">
        <v>117</v>
      </c>
      <c r="K91" s="208">
        <f>155000*10%</f>
        <v>15500</v>
      </c>
      <c r="L91" s="184"/>
      <c r="M91" s="185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</row>
    <row r="92" spans="1:67" ht="23.25" customHeight="1" x14ac:dyDescent="0.2">
      <c r="A92" s="189"/>
      <c r="B92" s="190"/>
      <c r="C92" s="191"/>
      <c r="D92" s="192"/>
      <c r="E92" s="192"/>
      <c r="F92" s="192"/>
      <c r="G92" s="192"/>
      <c r="H92" s="192"/>
      <c r="I92" s="193"/>
      <c r="J92" s="194"/>
      <c r="K92" s="209">
        <f>SUM(K90:K91)</f>
        <v>155000</v>
      </c>
      <c r="L92" s="196"/>
      <c r="M92" s="197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</row>
    <row r="93" spans="1:67" ht="23.25" customHeight="1" x14ac:dyDescent="0.2">
      <c r="A93" s="167">
        <v>18</v>
      </c>
      <c r="B93" s="168" t="s">
        <v>230</v>
      </c>
      <c r="C93" s="169"/>
      <c r="D93" s="170" t="s">
        <v>163</v>
      </c>
      <c r="E93" s="170"/>
      <c r="F93" s="170"/>
      <c r="G93" s="170"/>
      <c r="H93" s="170"/>
      <c r="I93" s="217" t="s">
        <v>231</v>
      </c>
      <c r="J93" s="172" t="s">
        <v>110</v>
      </c>
      <c r="K93" s="173">
        <f>155000*80%</f>
        <v>124000</v>
      </c>
      <c r="L93" s="174" t="s">
        <v>166</v>
      </c>
      <c r="M93" s="175" t="s">
        <v>232</v>
      </c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</row>
    <row r="94" spans="1:67" ht="23.25" customHeight="1" x14ac:dyDescent="0.2">
      <c r="A94" s="177"/>
      <c r="B94" s="178"/>
      <c r="C94" s="179"/>
      <c r="D94" s="180"/>
      <c r="E94" s="180"/>
      <c r="F94" s="180"/>
      <c r="G94" s="180"/>
      <c r="H94" s="180"/>
      <c r="I94" s="171" t="s">
        <v>233</v>
      </c>
      <c r="J94" s="187" t="s">
        <v>110</v>
      </c>
      <c r="K94" s="183">
        <f>155000*5%</f>
        <v>7750</v>
      </c>
      <c r="L94" s="184"/>
      <c r="M94" s="185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</row>
    <row r="95" spans="1:67" ht="23.25" customHeight="1" x14ac:dyDescent="0.2">
      <c r="A95" s="177"/>
      <c r="B95" s="178"/>
      <c r="C95" s="179"/>
      <c r="D95" s="180"/>
      <c r="E95" s="180"/>
      <c r="F95" s="180"/>
      <c r="G95" s="180"/>
      <c r="H95" s="180"/>
      <c r="I95" s="181" t="s">
        <v>234</v>
      </c>
      <c r="J95" s="187" t="s">
        <v>235</v>
      </c>
      <c r="K95" s="183">
        <f>155000*5%</f>
        <v>7750</v>
      </c>
      <c r="L95" s="184"/>
      <c r="M95" s="185"/>
      <c r="N95" s="176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</row>
    <row r="96" spans="1:67" ht="23.25" customHeight="1" x14ac:dyDescent="0.2">
      <c r="A96" s="177"/>
      <c r="B96" s="178"/>
      <c r="C96" s="179"/>
      <c r="D96" s="180"/>
      <c r="E96" s="180"/>
      <c r="F96" s="180"/>
      <c r="G96" s="180"/>
      <c r="H96" s="180"/>
      <c r="I96" s="188" t="s">
        <v>236</v>
      </c>
      <c r="J96" s="187" t="s">
        <v>110</v>
      </c>
      <c r="K96" s="183">
        <f>155000*5%</f>
        <v>7750</v>
      </c>
      <c r="L96" s="184"/>
      <c r="M96" s="185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</row>
    <row r="97" spans="1:67" ht="23.25" customHeight="1" x14ac:dyDescent="0.2">
      <c r="A97" s="177"/>
      <c r="B97" s="178"/>
      <c r="C97" s="179"/>
      <c r="D97" s="180"/>
      <c r="E97" s="180"/>
      <c r="F97" s="180"/>
      <c r="G97" s="180"/>
      <c r="H97" s="180"/>
      <c r="I97" s="188" t="s">
        <v>237</v>
      </c>
      <c r="J97" s="182" t="s">
        <v>117</v>
      </c>
      <c r="K97" s="183">
        <f>155000*5%</f>
        <v>7750</v>
      </c>
      <c r="L97" s="184"/>
      <c r="M97" s="185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</row>
    <row r="98" spans="1:67" ht="23.25" customHeight="1" x14ac:dyDescent="0.2">
      <c r="A98" s="189"/>
      <c r="B98" s="190"/>
      <c r="C98" s="191"/>
      <c r="D98" s="192"/>
      <c r="E98" s="192"/>
      <c r="F98" s="192"/>
      <c r="G98" s="192"/>
      <c r="H98" s="192"/>
      <c r="I98" s="193"/>
      <c r="J98" s="215"/>
      <c r="K98" s="216">
        <f>SUM(K93:K97)</f>
        <v>155000</v>
      </c>
      <c r="L98" s="196"/>
      <c r="M98" s="197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</row>
    <row r="99" spans="1:67" ht="23.25" customHeight="1" x14ac:dyDescent="0.2">
      <c r="A99" s="167">
        <v>19</v>
      </c>
      <c r="B99" s="168" t="s">
        <v>238</v>
      </c>
      <c r="C99" s="169"/>
      <c r="D99" s="170" t="s">
        <v>163</v>
      </c>
      <c r="E99" s="170"/>
      <c r="F99" s="170"/>
      <c r="G99" s="170"/>
      <c r="H99" s="170" t="s">
        <v>239</v>
      </c>
      <c r="I99" s="171" t="s">
        <v>240</v>
      </c>
      <c r="J99" s="172" t="s">
        <v>110</v>
      </c>
      <c r="K99" s="210">
        <f>155000*50%</f>
        <v>77500</v>
      </c>
      <c r="L99" s="169" t="s">
        <v>166</v>
      </c>
      <c r="M99" s="175" t="s">
        <v>241</v>
      </c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</row>
    <row r="100" spans="1:67" ht="23.25" customHeight="1" x14ac:dyDescent="0.2">
      <c r="A100" s="177"/>
      <c r="B100" s="178"/>
      <c r="C100" s="179"/>
      <c r="D100" s="180"/>
      <c r="E100" s="180"/>
      <c r="F100" s="180"/>
      <c r="G100" s="180"/>
      <c r="H100" s="180"/>
      <c r="I100" s="181" t="s">
        <v>242</v>
      </c>
      <c r="J100" s="187" t="s">
        <v>110</v>
      </c>
      <c r="K100" s="201">
        <f>155000*5%</f>
        <v>7750</v>
      </c>
      <c r="L100" s="179"/>
      <c r="M100" s="185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</row>
    <row r="101" spans="1:67" ht="23.25" customHeight="1" x14ac:dyDescent="0.2">
      <c r="A101" s="177"/>
      <c r="B101" s="178"/>
      <c r="C101" s="179"/>
      <c r="D101" s="180"/>
      <c r="E101" s="180"/>
      <c r="F101" s="180"/>
      <c r="G101" s="180"/>
      <c r="H101" s="180"/>
      <c r="I101" s="181" t="s">
        <v>243</v>
      </c>
      <c r="J101" s="187" t="s">
        <v>145</v>
      </c>
      <c r="K101" s="201">
        <f>155000*5%</f>
        <v>7750</v>
      </c>
      <c r="L101" s="179"/>
      <c r="M101" s="185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</row>
    <row r="102" spans="1:67" ht="23.25" customHeight="1" x14ac:dyDescent="0.2">
      <c r="A102" s="177"/>
      <c r="B102" s="178"/>
      <c r="C102" s="179"/>
      <c r="D102" s="180"/>
      <c r="E102" s="180"/>
      <c r="F102" s="180"/>
      <c r="G102" s="180"/>
      <c r="H102" s="180"/>
      <c r="I102" s="188" t="s">
        <v>159</v>
      </c>
      <c r="J102" s="182" t="s">
        <v>110</v>
      </c>
      <c r="K102" s="201">
        <f>155000*5%</f>
        <v>7750</v>
      </c>
      <c r="L102" s="179"/>
      <c r="M102" s="185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</row>
    <row r="103" spans="1:67" ht="23.25" customHeight="1" x14ac:dyDescent="0.2">
      <c r="A103" s="177"/>
      <c r="B103" s="178"/>
      <c r="C103" s="179"/>
      <c r="D103" s="180"/>
      <c r="E103" s="180"/>
      <c r="F103" s="180"/>
      <c r="G103" s="180"/>
      <c r="H103" s="180"/>
      <c r="I103" s="188" t="s">
        <v>244</v>
      </c>
      <c r="J103" s="187" t="s">
        <v>110</v>
      </c>
      <c r="K103" s="201">
        <f>155000*5%</f>
        <v>7750</v>
      </c>
      <c r="L103" s="179"/>
      <c r="M103" s="197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</row>
    <row r="104" spans="1:67" ht="23.25" customHeight="1" x14ac:dyDescent="0.2">
      <c r="A104" s="177"/>
      <c r="B104" s="178"/>
      <c r="C104" s="179"/>
      <c r="D104" s="180"/>
      <c r="E104" s="180"/>
      <c r="F104" s="180"/>
      <c r="G104" s="180"/>
      <c r="H104" s="180"/>
      <c r="I104" s="188" t="s">
        <v>245</v>
      </c>
      <c r="J104" s="187" t="s">
        <v>246</v>
      </c>
      <c r="K104" s="242">
        <f>155000*15%</f>
        <v>23250</v>
      </c>
      <c r="L104" s="179"/>
      <c r="M104" s="185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</row>
    <row r="105" spans="1:67" ht="23.25" customHeight="1" x14ac:dyDescent="0.2">
      <c r="A105" s="177"/>
      <c r="B105" s="178"/>
      <c r="C105" s="179"/>
      <c r="D105" s="180"/>
      <c r="E105" s="180"/>
      <c r="F105" s="180"/>
      <c r="G105" s="180"/>
      <c r="H105" s="180"/>
      <c r="I105" s="171" t="s">
        <v>247</v>
      </c>
      <c r="J105" s="182" t="s">
        <v>246</v>
      </c>
      <c r="K105" s="202">
        <f>155000*5%</f>
        <v>7750</v>
      </c>
      <c r="L105" s="179"/>
      <c r="M105" s="185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</row>
    <row r="106" spans="1:67" ht="23.25" customHeight="1" x14ac:dyDescent="0.2">
      <c r="A106" s="177"/>
      <c r="B106" s="178"/>
      <c r="C106" s="179"/>
      <c r="D106" s="180"/>
      <c r="E106" s="180"/>
      <c r="F106" s="180"/>
      <c r="G106" s="180"/>
      <c r="H106" s="180"/>
      <c r="I106" s="188" t="s">
        <v>248</v>
      </c>
      <c r="J106" s="172" t="s">
        <v>110</v>
      </c>
      <c r="K106" s="229">
        <f>155000*2%</f>
        <v>3100</v>
      </c>
      <c r="L106" s="179"/>
      <c r="M106" s="185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</row>
    <row r="107" spans="1:67" ht="23.25" customHeight="1" x14ac:dyDescent="0.2">
      <c r="A107" s="177"/>
      <c r="B107" s="178"/>
      <c r="C107" s="179"/>
      <c r="D107" s="180"/>
      <c r="E107" s="180"/>
      <c r="F107" s="180"/>
      <c r="G107" s="180"/>
      <c r="H107" s="180"/>
      <c r="I107" s="171" t="s">
        <v>249</v>
      </c>
      <c r="J107" s="187" t="s">
        <v>110</v>
      </c>
      <c r="K107" s="229">
        <f>155000*2%</f>
        <v>3100</v>
      </c>
      <c r="L107" s="179"/>
      <c r="M107" s="197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</row>
    <row r="108" spans="1:67" ht="23.25" customHeight="1" x14ac:dyDescent="0.2">
      <c r="A108" s="177"/>
      <c r="B108" s="178"/>
      <c r="C108" s="179"/>
      <c r="D108" s="180"/>
      <c r="E108" s="180"/>
      <c r="F108" s="180"/>
      <c r="G108" s="180"/>
      <c r="H108" s="180"/>
      <c r="I108" s="181" t="s">
        <v>250</v>
      </c>
      <c r="J108" s="187" t="s">
        <v>126</v>
      </c>
      <c r="K108" s="229">
        <f>155000*2%</f>
        <v>3100</v>
      </c>
      <c r="L108" s="179"/>
      <c r="M108" s="185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</row>
    <row r="109" spans="1:67" ht="23.25" customHeight="1" x14ac:dyDescent="0.2">
      <c r="A109" s="177"/>
      <c r="B109" s="178"/>
      <c r="C109" s="179"/>
      <c r="D109" s="180"/>
      <c r="E109" s="180"/>
      <c r="F109" s="180"/>
      <c r="G109" s="180"/>
      <c r="H109" s="180"/>
      <c r="I109" s="181" t="s">
        <v>251</v>
      </c>
      <c r="J109" s="182" t="s">
        <v>252</v>
      </c>
      <c r="K109" s="229">
        <f>155000*2%</f>
        <v>3100</v>
      </c>
      <c r="L109" s="179"/>
      <c r="M109" s="185"/>
      <c r="N109" s="176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</row>
    <row r="110" spans="1:67" ht="23.25" customHeight="1" x14ac:dyDescent="0.2">
      <c r="A110" s="177"/>
      <c r="B110" s="178"/>
      <c r="C110" s="179"/>
      <c r="D110" s="180"/>
      <c r="E110" s="180"/>
      <c r="F110" s="180"/>
      <c r="G110" s="180"/>
      <c r="H110" s="180"/>
      <c r="I110" s="188" t="s">
        <v>253</v>
      </c>
      <c r="J110" s="182" t="s">
        <v>117</v>
      </c>
      <c r="K110" s="229">
        <f>155000*2%</f>
        <v>3100</v>
      </c>
      <c r="L110" s="179"/>
      <c r="M110" s="197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</row>
    <row r="111" spans="1:67" ht="23.25" customHeight="1" x14ac:dyDescent="0.2">
      <c r="A111" s="189"/>
      <c r="B111" s="190"/>
      <c r="C111" s="191"/>
      <c r="D111" s="192"/>
      <c r="E111" s="192"/>
      <c r="F111" s="192"/>
      <c r="G111" s="192"/>
      <c r="H111" s="192"/>
      <c r="I111" s="193"/>
      <c r="J111" s="215"/>
      <c r="K111" s="205">
        <f>SUM(K99:K110)</f>
        <v>155000</v>
      </c>
      <c r="L111" s="191"/>
      <c r="M111" s="197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</row>
    <row r="112" spans="1:67" ht="23.25" customHeight="1" x14ac:dyDescent="0.2">
      <c r="A112" s="167">
        <v>20</v>
      </c>
      <c r="B112" s="168" t="s">
        <v>254</v>
      </c>
      <c r="C112" s="169"/>
      <c r="D112" s="243" t="s">
        <v>107</v>
      </c>
      <c r="E112" s="180"/>
      <c r="F112" s="180"/>
      <c r="G112" s="180"/>
      <c r="H112" s="180"/>
      <c r="I112" s="171" t="s">
        <v>255</v>
      </c>
      <c r="J112" s="172" t="s">
        <v>110</v>
      </c>
      <c r="K112" s="173">
        <f>5000*90%</f>
        <v>4500</v>
      </c>
      <c r="L112" s="169" t="s">
        <v>111</v>
      </c>
      <c r="M112" s="185" t="s">
        <v>256</v>
      </c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</row>
    <row r="113" spans="1:67" ht="23.25" customHeight="1" x14ac:dyDescent="0.2">
      <c r="A113" s="177"/>
      <c r="B113" s="178"/>
      <c r="C113" s="179"/>
      <c r="D113" s="243"/>
      <c r="E113" s="180"/>
      <c r="F113" s="180"/>
      <c r="G113" s="180"/>
      <c r="H113" s="180"/>
      <c r="I113" s="188" t="s">
        <v>257</v>
      </c>
      <c r="J113" s="182" t="s">
        <v>117</v>
      </c>
      <c r="K113" s="200">
        <f>5000*10%</f>
        <v>500</v>
      </c>
      <c r="L113" s="179"/>
      <c r="M113" s="185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</row>
    <row r="114" spans="1:67" ht="23.25" customHeight="1" x14ac:dyDescent="0.2">
      <c r="A114" s="189"/>
      <c r="B114" s="190"/>
      <c r="C114" s="191"/>
      <c r="D114" s="244"/>
      <c r="E114" s="192"/>
      <c r="F114" s="192"/>
      <c r="G114" s="192"/>
      <c r="H114" s="192"/>
      <c r="I114" s="203"/>
      <c r="J114" s="215"/>
      <c r="K114" s="245">
        <f>SUM(K112:K113)</f>
        <v>5000</v>
      </c>
      <c r="L114" s="191"/>
      <c r="M114" s="197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</row>
    <row r="115" spans="1:67" ht="23.25" customHeight="1" x14ac:dyDescent="0.2">
      <c r="A115" s="167">
        <v>21</v>
      </c>
      <c r="B115" s="168" t="s">
        <v>258</v>
      </c>
      <c r="C115" s="169"/>
      <c r="D115" s="243" t="s">
        <v>107</v>
      </c>
      <c r="E115" s="180"/>
      <c r="F115" s="180"/>
      <c r="G115" s="180"/>
      <c r="H115" s="246"/>
      <c r="I115" s="217" t="s">
        <v>259</v>
      </c>
      <c r="J115" s="247" t="s">
        <v>110</v>
      </c>
      <c r="K115" s="202">
        <f>10000*35%</f>
        <v>3500</v>
      </c>
      <c r="L115" s="169" t="s">
        <v>111</v>
      </c>
      <c r="M115" s="175" t="s">
        <v>260</v>
      </c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</row>
    <row r="116" spans="1:67" ht="23.25" customHeight="1" x14ac:dyDescent="0.2">
      <c r="A116" s="177"/>
      <c r="B116" s="178"/>
      <c r="C116" s="179"/>
      <c r="D116" s="243"/>
      <c r="E116" s="180"/>
      <c r="F116" s="180"/>
      <c r="G116" s="180"/>
      <c r="H116" s="248"/>
      <c r="I116" s="171" t="s">
        <v>261</v>
      </c>
      <c r="J116" s="172" t="s">
        <v>117</v>
      </c>
      <c r="K116" s="199">
        <f>10000*25%</f>
        <v>2500</v>
      </c>
      <c r="L116" s="179"/>
      <c r="M116" s="185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</row>
    <row r="117" spans="1:67" ht="23.25" customHeight="1" x14ac:dyDescent="0.2">
      <c r="A117" s="177"/>
      <c r="B117" s="178"/>
      <c r="C117" s="179"/>
      <c r="D117" s="243"/>
      <c r="E117" s="180"/>
      <c r="F117" s="180"/>
      <c r="G117" s="180"/>
      <c r="H117" s="248"/>
      <c r="I117" s="188" t="s">
        <v>262</v>
      </c>
      <c r="J117" s="182" t="s">
        <v>117</v>
      </c>
      <c r="K117" s="201">
        <f t="shared" ref="K117:K124" si="1">10000*5%</f>
        <v>500</v>
      </c>
      <c r="L117" s="179"/>
      <c r="M117" s="185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</row>
    <row r="118" spans="1:67" ht="23.25" customHeight="1" x14ac:dyDescent="0.2">
      <c r="A118" s="177"/>
      <c r="B118" s="178"/>
      <c r="C118" s="179"/>
      <c r="D118" s="243"/>
      <c r="E118" s="180"/>
      <c r="F118" s="180"/>
      <c r="G118" s="180"/>
      <c r="H118" s="248"/>
      <c r="I118" s="171" t="s">
        <v>263</v>
      </c>
      <c r="J118" s="182" t="s">
        <v>117</v>
      </c>
      <c r="K118" s="202">
        <f t="shared" si="1"/>
        <v>500</v>
      </c>
      <c r="L118" s="179"/>
      <c r="M118" s="185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</row>
    <row r="119" spans="1:67" ht="23.25" customHeight="1" x14ac:dyDescent="0.2">
      <c r="A119" s="177"/>
      <c r="B119" s="178"/>
      <c r="C119" s="179"/>
      <c r="D119" s="243"/>
      <c r="E119" s="180"/>
      <c r="F119" s="180"/>
      <c r="G119" s="180"/>
      <c r="H119" s="248"/>
      <c r="I119" s="181" t="s">
        <v>264</v>
      </c>
      <c r="J119" s="172" t="s">
        <v>117</v>
      </c>
      <c r="K119" s="214">
        <f t="shared" si="1"/>
        <v>500</v>
      </c>
      <c r="L119" s="179"/>
      <c r="M119" s="185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</row>
    <row r="120" spans="1:67" ht="23.25" customHeight="1" x14ac:dyDescent="0.2">
      <c r="A120" s="177"/>
      <c r="B120" s="178"/>
      <c r="C120" s="179"/>
      <c r="D120" s="243"/>
      <c r="E120" s="180"/>
      <c r="F120" s="180"/>
      <c r="G120" s="180"/>
      <c r="H120" s="248"/>
      <c r="I120" s="188" t="s">
        <v>152</v>
      </c>
      <c r="J120" s="187" t="s">
        <v>117</v>
      </c>
      <c r="K120" s="201">
        <f t="shared" si="1"/>
        <v>500</v>
      </c>
      <c r="L120" s="179"/>
      <c r="M120" s="185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</row>
    <row r="121" spans="1:67" ht="23.25" customHeight="1" x14ac:dyDescent="0.2">
      <c r="A121" s="177"/>
      <c r="B121" s="178"/>
      <c r="C121" s="179"/>
      <c r="D121" s="243"/>
      <c r="E121" s="180"/>
      <c r="F121" s="180"/>
      <c r="G121" s="180"/>
      <c r="H121" s="248"/>
      <c r="I121" s="188" t="s">
        <v>265</v>
      </c>
      <c r="J121" s="182" t="s">
        <v>117</v>
      </c>
      <c r="K121" s="201">
        <f t="shared" si="1"/>
        <v>500</v>
      </c>
      <c r="L121" s="179"/>
      <c r="M121" s="185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</row>
    <row r="122" spans="1:67" ht="23.25" customHeight="1" x14ac:dyDescent="0.2">
      <c r="A122" s="177"/>
      <c r="B122" s="178"/>
      <c r="C122" s="179"/>
      <c r="D122" s="243"/>
      <c r="E122" s="180"/>
      <c r="F122" s="180"/>
      <c r="G122" s="180"/>
      <c r="H122" s="248"/>
      <c r="I122" s="171" t="s">
        <v>266</v>
      </c>
      <c r="J122" s="182" t="s">
        <v>117</v>
      </c>
      <c r="K122" s="202">
        <f t="shared" si="1"/>
        <v>500</v>
      </c>
      <c r="L122" s="179"/>
      <c r="M122" s="185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</row>
    <row r="123" spans="1:67" ht="23.25" customHeight="1" x14ac:dyDescent="0.2">
      <c r="A123" s="177"/>
      <c r="B123" s="178"/>
      <c r="C123" s="179"/>
      <c r="D123" s="243"/>
      <c r="E123" s="180"/>
      <c r="F123" s="180"/>
      <c r="G123" s="180"/>
      <c r="H123" s="248"/>
      <c r="I123" s="181" t="s">
        <v>267</v>
      </c>
      <c r="J123" s="182" t="s">
        <v>117</v>
      </c>
      <c r="K123" s="200">
        <f t="shared" si="1"/>
        <v>500</v>
      </c>
      <c r="L123" s="179"/>
      <c r="M123" s="185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</row>
    <row r="124" spans="1:67" ht="23.25" customHeight="1" x14ac:dyDescent="0.2">
      <c r="A124" s="177"/>
      <c r="B124" s="178"/>
      <c r="C124" s="179"/>
      <c r="D124" s="243"/>
      <c r="E124" s="180"/>
      <c r="F124" s="180"/>
      <c r="G124" s="180"/>
      <c r="H124" s="248"/>
      <c r="I124" s="181" t="s">
        <v>268</v>
      </c>
      <c r="J124" s="172" t="s">
        <v>117</v>
      </c>
      <c r="K124" s="199">
        <f t="shared" si="1"/>
        <v>500</v>
      </c>
      <c r="L124" s="179"/>
      <c r="M124" s="185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</row>
    <row r="125" spans="1:67" ht="23.25" customHeight="1" x14ac:dyDescent="0.2">
      <c r="A125" s="189"/>
      <c r="B125" s="190"/>
      <c r="C125" s="191"/>
      <c r="D125" s="244"/>
      <c r="E125" s="192"/>
      <c r="F125" s="192"/>
      <c r="G125" s="192"/>
      <c r="H125" s="249"/>
      <c r="I125" s="203"/>
      <c r="J125" s="194"/>
      <c r="K125" s="211">
        <f>SUM(K115:K124)</f>
        <v>10000</v>
      </c>
      <c r="L125" s="191"/>
      <c r="M125" s="197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</row>
    <row r="126" spans="1:67" ht="23.25" customHeight="1" x14ac:dyDescent="0.2">
      <c r="A126" s="167">
        <v>22</v>
      </c>
      <c r="B126" s="168" t="s">
        <v>269</v>
      </c>
      <c r="C126" s="169"/>
      <c r="D126" s="250" t="s">
        <v>107</v>
      </c>
      <c r="E126" s="170"/>
      <c r="F126" s="170"/>
      <c r="G126" s="170"/>
      <c r="H126" s="246"/>
      <c r="I126" s="251" t="s">
        <v>270</v>
      </c>
      <c r="J126" s="198" t="s">
        <v>271</v>
      </c>
      <c r="K126" s="173">
        <f>3000*70%</f>
        <v>2100</v>
      </c>
      <c r="L126" s="169" t="s">
        <v>111</v>
      </c>
      <c r="M126" s="175" t="s">
        <v>272</v>
      </c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</row>
    <row r="127" spans="1:67" ht="23.25" customHeight="1" x14ac:dyDescent="0.2">
      <c r="A127" s="177"/>
      <c r="B127" s="178"/>
      <c r="C127" s="179"/>
      <c r="D127" s="243"/>
      <c r="E127" s="180"/>
      <c r="F127" s="180"/>
      <c r="G127" s="180"/>
      <c r="H127" s="248"/>
      <c r="I127" s="181" t="s">
        <v>273</v>
      </c>
      <c r="J127" s="172" t="s">
        <v>274</v>
      </c>
      <c r="K127" s="199">
        <f>3000*10%</f>
        <v>300</v>
      </c>
      <c r="L127" s="179"/>
      <c r="M127" s="185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</row>
    <row r="128" spans="1:67" ht="23.25" customHeight="1" x14ac:dyDescent="0.2">
      <c r="A128" s="177"/>
      <c r="B128" s="178"/>
      <c r="C128" s="179"/>
      <c r="D128" s="243"/>
      <c r="E128" s="180"/>
      <c r="F128" s="180"/>
      <c r="G128" s="180"/>
      <c r="H128" s="248"/>
      <c r="I128" s="188" t="s">
        <v>275</v>
      </c>
      <c r="J128" s="187" t="s">
        <v>117</v>
      </c>
      <c r="K128" s="201">
        <f>3000*10%</f>
        <v>300</v>
      </c>
      <c r="L128" s="179"/>
      <c r="M128" s="185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</row>
    <row r="129" spans="1:67" ht="23.25" customHeight="1" x14ac:dyDescent="0.2">
      <c r="A129" s="177"/>
      <c r="B129" s="178"/>
      <c r="C129" s="179"/>
      <c r="D129" s="243"/>
      <c r="E129" s="180"/>
      <c r="F129" s="180"/>
      <c r="G129" s="180"/>
      <c r="H129" s="248"/>
      <c r="I129" s="171" t="s">
        <v>276</v>
      </c>
      <c r="J129" s="187" t="s">
        <v>117</v>
      </c>
      <c r="K129" s="201">
        <f>3000*10%</f>
        <v>300</v>
      </c>
      <c r="L129" s="179"/>
      <c r="M129" s="185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</row>
    <row r="130" spans="1:67" ht="23.25" customHeight="1" x14ac:dyDescent="0.2">
      <c r="A130" s="189"/>
      <c r="B130" s="190"/>
      <c r="C130" s="191"/>
      <c r="D130" s="244"/>
      <c r="E130" s="192"/>
      <c r="F130" s="192"/>
      <c r="G130" s="192"/>
      <c r="H130" s="249"/>
      <c r="I130" s="203"/>
      <c r="J130" s="194"/>
      <c r="K130" s="209"/>
      <c r="L130" s="191"/>
      <c r="M130" s="197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</row>
    <row r="131" spans="1:67" ht="23.25" customHeight="1" x14ac:dyDescent="0.2">
      <c r="A131" s="252">
        <v>23</v>
      </c>
      <c r="B131" s="253" t="s">
        <v>277</v>
      </c>
      <c r="C131" s="254" t="s">
        <v>277</v>
      </c>
      <c r="D131" s="255" t="s">
        <v>107</v>
      </c>
      <c r="E131" s="256"/>
      <c r="F131" s="256"/>
      <c r="G131" s="256"/>
      <c r="H131" s="257"/>
      <c r="I131" s="193" t="s">
        <v>278</v>
      </c>
      <c r="J131" s="215" t="s">
        <v>117</v>
      </c>
      <c r="K131" s="258">
        <v>11000</v>
      </c>
      <c r="L131" s="259" t="s">
        <v>111</v>
      </c>
      <c r="M131" s="215" t="s">
        <v>279</v>
      </c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</row>
    <row r="132" spans="1:67" ht="23.25" customHeight="1" x14ac:dyDescent="0.2">
      <c r="A132" s="167">
        <v>24</v>
      </c>
      <c r="B132" s="168" t="s">
        <v>280</v>
      </c>
      <c r="C132" s="169"/>
      <c r="D132" s="250" t="s">
        <v>107</v>
      </c>
      <c r="E132" s="170"/>
      <c r="F132" s="170"/>
      <c r="G132" s="170"/>
      <c r="H132" s="170"/>
      <c r="I132" s="171" t="s">
        <v>281</v>
      </c>
      <c r="J132" s="172" t="s">
        <v>117</v>
      </c>
      <c r="K132" s="173">
        <f>11000*35%</f>
        <v>3849.9999999999995</v>
      </c>
      <c r="L132" s="174" t="s">
        <v>111</v>
      </c>
      <c r="M132" s="175" t="s">
        <v>282</v>
      </c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</row>
    <row r="133" spans="1:67" ht="23.25" customHeight="1" x14ac:dyDescent="0.2">
      <c r="A133" s="177"/>
      <c r="B133" s="178"/>
      <c r="C133" s="179"/>
      <c r="D133" s="243"/>
      <c r="E133" s="180"/>
      <c r="F133" s="180"/>
      <c r="G133" s="180"/>
      <c r="H133" s="180"/>
      <c r="I133" s="188" t="s">
        <v>283</v>
      </c>
      <c r="J133" s="187" t="s">
        <v>117</v>
      </c>
      <c r="K133" s="183">
        <f>11000*20%</f>
        <v>2200</v>
      </c>
      <c r="L133" s="184"/>
      <c r="M133" s="185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</row>
    <row r="134" spans="1:67" ht="23.25" customHeight="1" x14ac:dyDescent="0.2">
      <c r="A134" s="177"/>
      <c r="B134" s="178"/>
      <c r="C134" s="179"/>
      <c r="D134" s="243"/>
      <c r="E134" s="180"/>
      <c r="F134" s="180"/>
      <c r="G134" s="180"/>
      <c r="H134" s="180"/>
      <c r="I134" s="171" t="s">
        <v>284</v>
      </c>
      <c r="J134" s="207" t="s">
        <v>117</v>
      </c>
      <c r="K134" s="186">
        <f>11000*15%</f>
        <v>1650</v>
      </c>
      <c r="L134" s="184"/>
      <c r="M134" s="185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</row>
    <row r="135" spans="1:67" ht="23.25" customHeight="1" x14ac:dyDescent="0.2">
      <c r="A135" s="177"/>
      <c r="B135" s="178"/>
      <c r="C135" s="179"/>
      <c r="D135" s="243"/>
      <c r="E135" s="180"/>
      <c r="F135" s="180"/>
      <c r="G135" s="180"/>
      <c r="H135" s="180"/>
      <c r="I135" s="181" t="s">
        <v>285</v>
      </c>
      <c r="J135" s="172" t="s">
        <v>117</v>
      </c>
      <c r="K135" s="229">
        <f>11000*15%</f>
        <v>1650</v>
      </c>
      <c r="L135" s="184"/>
      <c r="M135" s="185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</row>
    <row r="136" spans="1:67" ht="23.25" customHeight="1" x14ac:dyDescent="0.2">
      <c r="A136" s="177"/>
      <c r="B136" s="178"/>
      <c r="C136" s="179"/>
      <c r="D136" s="243"/>
      <c r="E136" s="180"/>
      <c r="F136" s="180"/>
      <c r="G136" s="180"/>
      <c r="H136" s="180"/>
      <c r="I136" s="181" t="s">
        <v>286</v>
      </c>
      <c r="J136" s="187" t="s">
        <v>117</v>
      </c>
      <c r="K136" s="202">
        <f>11000*15%</f>
        <v>1650</v>
      </c>
      <c r="L136" s="184"/>
      <c r="M136" s="185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</row>
    <row r="137" spans="1:67" ht="23.25" customHeight="1" x14ac:dyDescent="0.2">
      <c r="A137" s="189"/>
      <c r="B137" s="190"/>
      <c r="C137" s="191"/>
      <c r="D137" s="244"/>
      <c r="E137" s="192"/>
      <c r="F137" s="192"/>
      <c r="G137" s="192"/>
      <c r="H137" s="192"/>
      <c r="I137" s="203"/>
      <c r="J137" s="204"/>
      <c r="K137" s="216">
        <f>SUM(K132:K136)</f>
        <v>11000</v>
      </c>
      <c r="L137" s="196"/>
      <c r="M137" s="197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</row>
    <row r="138" spans="1:67" ht="23.25" customHeight="1" x14ac:dyDescent="0.2">
      <c r="A138" s="167">
        <v>25</v>
      </c>
      <c r="B138" s="168" t="s">
        <v>287</v>
      </c>
      <c r="C138" s="169"/>
      <c r="D138" s="250" t="s">
        <v>107</v>
      </c>
      <c r="E138" s="170"/>
      <c r="F138" s="170"/>
      <c r="G138" s="170"/>
      <c r="H138" s="170"/>
      <c r="I138" s="171" t="s">
        <v>288</v>
      </c>
      <c r="J138" s="172" t="s">
        <v>145</v>
      </c>
      <c r="K138" s="173">
        <f>10000*70%</f>
        <v>7000</v>
      </c>
      <c r="L138" s="174" t="s">
        <v>111</v>
      </c>
      <c r="M138" s="175" t="s">
        <v>289</v>
      </c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</row>
    <row r="139" spans="1:67" ht="23.25" customHeight="1" x14ac:dyDescent="0.2">
      <c r="A139" s="177"/>
      <c r="B139" s="178"/>
      <c r="C139" s="179"/>
      <c r="D139" s="243"/>
      <c r="E139" s="180"/>
      <c r="F139" s="180"/>
      <c r="G139" s="180"/>
      <c r="H139" s="180"/>
      <c r="I139" s="188" t="s">
        <v>290</v>
      </c>
      <c r="J139" s="182" t="s">
        <v>147</v>
      </c>
      <c r="K139" s="208">
        <f>10000*15%</f>
        <v>1500</v>
      </c>
      <c r="L139" s="184"/>
      <c r="M139" s="185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</row>
    <row r="140" spans="1:67" ht="23.25" customHeight="1" x14ac:dyDescent="0.2">
      <c r="A140" s="177"/>
      <c r="B140" s="178"/>
      <c r="C140" s="179"/>
      <c r="D140" s="243"/>
      <c r="E140" s="180"/>
      <c r="F140" s="180"/>
      <c r="G140" s="180"/>
      <c r="H140" s="180"/>
      <c r="I140" s="188" t="s">
        <v>291</v>
      </c>
      <c r="J140" s="172" t="s">
        <v>117</v>
      </c>
      <c r="K140" s="229">
        <f>10000*15%</f>
        <v>1500</v>
      </c>
      <c r="L140" s="184"/>
      <c r="M140" s="185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</row>
    <row r="141" spans="1:67" ht="23.25" customHeight="1" x14ac:dyDescent="0.2">
      <c r="A141" s="189"/>
      <c r="B141" s="190"/>
      <c r="C141" s="191"/>
      <c r="D141" s="244"/>
      <c r="E141" s="192"/>
      <c r="F141" s="192"/>
      <c r="G141" s="192"/>
      <c r="H141" s="192"/>
      <c r="I141" s="193"/>
      <c r="J141" s="194"/>
      <c r="K141" s="209">
        <f>SUM(K138:K140)</f>
        <v>10000</v>
      </c>
      <c r="L141" s="196"/>
      <c r="M141" s="197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</row>
    <row r="142" spans="1:67" ht="23.25" customHeight="1" x14ac:dyDescent="0.2">
      <c r="A142" s="167">
        <v>26</v>
      </c>
      <c r="B142" s="168" t="s">
        <v>292</v>
      </c>
      <c r="C142" s="169"/>
      <c r="D142" s="250" t="s">
        <v>107</v>
      </c>
      <c r="E142" s="170"/>
      <c r="F142" s="170"/>
      <c r="G142" s="170"/>
      <c r="H142" s="170"/>
      <c r="I142" s="217" t="s">
        <v>293</v>
      </c>
      <c r="J142" s="172" t="s">
        <v>110</v>
      </c>
      <c r="K142" s="173">
        <f>8000*80%</f>
        <v>6400</v>
      </c>
      <c r="L142" s="174" t="s">
        <v>111</v>
      </c>
      <c r="M142" s="175" t="s">
        <v>294</v>
      </c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</row>
    <row r="143" spans="1:67" ht="23.25" customHeight="1" x14ac:dyDescent="0.2">
      <c r="A143" s="177"/>
      <c r="B143" s="178"/>
      <c r="C143" s="179"/>
      <c r="D143" s="243"/>
      <c r="E143" s="180"/>
      <c r="F143" s="180"/>
      <c r="G143" s="180"/>
      <c r="H143" s="180"/>
      <c r="I143" s="171" t="s">
        <v>295</v>
      </c>
      <c r="J143" s="226" t="s">
        <v>117</v>
      </c>
      <c r="K143" s="229">
        <f>8000*5%</f>
        <v>400</v>
      </c>
      <c r="L143" s="184"/>
      <c r="M143" s="185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</row>
    <row r="144" spans="1:67" ht="23.25" customHeight="1" x14ac:dyDescent="0.2">
      <c r="A144" s="177"/>
      <c r="B144" s="178"/>
      <c r="C144" s="179"/>
      <c r="D144" s="243"/>
      <c r="E144" s="180"/>
      <c r="F144" s="180"/>
      <c r="G144" s="180"/>
      <c r="H144" s="180"/>
      <c r="I144" s="188" t="s">
        <v>161</v>
      </c>
      <c r="J144" s="226" t="s">
        <v>117</v>
      </c>
      <c r="K144" s="186">
        <f>8000*5%</f>
        <v>400</v>
      </c>
      <c r="L144" s="184"/>
      <c r="M144" s="185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</row>
    <row r="145" spans="1:67" ht="23.25" customHeight="1" x14ac:dyDescent="0.2">
      <c r="A145" s="177"/>
      <c r="B145" s="178"/>
      <c r="C145" s="179"/>
      <c r="D145" s="243"/>
      <c r="E145" s="180"/>
      <c r="F145" s="180"/>
      <c r="G145" s="180"/>
      <c r="H145" s="180"/>
      <c r="I145" s="171" t="s">
        <v>296</v>
      </c>
      <c r="J145" s="226" t="s">
        <v>117</v>
      </c>
      <c r="K145" s="229">
        <f>8000*5%</f>
        <v>400</v>
      </c>
      <c r="L145" s="184"/>
      <c r="M145" s="185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</row>
    <row r="146" spans="1:67" ht="23.25" customHeight="1" x14ac:dyDescent="0.2">
      <c r="A146" s="177"/>
      <c r="B146" s="178"/>
      <c r="C146" s="179"/>
      <c r="D146" s="243"/>
      <c r="E146" s="180"/>
      <c r="F146" s="180"/>
      <c r="G146" s="180"/>
      <c r="H146" s="180"/>
      <c r="I146" s="188" t="s">
        <v>297</v>
      </c>
      <c r="J146" s="182" t="s">
        <v>117</v>
      </c>
      <c r="K146" s="202">
        <f>8000*5%</f>
        <v>400</v>
      </c>
      <c r="L146" s="184"/>
      <c r="M146" s="185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</row>
    <row r="147" spans="1:67" ht="23.25" customHeight="1" x14ac:dyDescent="0.2">
      <c r="A147" s="189"/>
      <c r="B147" s="190"/>
      <c r="C147" s="191"/>
      <c r="D147" s="244"/>
      <c r="E147" s="192"/>
      <c r="F147" s="192"/>
      <c r="G147" s="192"/>
      <c r="H147" s="192"/>
      <c r="I147" s="193"/>
      <c r="J147" s="215"/>
      <c r="K147" s="216">
        <f>SUM(K142:K146)</f>
        <v>8000</v>
      </c>
      <c r="L147" s="196"/>
      <c r="M147" s="197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</row>
    <row r="148" spans="1:67" ht="23.25" customHeight="1" x14ac:dyDescent="0.2">
      <c r="A148" s="167">
        <v>27</v>
      </c>
      <c r="B148" s="168" t="s">
        <v>298</v>
      </c>
      <c r="C148" s="169"/>
      <c r="D148" s="250" t="s">
        <v>107</v>
      </c>
      <c r="E148" s="170"/>
      <c r="F148" s="170"/>
      <c r="G148" s="170"/>
      <c r="H148" s="170"/>
      <c r="I148" s="171" t="s">
        <v>299</v>
      </c>
      <c r="J148" s="172" t="s">
        <v>110</v>
      </c>
      <c r="K148" s="173">
        <f>8000*70%</f>
        <v>5600</v>
      </c>
      <c r="L148" s="169" t="s">
        <v>111</v>
      </c>
      <c r="M148" s="175" t="s">
        <v>300</v>
      </c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</row>
    <row r="149" spans="1:67" ht="23.25" customHeight="1" x14ac:dyDescent="0.2">
      <c r="A149" s="177"/>
      <c r="B149" s="178"/>
      <c r="C149" s="179"/>
      <c r="D149" s="243"/>
      <c r="E149" s="180"/>
      <c r="F149" s="180"/>
      <c r="G149" s="180"/>
      <c r="H149" s="180"/>
      <c r="I149" s="188" t="s">
        <v>301</v>
      </c>
      <c r="J149" s="187" t="s">
        <v>117</v>
      </c>
      <c r="K149" s="201">
        <f>8000*20%</f>
        <v>1600</v>
      </c>
      <c r="L149" s="179"/>
      <c r="M149" s="185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</row>
    <row r="150" spans="1:67" ht="23.25" customHeight="1" x14ac:dyDescent="0.2">
      <c r="A150" s="177"/>
      <c r="B150" s="178"/>
      <c r="C150" s="179"/>
      <c r="D150" s="243"/>
      <c r="E150" s="180"/>
      <c r="F150" s="180"/>
      <c r="G150" s="180"/>
      <c r="H150" s="180"/>
      <c r="I150" s="171" t="s">
        <v>302</v>
      </c>
      <c r="J150" s="187" t="s">
        <v>303</v>
      </c>
      <c r="K150" s="201">
        <f>8000*5%</f>
        <v>400</v>
      </c>
      <c r="L150" s="179"/>
      <c r="M150" s="185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</row>
    <row r="151" spans="1:67" ht="23.25" customHeight="1" x14ac:dyDescent="0.2">
      <c r="A151" s="177"/>
      <c r="B151" s="178"/>
      <c r="C151" s="179"/>
      <c r="D151" s="243"/>
      <c r="E151" s="180"/>
      <c r="F151" s="180"/>
      <c r="G151" s="180"/>
      <c r="H151" s="180"/>
      <c r="I151" s="181" t="s">
        <v>304</v>
      </c>
      <c r="J151" s="182" t="s">
        <v>117</v>
      </c>
      <c r="K151" s="201">
        <f>8000*5%</f>
        <v>400</v>
      </c>
      <c r="L151" s="179"/>
      <c r="M151" s="185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</row>
    <row r="152" spans="1:67" ht="23.25" customHeight="1" x14ac:dyDescent="0.2">
      <c r="A152" s="189"/>
      <c r="B152" s="190"/>
      <c r="C152" s="191"/>
      <c r="D152" s="244"/>
      <c r="E152" s="192"/>
      <c r="F152" s="192"/>
      <c r="G152" s="192"/>
      <c r="H152" s="192"/>
      <c r="I152" s="203"/>
      <c r="J152" s="215"/>
      <c r="K152" s="209">
        <f>SUM(K148:K151)</f>
        <v>8000</v>
      </c>
      <c r="L152" s="191"/>
      <c r="M152" s="197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</row>
    <row r="153" spans="1:67" ht="48" customHeight="1" x14ac:dyDescent="0.2">
      <c r="A153" s="167">
        <v>28</v>
      </c>
      <c r="B153" s="168" t="s">
        <v>305</v>
      </c>
      <c r="C153" s="169"/>
      <c r="D153" s="255" t="s">
        <v>107</v>
      </c>
      <c r="E153" s="256"/>
      <c r="F153" s="170"/>
      <c r="G153" s="170"/>
      <c r="H153" s="170"/>
      <c r="I153" s="217" t="s">
        <v>306</v>
      </c>
      <c r="J153" s="172" t="s">
        <v>117</v>
      </c>
      <c r="K153" s="212">
        <f>8000*60%</f>
        <v>4800</v>
      </c>
      <c r="L153" s="174" t="s">
        <v>111</v>
      </c>
      <c r="M153" s="175" t="s">
        <v>307</v>
      </c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</row>
    <row r="154" spans="1:67" ht="47.25" customHeight="1" x14ac:dyDescent="0.2">
      <c r="A154" s="177"/>
      <c r="B154" s="178"/>
      <c r="C154" s="179"/>
      <c r="D154" s="260"/>
      <c r="E154" s="261"/>
      <c r="F154" s="180"/>
      <c r="G154" s="180"/>
      <c r="H154" s="180"/>
      <c r="I154" s="188" t="s">
        <v>308</v>
      </c>
      <c r="J154" s="187" t="s">
        <v>117</v>
      </c>
      <c r="K154" s="208">
        <f>8000*20%</f>
        <v>1600</v>
      </c>
      <c r="L154" s="184"/>
      <c r="M154" s="185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</row>
    <row r="155" spans="1:67" ht="45.75" customHeight="1" x14ac:dyDescent="0.2">
      <c r="A155" s="177"/>
      <c r="B155" s="178"/>
      <c r="C155" s="179"/>
      <c r="D155" s="260"/>
      <c r="E155" s="261"/>
      <c r="F155" s="180"/>
      <c r="G155" s="180"/>
      <c r="H155" s="180"/>
      <c r="I155" s="171" t="s">
        <v>309</v>
      </c>
      <c r="J155" s="187" t="s">
        <v>117</v>
      </c>
      <c r="K155" s="202">
        <f>8000*20%</f>
        <v>1600</v>
      </c>
      <c r="L155" s="184"/>
      <c r="M155" s="185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</row>
    <row r="156" spans="1:67" ht="60" customHeight="1" x14ac:dyDescent="0.2">
      <c r="A156" s="189"/>
      <c r="B156" s="190"/>
      <c r="C156" s="191"/>
      <c r="D156" s="260"/>
      <c r="E156" s="261"/>
      <c r="F156" s="192"/>
      <c r="G156" s="192"/>
      <c r="H156" s="192"/>
      <c r="I156" s="203"/>
      <c r="J156" s="194"/>
      <c r="K156" s="195">
        <f>SUM(K153:K155)</f>
        <v>8000</v>
      </c>
      <c r="L156" s="196"/>
      <c r="M156" s="197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</row>
    <row r="157" spans="1:67" ht="23.25" customHeight="1" x14ac:dyDescent="0.2">
      <c r="A157" s="167">
        <v>29</v>
      </c>
      <c r="B157" s="168" t="s">
        <v>310</v>
      </c>
      <c r="C157" s="169"/>
      <c r="D157" s="250" t="s">
        <v>107</v>
      </c>
      <c r="E157" s="170"/>
      <c r="F157" s="170"/>
      <c r="G157" s="170"/>
      <c r="H157" s="170"/>
      <c r="I157" s="217" t="s">
        <v>311</v>
      </c>
      <c r="J157" s="172" t="s">
        <v>110</v>
      </c>
      <c r="K157" s="173">
        <f>8000*70%</f>
        <v>5600</v>
      </c>
      <c r="L157" s="174" t="s">
        <v>111</v>
      </c>
      <c r="M157" s="175" t="s">
        <v>312</v>
      </c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</row>
    <row r="158" spans="1:67" ht="23.25" customHeight="1" x14ac:dyDescent="0.2">
      <c r="A158" s="177"/>
      <c r="B158" s="178"/>
      <c r="C158" s="179"/>
      <c r="D158" s="243"/>
      <c r="E158" s="180"/>
      <c r="F158" s="180"/>
      <c r="G158" s="180"/>
      <c r="H158" s="180"/>
      <c r="I158" s="188" t="s">
        <v>313</v>
      </c>
      <c r="J158" s="187" t="s">
        <v>117</v>
      </c>
      <c r="K158" s="183">
        <f>8000*10%</f>
        <v>800</v>
      </c>
      <c r="L158" s="184"/>
      <c r="M158" s="185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</row>
    <row r="159" spans="1:67" ht="23.25" customHeight="1" x14ac:dyDescent="0.2">
      <c r="A159" s="177"/>
      <c r="B159" s="178"/>
      <c r="C159" s="179"/>
      <c r="D159" s="243"/>
      <c r="E159" s="180"/>
      <c r="F159" s="180"/>
      <c r="G159" s="180"/>
      <c r="H159" s="180"/>
      <c r="I159" s="188" t="s">
        <v>314</v>
      </c>
      <c r="J159" s="182" t="s">
        <v>117</v>
      </c>
      <c r="K159" s="183">
        <f>8000*10%</f>
        <v>800</v>
      </c>
      <c r="L159" s="184"/>
      <c r="M159" s="185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</row>
    <row r="160" spans="1:67" ht="23.25" customHeight="1" x14ac:dyDescent="0.2">
      <c r="A160" s="177"/>
      <c r="B160" s="178"/>
      <c r="C160" s="179"/>
      <c r="D160" s="243"/>
      <c r="E160" s="180"/>
      <c r="F160" s="180"/>
      <c r="G160" s="180"/>
      <c r="H160" s="180"/>
      <c r="I160" s="188" t="s">
        <v>315</v>
      </c>
      <c r="J160" s="172" t="s">
        <v>117</v>
      </c>
      <c r="K160" s="229">
        <f>8000*10%</f>
        <v>800</v>
      </c>
      <c r="L160" s="184"/>
      <c r="M160" s="185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</row>
    <row r="161" spans="1:67" ht="23.25" customHeight="1" x14ac:dyDescent="0.2">
      <c r="A161" s="189"/>
      <c r="B161" s="190"/>
      <c r="C161" s="191"/>
      <c r="D161" s="244"/>
      <c r="E161" s="192"/>
      <c r="F161" s="192"/>
      <c r="G161" s="192"/>
      <c r="H161" s="192"/>
      <c r="I161" s="193"/>
      <c r="J161" s="194"/>
      <c r="K161" s="209">
        <f>SUM(K157:K160)</f>
        <v>8000</v>
      </c>
      <c r="L161" s="196"/>
      <c r="M161" s="197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</row>
    <row r="162" spans="1:67" ht="23.25" customHeight="1" x14ac:dyDescent="0.2">
      <c r="A162" s="167">
        <v>30</v>
      </c>
      <c r="B162" s="168" t="s">
        <v>316</v>
      </c>
      <c r="C162" s="169"/>
      <c r="D162" s="250" t="s">
        <v>107</v>
      </c>
      <c r="E162" s="170"/>
      <c r="F162" s="170"/>
      <c r="G162" s="170"/>
      <c r="H162" s="170"/>
      <c r="I162" s="171" t="s">
        <v>317</v>
      </c>
      <c r="J162" s="172" t="s">
        <v>110</v>
      </c>
      <c r="K162" s="212">
        <f>10000*50%</f>
        <v>5000</v>
      </c>
      <c r="L162" s="174" t="s">
        <v>111</v>
      </c>
      <c r="M162" s="175" t="s">
        <v>318</v>
      </c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</row>
    <row r="163" spans="1:67" ht="23.25" customHeight="1" x14ac:dyDescent="0.2">
      <c r="A163" s="177"/>
      <c r="B163" s="178"/>
      <c r="C163" s="179"/>
      <c r="D163" s="243"/>
      <c r="E163" s="180"/>
      <c r="F163" s="180"/>
      <c r="G163" s="180"/>
      <c r="H163" s="180"/>
      <c r="I163" s="188" t="s">
        <v>319</v>
      </c>
      <c r="J163" s="187" t="s">
        <v>117</v>
      </c>
      <c r="K163" s="202">
        <f>10000*40%</f>
        <v>4000</v>
      </c>
      <c r="L163" s="184"/>
      <c r="M163" s="185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</row>
    <row r="164" spans="1:67" ht="23.25" customHeight="1" x14ac:dyDescent="0.2">
      <c r="A164" s="177"/>
      <c r="B164" s="178"/>
      <c r="C164" s="179"/>
      <c r="D164" s="243"/>
      <c r="E164" s="180"/>
      <c r="F164" s="180"/>
      <c r="G164" s="180"/>
      <c r="H164" s="180"/>
      <c r="I164" s="188" t="s">
        <v>320</v>
      </c>
      <c r="J164" s="182" t="s">
        <v>223</v>
      </c>
      <c r="K164" s="183">
        <f>10000*5%</f>
        <v>500</v>
      </c>
      <c r="L164" s="184"/>
      <c r="M164" s="185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</row>
    <row r="165" spans="1:67" ht="23.25" customHeight="1" x14ac:dyDescent="0.2">
      <c r="A165" s="177"/>
      <c r="B165" s="178"/>
      <c r="C165" s="179"/>
      <c r="D165" s="243"/>
      <c r="E165" s="180"/>
      <c r="F165" s="180"/>
      <c r="G165" s="180"/>
      <c r="H165" s="180"/>
      <c r="I165" s="171" t="s">
        <v>321</v>
      </c>
      <c r="J165" s="226" t="s">
        <v>117</v>
      </c>
      <c r="K165" s="262">
        <f>10000*5%</f>
        <v>500</v>
      </c>
      <c r="L165" s="184"/>
      <c r="M165" s="185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</row>
    <row r="166" spans="1:67" ht="23.25" customHeight="1" x14ac:dyDescent="0.2">
      <c r="A166" s="189"/>
      <c r="B166" s="190"/>
      <c r="C166" s="191"/>
      <c r="D166" s="244"/>
      <c r="E166" s="192"/>
      <c r="F166" s="192"/>
      <c r="G166" s="192"/>
      <c r="H166" s="192"/>
      <c r="I166" s="193"/>
      <c r="J166" s="215"/>
      <c r="K166" s="216">
        <f>SUM(K162:K165)</f>
        <v>10000</v>
      </c>
      <c r="L166" s="196"/>
      <c r="M166" s="197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</row>
    <row r="167" spans="1:67" ht="23.25" customHeight="1" x14ac:dyDescent="0.2">
      <c r="A167" s="167">
        <v>31</v>
      </c>
      <c r="B167" s="168" t="s">
        <v>322</v>
      </c>
      <c r="C167" s="169"/>
      <c r="D167" s="250" t="s">
        <v>25</v>
      </c>
      <c r="E167" s="170"/>
      <c r="F167" s="170"/>
      <c r="G167" s="170"/>
      <c r="H167" s="170"/>
      <c r="I167" s="217" t="s">
        <v>323</v>
      </c>
      <c r="J167" s="172" t="s">
        <v>110</v>
      </c>
      <c r="K167" s="212">
        <f>155000*60%</f>
        <v>93000</v>
      </c>
      <c r="L167" s="174" t="s">
        <v>324</v>
      </c>
      <c r="M167" s="175" t="s">
        <v>325</v>
      </c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</row>
    <row r="168" spans="1:67" ht="23.25" customHeight="1" x14ac:dyDescent="0.2">
      <c r="A168" s="177"/>
      <c r="B168" s="178"/>
      <c r="C168" s="179"/>
      <c r="D168" s="243"/>
      <c r="E168" s="180"/>
      <c r="F168" s="180"/>
      <c r="G168" s="180"/>
      <c r="H168" s="180"/>
      <c r="I168" s="188" t="s">
        <v>326</v>
      </c>
      <c r="J168" s="182" t="s">
        <v>117</v>
      </c>
      <c r="K168" s="202">
        <f>155000*10%</f>
        <v>15500</v>
      </c>
      <c r="L168" s="184"/>
      <c r="M168" s="185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</row>
    <row r="169" spans="1:67" ht="23.25" customHeight="1" x14ac:dyDescent="0.2">
      <c r="A169" s="177"/>
      <c r="B169" s="178"/>
      <c r="C169" s="179"/>
      <c r="D169" s="243"/>
      <c r="E169" s="180"/>
      <c r="F169" s="180"/>
      <c r="G169" s="180"/>
      <c r="H169" s="180"/>
      <c r="I169" s="188" t="s">
        <v>327</v>
      </c>
      <c r="J169" s="182" t="s">
        <v>117</v>
      </c>
      <c r="K169" s="208">
        <f t="shared" ref="K169:K171" si="2">155000*10%</f>
        <v>15500</v>
      </c>
      <c r="L169" s="184"/>
      <c r="M169" s="185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</row>
    <row r="170" spans="1:67" ht="23.25" customHeight="1" x14ac:dyDescent="0.2">
      <c r="A170" s="177"/>
      <c r="B170" s="178"/>
      <c r="C170" s="179"/>
      <c r="D170" s="243"/>
      <c r="E170" s="180"/>
      <c r="F170" s="180"/>
      <c r="G170" s="180"/>
      <c r="H170" s="180"/>
      <c r="I170" s="171" t="s">
        <v>328</v>
      </c>
      <c r="J170" s="172" t="s">
        <v>117</v>
      </c>
      <c r="K170" s="202">
        <f t="shared" si="2"/>
        <v>15500</v>
      </c>
      <c r="L170" s="184"/>
      <c r="M170" s="185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</row>
    <row r="171" spans="1:67" ht="23.25" customHeight="1" x14ac:dyDescent="0.2">
      <c r="A171" s="177"/>
      <c r="B171" s="178"/>
      <c r="C171" s="179"/>
      <c r="D171" s="243"/>
      <c r="E171" s="180"/>
      <c r="F171" s="180"/>
      <c r="G171" s="180"/>
      <c r="H171" s="180"/>
      <c r="I171" s="188" t="s">
        <v>329</v>
      </c>
      <c r="J171" s="187" t="s">
        <v>117</v>
      </c>
      <c r="K171" s="183">
        <f t="shared" si="2"/>
        <v>15500</v>
      </c>
      <c r="L171" s="184"/>
      <c r="M171" s="185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  <c r="BJ171" s="138"/>
      <c r="BK171" s="138"/>
      <c r="BL171" s="138"/>
      <c r="BM171" s="138"/>
      <c r="BN171" s="138"/>
      <c r="BO171" s="138"/>
    </row>
    <row r="172" spans="1:67" ht="23.25" customHeight="1" x14ac:dyDescent="0.2">
      <c r="A172" s="189"/>
      <c r="B172" s="190"/>
      <c r="C172" s="191"/>
      <c r="D172" s="244"/>
      <c r="E172" s="192"/>
      <c r="F172" s="192"/>
      <c r="G172" s="192"/>
      <c r="H172" s="192"/>
      <c r="I172" s="193"/>
      <c r="J172" s="194"/>
      <c r="K172" s="195">
        <f>SUM(K167:K171)</f>
        <v>155000</v>
      </c>
      <c r="L172" s="196"/>
      <c r="M172" s="197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  <c r="BJ172" s="138"/>
      <c r="BK172" s="138"/>
      <c r="BL172" s="138"/>
      <c r="BM172" s="138"/>
      <c r="BN172" s="138"/>
      <c r="BO172" s="138"/>
    </row>
    <row r="173" spans="1:67" s="267" customFormat="1" ht="23.25" customHeight="1" x14ac:dyDescent="0.2">
      <c r="A173" s="167">
        <v>32</v>
      </c>
      <c r="B173" s="263" t="s">
        <v>330</v>
      </c>
      <c r="C173" s="264"/>
      <c r="D173" s="170" t="s">
        <v>107</v>
      </c>
      <c r="E173" s="170"/>
      <c r="F173" s="170"/>
      <c r="G173" s="170"/>
      <c r="H173" s="170" t="s">
        <v>164</v>
      </c>
      <c r="I173" s="217" t="s">
        <v>331</v>
      </c>
      <c r="J173" s="265" t="s">
        <v>117</v>
      </c>
      <c r="K173" s="266">
        <f>63000*60%</f>
        <v>37800</v>
      </c>
      <c r="L173" s="175" t="s">
        <v>111</v>
      </c>
      <c r="M173" s="175" t="s">
        <v>332</v>
      </c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</row>
    <row r="174" spans="1:67" s="267" customFormat="1" ht="23.25" customHeight="1" x14ac:dyDescent="0.2">
      <c r="A174" s="177"/>
      <c r="B174" s="268"/>
      <c r="C174" s="269"/>
      <c r="D174" s="180"/>
      <c r="E174" s="180"/>
      <c r="F174" s="180"/>
      <c r="G174" s="180"/>
      <c r="H174" s="180"/>
      <c r="I174" s="188" t="s">
        <v>333</v>
      </c>
      <c r="J174" s="270" t="s">
        <v>117</v>
      </c>
      <c r="K174" s="214">
        <f>63000*40%</f>
        <v>25200</v>
      </c>
      <c r="L174" s="185"/>
      <c r="M174" s="185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</row>
    <row r="175" spans="1:67" s="267" customFormat="1" ht="23.25" customHeight="1" x14ac:dyDescent="0.2">
      <c r="A175" s="189"/>
      <c r="B175" s="271"/>
      <c r="C175" s="272"/>
      <c r="D175" s="192"/>
      <c r="E175" s="192"/>
      <c r="F175" s="192"/>
      <c r="G175" s="192"/>
      <c r="H175" s="192"/>
      <c r="I175" s="203"/>
      <c r="J175" s="273"/>
      <c r="K175" s="245">
        <f>SUM(K173:K174)</f>
        <v>63000</v>
      </c>
      <c r="L175" s="197"/>
      <c r="M175" s="197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</row>
    <row r="176" spans="1:67" s="267" customFormat="1" ht="23.25" customHeight="1" x14ac:dyDescent="0.2">
      <c r="A176" s="167">
        <v>33</v>
      </c>
      <c r="B176" s="263" t="s">
        <v>334</v>
      </c>
      <c r="C176" s="264"/>
      <c r="D176" s="170" t="s">
        <v>107</v>
      </c>
      <c r="E176" s="170"/>
      <c r="F176" s="170"/>
      <c r="G176" s="170"/>
      <c r="H176" s="170"/>
      <c r="I176" s="274" t="s">
        <v>335</v>
      </c>
      <c r="J176" s="275" t="s">
        <v>117</v>
      </c>
      <c r="K176" s="276">
        <f>8000*80%</f>
        <v>6400</v>
      </c>
      <c r="L176" s="175" t="s">
        <v>111</v>
      </c>
      <c r="M176" s="175" t="s">
        <v>336</v>
      </c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</row>
    <row r="177" spans="1:67" s="267" customFormat="1" ht="23.25" customHeight="1" x14ac:dyDescent="0.2">
      <c r="A177" s="177"/>
      <c r="B177" s="268"/>
      <c r="C177" s="269"/>
      <c r="D177" s="180"/>
      <c r="E177" s="180"/>
      <c r="F177" s="180"/>
      <c r="G177" s="180"/>
      <c r="H177" s="180"/>
      <c r="I177" s="188" t="s">
        <v>337</v>
      </c>
      <c r="J177" s="270" t="s">
        <v>117</v>
      </c>
      <c r="K177" s="214">
        <f>8000*5%</f>
        <v>400</v>
      </c>
      <c r="L177" s="185"/>
      <c r="M177" s="185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</row>
    <row r="178" spans="1:67" s="267" customFormat="1" ht="23.25" customHeight="1" x14ac:dyDescent="0.2">
      <c r="A178" s="177"/>
      <c r="B178" s="268"/>
      <c r="C178" s="269"/>
      <c r="D178" s="180"/>
      <c r="E178" s="180"/>
      <c r="F178" s="180"/>
      <c r="G178" s="180"/>
      <c r="H178" s="180"/>
      <c r="I178" s="188" t="s">
        <v>338</v>
      </c>
      <c r="J178" s="270" t="s">
        <v>117</v>
      </c>
      <c r="K178" s="214">
        <f t="shared" ref="K178:K180" si="3">8000*5%</f>
        <v>400</v>
      </c>
      <c r="L178" s="185"/>
      <c r="M178" s="185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</row>
    <row r="179" spans="1:67" s="267" customFormat="1" ht="23.25" customHeight="1" x14ac:dyDescent="0.2">
      <c r="A179" s="177"/>
      <c r="B179" s="268"/>
      <c r="C179" s="269"/>
      <c r="D179" s="180"/>
      <c r="E179" s="180"/>
      <c r="F179" s="180"/>
      <c r="G179" s="180"/>
      <c r="H179" s="180"/>
      <c r="I179" s="188" t="s">
        <v>339</v>
      </c>
      <c r="J179" s="270" t="s">
        <v>117</v>
      </c>
      <c r="K179" s="214">
        <f t="shared" si="3"/>
        <v>400</v>
      </c>
      <c r="L179" s="185"/>
      <c r="M179" s="185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</row>
    <row r="180" spans="1:67" s="267" customFormat="1" ht="23.25" customHeight="1" x14ac:dyDescent="0.2">
      <c r="A180" s="177"/>
      <c r="B180" s="268"/>
      <c r="C180" s="269"/>
      <c r="D180" s="180"/>
      <c r="E180" s="180"/>
      <c r="F180" s="180"/>
      <c r="G180" s="180"/>
      <c r="H180" s="180"/>
      <c r="I180" s="188" t="s">
        <v>340</v>
      </c>
      <c r="J180" s="270" t="s">
        <v>117</v>
      </c>
      <c r="K180" s="214">
        <f t="shared" si="3"/>
        <v>400</v>
      </c>
      <c r="L180" s="185"/>
      <c r="M180" s="185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8"/>
    </row>
    <row r="181" spans="1:67" s="267" customFormat="1" ht="23.25" customHeight="1" x14ac:dyDescent="0.2">
      <c r="A181" s="189"/>
      <c r="B181" s="271"/>
      <c r="C181" s="272"/>
      <c r="D181" s="192"/>
      <c r="E181" s="192"/>
      <c r="F181" s="192"/>
      <c r="G181" s="192"/>
      <c r="H181" s="192"/>
      <c r="I181" s="181"/>
      <c r="J181" s="277"/>
      <c r="K181" s="245">
        <f>SUM(K176:K180)</f>
        <v>8000</v>
      </c>
      <c r="L181" s="197"/>
      <c r="M181" s="197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</row>
    <row r="182" spans="1:67" s="283" customFormat="1" ht="68.25" customHeight="1" x14ac:dyDescent="0.2">
      <c r="A182" s="252">
        <v>34</v>
      </c>
      <c r="B182" s="278" t="s">
        <v>341</v>
      </c>
      <c r="C182" s="279"/>
      <c r="D182" s="256" t="s">
        <v>25</v>
      </c>
      <c r="E182" s="256"/>
      <c r="F182" s="256"/>
      <c r="G182" s="256" t="s">
        <v>342</v>
      </c>
      <c r="H182" s="257"/>
      <c r="I182" s="280" t="s">
        <v>343</v>
      </c>
      <c r="J182" s="281" t="s">
        <v>117</v>
      </c>
      <c r="K182" s="282">
        <v>10000</v>
      </c>
      <c r="L182" s="172" t="s">
        <v>342</v>
      </c>
      <c r="M182" s="215" t="s">
        <v>344</v>
      </c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</row>
    <row r="183" spans="1:67" s="283" customFormat="1" ht="28.5" customHeight="1" x14ac:dyDescent="0.2">
      <c r="A183" s="167">
        <v>35</v>
      </c>
      <c r="B183" s="284" t="s">
        <v>345</v>
      </c>
      <c r="C183" s="285"/>
      <c r="D183" s="170" t="s">
        <v>25</v>
      </c>
      <c r="E183" s="170"/>
      <c r="F183" s="170"/>
      <c r="G183" s="170" t="s">
        <v>346</v>
      </c>
      <c r="H183" s="170"/>
      <c r="I183" s="217" t="s">
        <v>347</v>
      </c>
      <c r="J183" s="172" t="s">
        <v>117</v>
      </c>
      <c r="K183" s="266">
        <f>350000*50%</f>
        <v>175000</v>
      </c>
      <c r="L183" s="175" t="s">
        <v>346</v>
      </c>
      <c r="M183" s="175" t="s">
        <v>348</v>
      </c>
      <c r="N183" s="138"/>
      <c r="O183" s="176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</row>
    <row r="184" spans="1:67" s="283" customFormat="1" ht="37.5" customHeight="1" x14ac:dyDescent="0.2">
      <c r="A184" s="177"/>
      <c r="B184" s="286"/>
      <c r="C184" s="287"/>
      <c r="D184" s="180"/>
      <c r="E184" s="180"/>
      <c r="F184" s="180"/>
      <c r="G184" s="180"/>
      <c r="H184" s="180"/>
      <c r="I184" s="171" t="s">
        <v>349</v>
      </c>
      <c r="J184" s="207" t="s">
        <v>117</v>
      </c>
      <c r="K184" s="214">
        <f>350000*25%</f>
        <v>87500</v>
      </c>
      <c r="L184" s="185"/>
      <c r="M184" s="185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</row>
    <row r="185" spans="1:67" s="283" customFormat="1" ht="37.5" customHeight="1" x14ac:dyDescent="0.2">
      <c r="A185" s="177"/>
      <c r="B185" s="286"/>
      <c r="C185" s="287"/>
      <c r="D185" s="180"/>
      <c r="E185" s="180"/>
      <c r="F185" s="180"/>
      <c r="G185" s="180"/>
      <c r="H185" s="180"/>
      <c r="I185" s="188" t="s">
        <v>350</v>
      </c>
      <c r="J185" s="172" t="s">
        <v>117</v>
      </c>
      <c r="K185" s="214">
        <f>350000*25%</f>
        <v>87500</v>
      </c>
      <c r="L185" s="185"/>
      <c r="M185" s="185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</row>
    <row r="186" spans="1:67" s="283" customFormat="1" ht="33.75" customHeight="1" x14ac:dyDescent="0.2">
      <c r="A186" s="189"/>
      <c r="B186" s="288"/>
      <c r="C186" s="289"/>
      <c r="D186" s="192"/>
      <c r="E186" s="192"/>
      <c r="F186" s="192"/>
      <c r="G186" s="192"/>
      <c r="H186" s="192"/>
      <c r="I186" s="193"/>
      <c r="J186" s="204"/>
      <c r="K186" s="290">
        <f>SUM(K183:K185)</f>
        <v>350000</v>
      </c>
      <c r="L186" s="197"/>
      <c r="M186" s="197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</row>
    <row r="187" spans="1:67" ht="53.25" customHeight="1" x14ac:dyDescent="0.2">
      <c r="A187" s="231">
        <v>36</v>
      </c>
      <c r="B187" s="253" t="s">
        <v>351</v>
      </c>
      <c r="C187" s="254" t="s">
        <v>351</v>
      </c>
      <c r="D187" s="256" t="s">
        <v>107</v>
      </c>
      <c r="E187" s="256"/>
      <c r="F187" s="256"/>
      <c r="G187" s="256"/>
      <c r="H187" s="257"/>
      <c r="I187" s="193" t="s">
        <v>352</v>
      </c>
      <c r="J187" s="215" t="s">
        <v>353</v>
      </c>
      <c r="K187" s="209">
        <v>4900</v>
      </c>
      <c r="L187" s="259" t="s">
        <v>111</v>
      </c>
      <c r="M187" s="215" t="s">
        <v>354</v>
      </c>
      <c r="N187" s="176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</row>
    <row r="188" spans="1:67" ht="49.5" customHeight="1" x14ac:dyDescent="0.2">
      <c r="A188" s="231">
        <v>37</v>
      </c>
      <c r="B188" s="253" t="s">
        <v>355</v>
      </c>
      <c r="C188" s="254" t="s">
        <v>355</v>
      </c>
      <c r="D188" s="256" t="s">
        <v>107</v>
      </c>
      <c r="E188" s="256"/>
      <c r="F188" s="256"/>
      <c r="G188" s="256"/>
      <c r="H188" s="257"/>
      <c r="I188" s="193" t="s">
        <v>356</v>
      </c>
      <c r="J188" s="215" t="s">
        <v>353</v>
      </c>
      <c r="K188" s="258">
        <v>10000</v>
      </c>
      <c r="L188" s="259" t="s">
        <v>111</v>
      </c>
      <c r="M188" s="215" t="s">
        <v>357</v>
      </c>
      <c r="N188" s="176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</row>
    <row r="189" spans="1:67" ht="23.25" customHeight="1" x14ac:dyDescent="0.2">
      <c r="A189" s="167">
        <v>38</v>
      </c>
      <c r="B189" s="168" t="s">
        <v>358</v>
      </c>
      <c r="C189" s="169"/>
      <c r="D189" s="170" t="s">
        <v>107</v>
      </c>
      <c r="E189" s="170"/>
      <c r="F189" s="170"/>
      <c r="G189" s="170"/>
      <c r="H189" s="170" t="s">
        <v>164</v>
      </c>
      <c r="I189" s="217" t="s">
        <v>359</v>
      </c>
      <c r="J189" s="172" t="s">
        <v>360</v>
      </c>
      <c r="K189" s="173">
        <f>4700*80%</f>
        <v>3760</v>
      </c>
      <c r="L189" s="174" t="s">
        <v>111</v>
      </c>
      <c r="M189" s="175" t="s">
        <v>361</v>
      </c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</row>
    <row r="190" spans="1:67" ht="23.25" customHeight="1" x14ac:dyDescent="0.2">
      <c r="A190" s="177"/>
      <c r="B190" s="178"/>
      <c r="C190" s="179"/>
      <c r="D190" s="180"/>
      <c r="E190" s="180"/>
      <c r="F190" s="180"/>
      <c r="G190" s="180"/>
      <c r="H190" s="180"/>
      <c r="I190" s="188" t="s">
        <v>362</v>
      </c>
      <c r="J190" s="187" t="s">
        <v>353</v>
      </c>
      <c r="K190" s="183">
        <f>4700*20%</f>
        <v>940</v>
      </c>
      <c r="L190" s="184"/>
      <c r="M190" s="185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</row>
    <row r="191" spans="1:67" ht="23.25" customHeight="1" x14ac:dyDescent="0.2">
      <c r="A191" s="189"/>
      <c r="B191" s="190"/>
      <c r="C191" s="191"/>
      <c r="D191" s="192"/>
      <c r="E191" s="192"/>
      <c r="F191" s="192"/>
      <c r="G191" s="192"/>
      <c r="H191" s="192"/>
      <c r="I191" s="193"/>
      <c r="J191" s="194"/>
      <c r="K191" s="195">
        <f>SUM(K189:K190)</f>
        <v>4700</v>
      </c>
      <c r="L191" s="196"/>
      <c r="M191" s="197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</row>
    <row r="192" spans="1:67" ht="23.25" customHeight="1" x14ac:dyDescent="0.2">
      <c r="A192" s="167">
        <v>39</v>
      </c>
      <c r="B192" s="168" t="s">
        <v>363</v>
      </c>
      <c r="C192" s="169"/>
      <c r="D192" s="170" t="s">
        <v>107</v>
      </c>
      <c r="E192" s="170"/>
      <c r="F192" s="170"/>
      <c r="G192" s="170"/>
      <c r="H192" s="170" t="s">
        <v>164</v>
      </c>
      <c r="I192" s="217" t="s">
        <v>364</v>
      </c>
      <c r="J192" s="172" t="s">
        <v>360</v>
      </c>
      <c r="K192" s="173">
        <f>4700*80%</f>
        <v>3760</v>
      </c>
      <c r="L192" s="169" t="s">
        <v>111</v>
      </c>
      <c r="M192" s="175" t="s">
        <v>365</v>
      </c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</row>
    <row r="193" spans="1:67" ht="23.25" customHeight="1" x14ac:dyDescent="0.2">
      <c r="A193" s="177"/>
      <c r="B193" s="178"/>
      <c r="C193" s="179"/>
      <c r="D193" s="180"/>
      <c r="E193" s="180"/>
      <c r="F193" s="180"/>
      <c r="G193" s="180"/>
      <c r="H193" s="180"/>
      <c r="I193" s="171" t="s">
        <v>366</v>
      </c>
      <c r="J193" s="187" t="s">
        <v>117</v>
      </c>
      <c r="K193" s="200">
        <f>4700*20%</f>
        <v>940</v>
      </c>
      <c r="L193" s="179"/>
      <c r="M193" s="185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</row>
    <row r="194" spans="1:67" ht="23.25" customHeight="1" x14ac:dyDescent="0.2">
      <c r="A194" s="189"/>
      <c r="B194" s="190"/>
      <c r="C194" s="191"/>
      <c r="D194" s="192"/>
      <c r="E194" s="192"/>
      <c r="F194" s="192"/>
      <c r="G194" s="192"/>
      <c r="H194" s="192"/>
      <c r="I194" s="203"/>
      <c r="J194" s="194"/>
      <c r="K194" s="211">
        <f>K192+K193</f>
        <v>4700</v>
      </c>
      <c r="L194" s="191"/>
      <c r="M194" s="197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</row>
    <row r="195" spans="1:67" ht="71.25" customHeight="1" x14ac:dyDescent="0.2">
      <c r="A195" s="231">
        <v>40</v>
      </c>
      <c r="B195" s="253" t="s">
        <v>367</v>
      </c>
      <c r="C195" s="254" t="s">
        <v>367</v>
      </c>
      <c r="D195" s="256" t="s">
        <v>107</v>
      </c>
      <c r="E195" s="256"/>
      <c r="F195" s="256"/>
      <c r="G195" s="256"/>
      <c r="H195" s="257"/>
      <c r="I195" s="193" t="s">
        <v>368</v>
      </c>
      <c r="J195" s="215" t="s">
        <v>353</v>
      </c>
      <c r="K195" s="258">
        <v>4700</v>
      </c>
      <c r="L195" s="259" t="s">
        <v>111</v>
      </c>
      <c r="M195" s="215" t="s">
        <v>369</v>
      </c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</row>
    <row r="196" spans="1:67" ht="72" customHeight="1" x14ac:dyDescent="0.2">
      <c r="A196" s="231">
        <v>41</v>
      </c>
      <c r="B196" s="253" t="s">
        <v>370</v>
      </c>
      <c r="C196" s="254" t="s">
        <v>370</v>
      </c>
      <c r="D196" s="256" t="s">
        <v>107</v>
      </c>
      <c r="E196" s="256"/>
      <c r="F196" s="256"/>
      <c r="G196" s="256"/>
      <c r="H196" s="257"/>
      <c r="I196" s="193" t="s">
        <v>371</v>
      </c>
      <c r="J196" s="215" t="s">
        <v>353</v>
      </c>
      <c r="K196" s="258">
        <v>5000</v>
      </c>
      <c r="L196" s="259" t="s">
        <v>111</v>
      </c>
      <c r="M196" s="215" t="s">
        <v>372</v>
      </c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</row>
    <row r="197" spans="1:67" ht="23.25" customHeight="1" x14ac:dyDescent="0.2">
      <c r="A197" s="167">
        <v>42</v>
      </c>
      <c r="B197" s="168" t="s">
        <v>373</v>
      </c>
      <c r="C197" s="169"/>
      <c r="D197" s="170" t="s">
        <v>107</v>
      </c>
      <c r="E197" s="170"/>
      <c r="F197" s="170"/>
      <c r="G197" s="170"/>
      <c r="H197" s="170"/>
      <c r="I197" s="171" t="s">
        <v>374</v>
      </c>
      <c r="J197" s="198" t="s">
        <v>360</v>
      </c>
      <c r="K197" s="213">
        <f>10000*60%</f>
        <v>6000</v>
      </c>
      <c r="L197" s="169" t="s">
        <v>111</v>
      </c>
      <c r="M197" s="175" t="s">
        <v>375</v>
      </c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</row>
    <row r="198" spans="1:67" ht="23.25" customHeight="1" x14ac:dyDescent="0.2">
      <c r="A198" s="177"/>
      <c r="B198" s="178"/>
      <c r="C198" s="179"/>
      <c r="D198" s="180"/>
      <c r="E198" s="180"/>
      <c r="F198" s="180"/>
      <c r="G198" s="180"/>
      <c r="H198" s="180"/>
      <c r="I198" s="181" t="s">
        <v>376</v>
      </c>
      <c r="J198" s="172" t="s">
        <v>360</v>
      </c>
      <c r="K198" s="202">
        <f>10000*10%</f>
        <v>1000</v>
      </c>
      <c r="L198" s="179"/>
      <c r="M198" s="185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  <c r="BH198" s="138"/>
      <c r="BI198" s="138"/>
      <c r="BJ198" s="138"/>
      <c r="BK198" s="138"/>
      <c r="BL198" s="138"/>
      <c r="BM198" s="138"/>
      <c r="BN198" s="138"/>
      <c r="BO198" s="138"/>
    </row>
    <row r="199" spans="1:67" ht="23.25" customHeight="1" x14ac:dyDescent="0.2">
      <c r="A199" s="177"/>
      <c r="B199" s="178"/>
      <c r="C199" s="179"/>
      <c r="D199" s="180"/>
      <c r="E199" s="180"/>
      <c r="F199" s="180"/>
      <c r="G199" s="180"/>
      <c r="H199" s="180"/>
      <c r="I199" s="188" t="s">
        <v>377</v>
      </c>
      <c r="J199" s="187" t="s">
        <v>360</v>
      </c>
      <c r="K199" s="200">
        <f>10000*10%</f>
        <v>1000</v>
      </c>
      <c r="L199" s="179"/>
      <c r="M199" s="185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  <c r="BJ199" s="138"/>
      <c r="BK199" s="138"/>
      <c r="BL199" s="138"/>
      <c r="BM199" s="138"/>
      <c r="BN199" s="138"/>
      <c r="BO199" s="138"/>
    </row>
    <row r="200" spans="1:67" ht="23.25" customHeight="1" x14ac:dyDescent="0.2">
      <c r="A200" s="177"/>
      <c r="B200" s="178"/>
      <c r="C200" s="179"/>
      <c r="D200" s="180"/>
      <c r="E200" s="180"/>
      <c r="F200" s="180"/>
      <c r="G200" s="180"/>
      <c r="H200" s="180"/>
      <c r="I200" s="171" t="s">
        <v>378</v>
      </c>
      <c r="J200" s="187" t="s">
        <v>360</v>
      </c>
      <c r="K200" s="200">
        <f>10000*10%</f>
        <v>1000</v>
      </c>
      <c r="L200" s="179"/>
      <c r="M200" s="185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38"/>
    </row>
    <row r="201" spans="1:67" ht="23.25" customHeight="1" x14ac:dyDescent="0.2">
      <c r="A201" s="177"/>
      <c r="B201" s="178"/>
      <c r="C201" s="179"/>
      <c r="D201" s="180"/>
      <c r="E201" s="180"/>
      <c r="F201" s="180"/>
      <c r="G201" s="180"/>
      <c r="H201" s="180"/>
      <c r="I201" s="188" t="s">
        <v>379</v>
      </c>
      <c r="J201" s="187" t="s">
        <v>360</v>
      </c>
      <c r="K201" s="201">
        <f>10000*10%</f>
        <v>1000</v>
      </c>
      <c r="L201" s="179"/>
      <c r="M201" s="185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  <c r="BG201" s="138"/>
      <c r="BH201" s="138"/>
      <c r="BI201" s="138"/>
      <c r="BJ201" s="138"/>
      <c r="BK201" s="138"/>
      <c r="BL201" s="138"/>
      <c r="BM201" s="138"/>
      <c r="BN201" s="138"/>
      <c r="BO201" s="138"/>
    </row>
    <row r="202" spans="1:67" ht="23.25" customHeight="1" x14ac:dyDescent="0.2">
      <c r="A202" s="189"/>
      <c r="B202" s="190"/>
      <c r="C202" s="191"/>
      <c r="D202" s="192"/>
      <c r="E202" s="192"/>
      <c r="F202" s="192"/>
      <c r="G202" s="192"/>
      <c r="H202" s="192"/>
      <c r="I202" s="193"/>
      <c r="J202" s="194"/>
      <c r="K202" s="209">
        <f>SUM(K197:K201)</f>
        <v>10000</v>
      </c>
      <c r="L202" s="191"/>
      <c r="M202" s="197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  <c r="BH202" s="138"/>
      <c r="BI202" s="138"/>
      <c r="BJ202" s="138"/>
      <c r="BK202" s="138"/>
      <c r="BL202" s="138"/>
      <c r="BM202" s="138"/>
      <c r="BN202" s="138"/>
      <c r="BO202" s="138"/>
    </row>
    <row r="203" spans="1:67" ht="23.25" customHeight="1" x14ac:dyDescent="0.2">
      <c r="A203" s="167">
        <v>43</v>
      </c>
      <c r="B203" s="168" t="s">
        <v>380</v>
      </c>
      <c r="C203" s="169"/>
      <c r="D203" s="170" t="s">
        <v>107</v>
      </c>
      <c r="E203" s="170"/>
      <c r="F203" s="170"/>
      <c r="G203" s="170"/>
      <c r="H203" s="170" t="s">
        <v>137</v>
      </c>
      <c r="I203" s="171" t="s">
        <v>381</v>
      </c>
      <c r="J203" s="172" t="s">
        <v>360</v>
      </c>
      <c r="K203" s="173">
        <f>11000*60%</f>
        <v>6600</v>
      </c>
      <c r="L203" s="169" t="s">
        <v>111</v>
      </c>
      <c r="M203" s="175" t="s">
        <v>382</v>
      </c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38"/>
    </row>
    <row r="204" spans="1:67" ht="23.25" customHeight="1" x14ac:dyDescent="0.2">
      <c r="A204" s="177"/>
      <c r="B204" s="178"/>
      <c r="C204" s="179"/>
      <c r="D204" s="180"/>
      <c r="E204" s="180"/>
      <c r="F204" s="180"/>
      <c r="G204" s="180"/>
      <c r="H204" s="180"/>
      <c r="I204" s="181" t="s">
        <v>383</v>
      </c>
      <c r="J204" s="187" t="s">
        <v>360</v>
      </c>
      <c r="K204" s="200">
        <f>11000*20%</f>
        <v>2200</v>
      </c>
      <c r="L204" s="179"/>
      <c r="M204" s="185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38"/>
    </row>
    <row r="205" spans="1:67" ht="23.25" customHeight="1" x14ac:dyDescent="0.2">
      <c r="A205" s="177"/>
      <c r="B205" s="178"/>
      <c r="C205" s="179"/>
      <c r="D205" s="180"/>
      <c r="E205" s="180"/>
      <c r="F205" s="180"/>
      <c r="G205" s="180"/>
      <c r="H205" s="180"/>
      <c r="I205" s="181" t="s">
        <v>384</v>
      </c>
      <c r="J205" s="182" t="s">
        <v>360</v>
      </c>
      <c r="K205" s="200">
        <f>11000*20%</f>
        <v>2200</v>
      </c>
      <c r="L205" s="179"/>
      <c r="M205" s="185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</row>
    <row r="206" spans="1:67" ht="23.25" customHeight="1" x14ac:dyDescent="0.2">
      <c r="A206" s="189"/>
      <c r="B206" s="190"/>
      <c r="C206" s="191"/>
      <c r="D206" s="192"/>
      <c r="E206" s="192"/>
      <c r="F206" s="192"/>
      <c r="G206" s="192"/>
      <c r="H206" s="192"/>
      <c r="I206" s="203"/>
      <c r="J206" s="215"/>
      <c r="K206" s="205">
        <f>SUM(K203:K205)</f>
        <v>11000</v>
      </c>
      <c r="L206" s="191"/>
      <c r="M206" s="197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38"/>
    </row>
    <row r="207" spans="1:67" ht="23.25" customHeight="1" x14ac:dyDescent="0.2">
      <c r="A207" s="167">
        <v>44</v>
      </c>
      <c r="B207" s="168" t="s">
        <v>385</v>
      </c>
      <c r="C207" s="169"/>
      <c r="D207" s="170" t="s">
        <v>107</v>
      </c>
      <c r="E207" s="170"/>
      <c r="F207" s="170"/>
      <c r="G207" s="170"/>
      <c r="H207" s="170"/>
      <c r="I207" s="171" t="s">
        <v>386</v>
      </c>
      <c r="J207" s="172" t="s">
        <v>360</v>
      </c>
      <c r="K207" s="173">
        <f>15000*80%</f>
        <v>12000</v>
      </c>
      <c r="L207" s="174" t="s">
        <v>111</v>
      </c>
      <c r="M207" s="175" t="s">
        <v>387</v>
      </c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</row>
    <row r="208" spans="1:67" ht="23.25" customHeight="1" x14ac:dyDescent="0.2">
      <c r="A208" s="177"/>
      <c r="B208" s="178"/>
      <c r="C208" s="179"/>
      <c r="D208" s="180"/>
      <c r="E208" s="180"/>
      <c r="F208" s="180"/>
      <c r="G208" s="180"/>
      <c r="H208" s="180"/>
      <c r="I208" s="188" t="s">
        <v>388</v>
      </c>
      <c r="J208" s="187" t="s">
        <v>246</v>
      </c>
      <c r="K208" s="183">
        <f>15000*10%</f>
        <v>1500</v>
      </c>
      <c r="L208" s="184"/>
      <c r="M208" s="185"/>
      <c r="N208" s="176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38"/>
    </row>
    <row r="209" spans="1:67" ht="23.25" customHeight="1" x14ac:dyDescent="0.2">
      <c r="A209" s="177"/>
      <c r="B209" s="178"/>
      <c r="C209" s="179"/>
      <c r="D209" s="180"/>
      <c r="E209" s="180"/>
      <c r="F209" s="180"/>
      <c r="G209" s="180"/>
      <c r="H209" s="180"/>
      <c r="I209" s="171" t="s">
        <v>389</v>
      </c>
      <c r="J209" s="182" t="s">
        <v>390</v>
      </c>
      <c r="K209" s="183">
        <f>15000*10%</f>
        <v>1500</v>
      </c>
      <c r="L209" s="184"/>
      <c r="M209" s="185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</row>
    <row r="210" spans="1:67" ht="23.25" customHeight="1" x14ac:dyDescent="0.2">
      <c r="A210" s="189"/>
      <c r="B210" s="190"/>
      <c r="C210" s="191"/>
      <c r="D210" s="192"/>
      <c r="E210" s="192"/>
      <c r="F210" s="192"/>
      <c r="G210" s="192"/>
      <c r="H210" s="192"/>
      <c r="I210" s="203"/>
      <c r="J210" s="215"/>
      <c r="K210" s="216">
        <f>SUM(K207:K209)</f>
        <v>15000</v>
      </c>
      <c r="L210" s="196"/>
      <c r="M210" s="197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</row>
    <row r="211" spans="1:67" ht="23.25" customHeight="1" x14ac:dyDescent="0.2">
      <c r="A211" s="167">
        <v>45</v>
      </c>
      <c r="B211" s="168" t="s">
        <v>391</v>
      </c>
      <c r="C211" s="169"/>
      <c r="D211" s="170" t="s">
        <v>107</v>
      </c>
      <c r="E211" s="170"/>
      <c r="F211" s="170"/>
      <c r="G211" s="170"/>
      <c r="H211" s="170" t="s">
        <v>164</v>
      </c>
      <c r="I211" s="217" t="s">
        <v>392</v>
      </c>
      <c r="J211" s="172" t="s">
        <v>360</v>
      </c>
      <c r="K211" s="173">
        <v>4700</v>
      </c>
      <c r="L211" s="174" t="s">
        <v>111</v>
      </c>
      <c r="M211" s="175" t="s">
        <v>393</v>
      </c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38"/>
    </row>
    <row r="212" spans="1:67" ht="23.25" customHeight="1" x14ac:dyDescent="0.2">
      <c r="A212" s="177"/>
      <c r="B212" s="178"/>
      <c r="C212" s="179"/>
      <c r="D212" s="180"/>
      <c r="E212" s="180"/>
      <c r="F212" s="180"/>
      <c r="G212" s="180"/>
      <c r="H212" s="180"/>
      <c r="I212" s="188" t="s">
        <v>394</v>
      </c>
      <c r="J212" s="182" t="s">
        <v>353</v>
      </c>
      <c r="K212" s="183">
        <f>4700*20%</f>
        <v>940</v>
      </c>
      <c r="L212" s="184"/>
      <c r="M212" s="185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</row>
    <row r="213" spans="1:67" ht="23.25" customHeight="1" x14ac:dyDescent="0.2">
      <c r="A213" s="189"/>
      <c r="B213" s="190"/>
      <c r="C213" s="191"/>
      <c r="D213" s="192"/>
      <c r="E213" s="192"/>
      <c r="F213" s="192"/>
      <c r="G213" s="192"/>
      <c r="H213" s="192"/>
      <c r="I213" s="193"/>
      <c r="J213" s="215"/>
      <c r="K213" s="216">
        <f>SUM(K211:K212)</f>
        <v>5640</v>
      </c>
      <c r="L213" s="196"/>
      <c r="M213" s="197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</row>
    <row r="214" spans="1:67" ht="50.25" customHeight="1" x14ac:dyDescent="0.2">
      <c r="A214" s="231">
        <v>46</v>
      </c>
      <c r="B214" s="253" t="s">
        <v>395</v>
      </c>
      <c r="C214" s="254" t="s">
        <v>395</v>
      </c>
      <c r="D214" s="256" t="s">
        <v>107</v>
      </c>
      <c r="E214" s="256"/>
      <c r="F214" s="256"/>
      <c r="G214" s="256"/>
      <c r="H214" s="257"/>
      <c r="I214" s="193" t="s">
        <v>396</v>
      </c>
      <c r="J214" s="215" t="s">
        <v>353</v>
      </c>
      <c r="K214" s="258">
        <v>6050</v>
      </c>
      <c r="L214" s="259" t="s">
        <v>111</v>
      </c>
      <c r="M214" s="215" t="s">
        <v>397</v>
      </c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</row>
    <row r="215" spans="1:67" ht="23.25" customHeight="1" x14ac:dyDescent="0.2">
      <c r="A215" s="167">
        <v>47</v>
      </c>
      <c r="B215" s="168" t="s">
        <v>398</v>
      </c>
      <c r="C215" s="169"/>
      <c r="D215" s="170" t="s">
        <v>107</v>
      </c>
      <c r="E215" s="170"/>
      <c r="F215" s="170"/>
      <c r="G215" s="170"/>
      <c r="H215" s="170" t="s">
        <v>164</v>
      </c>
      <c r="I215" s="217" t="s">
        <v>399</v>
      </c>
      <c r="J215" s="172" t="s">
        <v>360</v>
      </c>
      <c r="K215" s="173">
        <f>8000*60%</f>
        <v>4800</v>
      </c>
      <c r="L215" s="174" t="s">
        <v>111</v>
      </c>
      <c r="M215" s="175" t="s">
        <v>400</v>
      </c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</row>
    <row r="216" spans="1:67" ht="23.25" customHeight="1" x14ac:dyDescent="0.2">
      <c r="A216" s="177"/>
      <c r="B216" s="178"/>
      <c r="C216" s="179"/>
      <c r="D216" s="180"/>
      <c r="E216" s="180"/>
      <c r="F216" s="180"/>
      <c r="G216" s="180"/>
      <c r="H216" s="180"/>
      <c r="I216" s="188" t="s">
        <v>401</v>
      </c>
      <c r="J216" s="187" t="s">
        <v>353</v>
      </c>
      <c r="K216" s="208">
        <f>8000*40%</f>
        <v>3200</v>
      </c>
      <c r="L216" s="184"/>
      <c r="M216" s="185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</row>
    <row r="217" spans="1:67" ht="23.25" customHeight="1" x14ac:dyDescent="0.2">
      <c r="A217" s="189"/>
      <c r="B217" s="190"/>
      <c r="C217" s="191"/>
      <c r="D217" s="192"/>
      <c r="E217" s="192"/>
      <c r="F217" s="192"/>
      <c r="G217" s="192"/>
      <c r="H217" s="192"/>
      <c r="I217" s="193"/>
      <c r="J217" s="194"/>
      <c r="K217" s="209">
        <f>SUM(K215:K216)</f>
        <v>8000</v>
      </c>
      <c r="L217" s="196"/>
      <c r="M217" s="197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</row>
    <row r="218" spans="1:67" ht="23.25" customHeight="1" x14ac:dyDescent="0.2">
      <c r="A218" s="167">
        <v>48</v>
      </c>
      <c r="B218" s="168" t="s">
        <v>402</v>
      </c>
      <c r="C218" s="169"/>
      <c r="D218" s="170" t="s">
        <v>107</v>
      </c>
      <c r="E218" s="170"/>
      <c r="F218" s="170"/>
      <c r="G218" s="170"/>
      <c r="H218" s="170" t="s">
        <v>164</v>
      </c>
      <c r="I218" s="171" t="s">
        <v>403</v>
      </c>
      <c r="J218" s="198" t="s">
        <v>353</v>
      </c>
      <c r="K218" s="173">
        <f>4900*50%</f>
        <v>2450</v>
      </c>
      <c r="L218" s="174" t="s">
        <v>111</v>
      </c>
      <c r="M218" s="175" t="s">
        <v>404</v>
      </c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</row>
    <row r="219" spans="1:67" ht="23.25" customHeight="1" x14ac:dyDescent="0.2">
      <c r="A219" s="177"/>
      <c r="B219" s="178"/>
      <c r="C219" s="179"/>
      <c r="D219" s="180"/>
      <c r="E219" s="180"/>
      <c r="F219" s="180"/>
      <c r="G219" s="180"/>
      <c r="H219" s="180"/>
      <c r="I219" s="181" t="s">
        <v>405</v>
      </c>
      <c r="J219" s="172"/>
      <c r="K219" s="186">
        <f>4900*50%</f>
        <v>2450</v>
      </c>
      <c r="L219" s="184"/>
      <c r="M219" s="185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</row>
    <row r="220" spans="1:67" ht="23.25" customHeight="1" x14ac:dyDescent="0.2">
      <c r="A220" s="189"/>
      <c r="B220" s="190"/>
      <c r="C220" s="191"/>
      <c r="D220" s="192"/>
      <c r="E220" s="192"/>
      <c r="F220" s="192"/>
      <c r="G220" s="192"/>
      <c r="H220" s="192"/>
      <c r="I220" s="203"/>
      <c r="J220" s="194"/>
      <c r="K220" s="195">
        <f>SUM(K218:K219)</f>
        <v>4900</v>
      </c>
      <c r="L220" s="196"/>
      <c r="M220" s="197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</row>
    <row r="221" spans="1:67" ht="71.25" customHeight="1" x14ac:dyDescent="0.2">
      <c r="A221" s="231">
        <v>49</v>
      </c>
      <c r="B221" s="253" t="s">
        <v>406</v>
      </c>
      <c r="C221" s="254" t="s">
        <v>406</v>
      </c>
      <c r="D221" s="256" t="s">
        <v>107</v>
      </c>
      <c r="E221" s="256"/>
      <c r="F221" s="256"/>
      <c r="G221" s="256"/>
      <c r="H221" s="257"/>
      <c r="I221" s="193" t="s">
        <v>407</v>
      </c>
      <c r="J221" s="215" t="s">
        <v>353</v>
      </c>
      <c r="K221" s="258">
        <v>4700</v>
      </c>
      <c r="L221" s="259" t="s">
        <v>111</v>
      </c>
      <c r="M221" s="215" t="s">
        <v>408</v>
      </c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</row>
    <row r="222" spans="1:67" ht="23.25" customHeight="1" x14ac:dyDescent="0.2">
      <c r="A222" s="167">
        <v>50</v>
      </c>
      <c r="B222" s="168" t="s">
        <v>409</v>
      </c>
      <c r="C222" s="169"/>
      <c r="D222" s="170" t="s">
        <v>107</v>
      </c>
      <c r="E222" s="170"/>
      <c r="F222" s="170"/>
      <c r="G222" s="170"/>
      <c r="H222" s="170"/>
      <c r="I222" s="217" t="s">
        <v>410</v>
      </c>
      <c r="J222" s="172" t="s">
        <v>411</v>
      </c>
      <c r="K222" s="173">
        <f>4000*40%</f>
        <v>1600</v>
      </c>
      <c r="L222" s="174" t="s">
        <v>111</v>
      </c>
      <c r="M222" s="175" t="s">
        <v>412</v>
      </c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</row>
    <row r="223" spans="1:67" ht="23.25" customHeight="1" x14ac:dyDescent="0.2">
      <c r="A223" s="177"/>
      <c r="B223" s="178"/>
      <c r="C223" s="179"/>
      <c r="D223" s="180"/>
      <c r="E223" s="180"/>
      <c r="F223" s="180"/>
      <c r="G223" s="180"/>
      <c r="H223" s="180"/>
      <c r="I223" s="171" t="s">
        <v>413</v>
      </c>
      <c r="J223" s="187" t="s">
        <v>411</v>
      </c>
      <c r="K223" s="183">
        <f>4000*20%</f>
        <v>800</v>
      </c>
      <c r="L223" s="184"/>
      <c r="M223" s="185"/>
      <c r="AV223" s="138"/>
      <c r="AW223" s="138"/>
      <c r="AX223" s="138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</row>
    <row r="224" spans="1:67" ht="23.25" customHeight="1" x14ac:dyDescent="0.2">
      <c r="A224" s="177"/>
      <c r="B224" s="178"/>
      <c r="C224" s="179"/>
      <c r="D224" s="180"/>
      <c r="E224" s="180"/>
      <c r="F224" s="180"/>
      <c r="G224" s="180"/>
      <c r="H224" s="180"/>
      <c r="I224" s="188" t="s">
        <v>414</v>
      </c>
      <c r="J224" s="187" t="s">
        <v>411</v>
      </c>
      <c r="K224" s="208">
        <f>4000*20%</f>
        <v>800</v>
      </c>
      <c r="L224" s="184"/>
      <c r="M224" s="185"/>
      <c r="AV224" s="138"/>
      <c r="AW224" s="138"/>
      <c r="AX224" s="138"/>
      <c r="AY224" s="138"/>
      <c r="AZ224" s="138"/>
      <c r="BA224" s="138"/>
      <c r="BB224" s="138"/>
      <c r="BC224" s="138"/>
      <c r="BD224" s="138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38"/>
    </row>
    <row r="225" spans="1:67" ht="23.25" customHeight="1" x14ac:dyDescent="0.2">
      <c r="A225" s="177"/>
      <c r="B225" s="178"/>
      <c r="C225" s="179"/>
      <c r="D225" s="180"/>
      <c r="E225" s="180"/>
      <c r="F225" s="180"/>
      <c r="G225" s="180"/>
      <c r="H225" s="180"/>
      <c r="I225" s="181" t="s">
        <v>415</v>
      </c>
      <c r="J225" s="187" t="s">
        <v>411</v>
      </c>
      <c r="K225" s="208">
        <f>4000*20%</f>
        <v>800</v>
      </c>
      <c r="L225" s="184"/>
      <c r="M225" s="185"/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</row>
    <row r="226" spans="1:67" ht="23.25" customHeight="1" x14ac:dyDescent="0.2">
      <c r="A226" s="189"/>
      <c r="B226" s="190"/>
      <c r="C226" s="191"/>
      <c r="D226" s="192"/>
      <c r="E226" s="192"/>
      <c r="F226" s="192"/>
      <c r="G226" s="192"/>
      <c r="H226" s="192"/>
      <c r="I226" s="203"/>
      <c r="J226" s="194"/>
      <c r="K226" s="209">
        <f>SUM(K222:K225)</f>
        <v>4000</v>
      </c>
      <c r="L226" s="196"/>
      <c r="M226" s="197"/>
      <c r="AV226" s="138"/>
      <c r="AW226" s="138"/>
      <c r="AX226" s="138"/>
      <c r="AY226" s="138"/>
      <c r="AZ226" s="138"/>
      <c r="BA226" s="138"/>
      <c r="BB226" s="138"/>
      <c r="BC226" s="138"/>
      <c r="BD226" s="138"/>
      <c r="BE226" s="138"/>
      <c r="BF226" s="138"/>
      <c r="BG226" s="138"/>
      <c r="BH226" s="138"/>
      <c r="BI226" s="138"/>
      <c r="BJ226" s="138"/>
      <c r="BK226" s="138"/>
      <c r="BL226" s="138"/>
      <c r="BM226" s="138"/>
      <c r="BN226" s="138"/>
      <c r="BO226" s="138"/>
    </row>
    <row r="227" spans="1:67" ht="23.25" customHeight="1" x14ac:dyDescent="0.2">
      <c r="A227" s="167">
        <v>51</v>
      </c>
      <c r="B227" s="168" t="s">
        <v>416</v>
      </c>
      <c r="C227" s="169"/>
      <c r="D227" s="170" t="s">
        <v>107</v>
      </c>
      <c r="E227" s="170"/>
      <c r="F227" s="170"/>
      <c r="G227" s="170"/>
      <c r="H227" s="170"/>
      <c r="I227" s="171" t="s">
        <v>410</v>
      </c>
      <c r="J227" s="172" t="s">
        <v>360</v>
      </c>
      <c r="K227" s="173">
        <f>19950*40%</f>
        <v>7980</v>
      </c>
      <c r="L227" s="169" t="s">
        <v>111</v>
      </c>
      <c r="M227" s="175" t="s">
        <v>417</v>
      </c>
      <c r="AV227" s="138"/>
      <c r="AW227" s="138"/>
      <c r="AX227" s="138"/>
      <c r="AY227" s="138"/>
      <c r="AZ227" s="138"/>
      <c r="BA227" s="138"/>
      <c r="BB227" s="138"/>
      <c r="BC227" s="138"/>
      <c r="BD227" s="138"/>
      <c r="BE227" s="138"/>
      <c r="BF227" s="138"/>
      <c r="BG227" s="138"/>
      <c r="BH227" s="138"/>
      <c r="BI227" s="138"/>
      <c r="BJ227" s="138"/>
      <c r="BK227" s="138"/>
      <c r="BL227" s="138"/>
      <c r="BM227" s="138"/>
      <c r="BN227" s="138"/>
      <c r="BO227" s="138"/>
    </row>
    <row r="228" spans="1:67" ht="23.25" customHeight="1" x14ac:dyDescent="0.2">
      <c r="A228" s="177"/>
      <c r="B228" s="178"/>
      <c r="C228" s="179"/>
      <c r="D228" s="180"/>
      <c r="E228" s="180"/>
      <c r="F228" s="180"/>
      <c r="G228" s="180"/>
      <c r="H228" s="180"/>
      <c r="I228" s="188" t="s">
        <v>413</v>
      </c>
      <c r="J228" s="207" t="s">
        <v>360</v>
      </c>
      <c r="K228" s="199">
        <f>19950*20%</f>
        <v>3990</v>
      </c>
      <c r="L228" s="179"/>
      <c r="M228" s="185"/>
      <c r="AV228" s="138"/>
      <c r="AW228" s="138"/>
      <c r="AX228" s="138"/>
      <c r="AY228" s="138"/>
      <c r="AZ228" s="138"/>
      <c r="BA228" s="138"/>
      <c r="BB228" s="138"/>
      <c r="BC228" s="138"/>
      <c r="BD228" s="138"/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38"/>
    </row>
    <row r="229" spans="1:67" ht="23.25" customHeight="1" x14ac:dyDescent="0.2">
      <c r="A229" s="177"/>
      <c r="B229" s="178"/>
      <c r="C229" s="179"/>
      <c r="D229" s="180"/>
      <c r="E229" s="180"/>
      <c r="F229" s="180"/>
      <c r="G229" s="180"/>
      <c r="H229" s="180"/>
      <c r="I229" s="188" t="s">
        <v>414</v>
      </c>
      <c r="J229" s="182" t="s">
        <v>360</v>
      </c>
      <c r="K229" s="200">
        <f>19950*20%</f>
        <v>3990</v>
      </c>
      <c r="L229" s="179"/>
      <c r="M229" s="185"/>
      <c r="AV229" s="138"/>
      <c r="AW229" s="138"/>
      <c r="AX229" s="138"/>
      <c r="AY229" s="138"/>
      <c r="AZ229" s="138"/>
      <c r="BA229" s="138"/>
      <c r="BB229" s="138"/>
      <c r="BC229" s="138"/>
      <c r="BD229" s="138"/>
      <c r="BE229" s="138"/>
      <c r="BF229" s="138"/>
      <c r="BG229" s="138"/>
      <c r="BH229" s="138"/>
      <c r="BI229" s="138"/>
      <c r="BJ229" s="138"/>
      <c r="BK229" s="138"/>
      <c r="BL229" s="138"/>
      <c r="BM229" s="138"/>
      <c r="BN229" s="138"/>
      <c r="BO229" s="138"/>
    </row>
    <row r="230" spans="1:67" ht="23.25" customHeight="1" x14ac:dyDescent="0.2">
      <c r="A230" s="177"/>
      <c r="B230" s="178"/>
      <c r="C230" s="179"/>
      <c r="D230" s="180"/>
      <c r="E230" s="180"/>
      <c r="F230" s="180"/>
      <c r="G230" s="180"/>
      <c r="H230" s="180"/>
      <c r="I230" s="171" t="s">
        <v>415</v>
      </c>
      <c r="J230" s="291" t="s">
        <v>360</v>
      </c>
      <c r="K230" s="201">
        <f>19950*20%</f>
        <v>3990</v>
      </c>
      <c r="L230" s="179"/>
      <c r="M230" s="185"/>
      <c r="AV230" s="138"/>
      <c r="AW230" s="138"/>
      <c r="AX230" s="138"/>
      <c r="AY230" s="138"/>
      <c r="AZ230" s="138"/>
      <c r="BA230" s="138"/>
      <c r="BB230" s="138"/>
      <c r="BC230" s="138"/>
      <c r="BD230" s="138"/>
      <c r="BE230" s="138"/>
      <c r="BF230" s="138"/>
      <c r="BG230" s="138"/>
      <c r="BH230" s="138"/>
      <c r="BI230" s="138"/>
      <c r="BJ230" s="138"/>
      <c r="BK230" s="138"/>
      <c r="BL230" s="138"/>
      <c r="BM230" s="138"/>
      <c r="BN230" s="138"/>
      <c r="BO230" s="138"/>
    </row>
    <row r="231" spans="1:67" ht="23.25" customHeight="1" x14ac:dyDescent="0.2">
      <c r="A231" s="189"/>
      <c r="B231" s="190"/>
      <c r="C231" s="191"/>
      <c r="D231" s="192"/>
      <c r="E231" s="192"/>
      <c r="F231" s="192"/>
      <c r="G231" s="192"/>
      <c r="H231" s="192"/>
      <c r="I231" s="203"/>
      <c r="J231" s="215"/>
      <c r="K231" s="209">
        <f>SUM(K227:K230)</f>
        <v>19950</v>
      </c>
      <c r="L231" s="191"/>
      <c r="M231" s="197"/>
      <c r="AV231" s="138"/>
      <c r="AW231" s="138"/>
      <c r="AX231" s="138"/>
      <c r="AY231" s="138"/>
      <c r="AZ231" s="138"/>
      <c r="BA231" s="138"/>
      <c r="BB231" s="138"/>
      <c r="BC231" s="138"/>
      <c r="BD231" s="138"/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</row>
    <row r="232" spans="1:67" ht="23.25" customHeight="1" x14ac:dyDescent="0.2">
      <c r="A232" s="167">
        <v>52</v>
      </c>
      <c r="B232" s="168" t="s">
        <v>418</v>
      </c>
      <c r="C232" s="169"/>
      <c r="D232" s="170" t="s">
        <v>107</v>
      </c>
      <c r="E232" s="170"/>
      <c r="F232" s="170"/>
      <c r="G232" s="170"/>
      <c r="H232" s="170"/>
      <c r="I232" s="171" t="s">
        <v>419</v>
      </c>
      <c r="J232" s="172" t="s">
        <v>360</v>
      </c>
      <c r="K232" s="173">
        <f>7000*50%</f>
        <v>3500</v>
      </c>
      <c r="L232" s="174" t="s">
        <v>111</v>
      </c>
      <c r="M232" s="175" t="s">
        <v>420</v>
      </c>
      <c r="AV232" s="138"/>
      <c r="AW232" s="138"/>
      <c r="AX232" s="138"/>
      <c r="AY232" s="138"/>
      <c r="AZ232" s="138"/>
      <c r="BA232" s="138"/>
      <c r="BB232" s="138"/>
      <c r="BC232" s="138"/>
      <c r="BD232" s="138"/>
      <c r="BE232" s="138"/>
      <c r="BF232" s="138"/>
      <c r="BG232" s="138"/>
      <c r="BH232" s="138"/>
      <c r="BI232" s="138"/>
      <c r="BJ232" s="138"/>
      <c r="BK232" s="138"/>
      <c r="BL232" s="138"/>
      <c r="BM232" s="138"/>
      <c r="BN232" s="138"/>
      <c r="BO232" s="138"/>
    </row>
    <row r="233" spans="1:67" ht="23.25" customHeight="1" x14ac:dyDescent="0.2">
      <c r="A233" s="177"/>
      <c r="B233" s="178"/>
      <c r="C233" s="179"/>
      <c r="D233" s="180"/>
      <c r="E233" s="180"/>
      <c r="F233" s="180"/>
      <c r="G233" s="180"/>
      <c r="H233" s="180"/>
      <c r="I233" s="188" t="s">
        <v>421</v>
      </c>
      <c r="J233" s="182" t="s">
        <v>353</v>
      </c>
      <c r="K233" s="208">
        <f>7000*50%</f>
        <v>3500</v>
      </c>
      <c r="L233" s="184"/>
      <c r="M233" s="185"/>
      <c r="AV233" s="138"/>
      <c r="AW233" s="138"/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</row>
    <row r="234" spans="1:67" ht="23.25" customHeight="1" x14ac:dyDescent="0.2">
      <c r="A234" s="189"/>
      <c r="B234" s="190"/>
      <c r="C234" s="191"/>
      <c r="D234" s="192"/>
      <c r="E234" s="192"/>
      <c r="F234" s="192"/>
      <c r="G234" s="192"/>
      <c r="H234" s="192"/>
      <c r="I234" s="193"/>
      <c r="J234" s="215"/>
      <c r="K234" s="216">
        <f>SUM(K232:K233)</f>
        <v>7000</v>
      </c>
      <c r="L234" s="196"/>
      <c r="M234" s="197"/>
      <c r="AV234" s="138"/>
      <c r="AW234" s="138"/>
      <c r="AX234" s="138"/>
      <c r="AY234" s="138"/>
      <c r="AZ234" s="138"/>
      <c r="BA234" s="138"/>
      <c r="BB234" s="138"/>
      <c r="BC234" s="138"/>
      <c r="BD234" s="138"/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</row>
    <row r="235" spans="1:67" ht="23.25" customHeight="1" x14ac:dyDescent="0.2">
      <c r="A235" s="167">
        <v>53</v>
      </c>
      <c r="B235" s="168" t="s">
        <v>422</v>
      </c>
      <c r="C235" s="169"/>
      <c r="D235" s="170" t="s">
        <v>107</v>
      </c>
      <c r="E235" s="170"/>
      <c r="F235" s="170"/>
      <c r="G235" s="170"/>
      <c r="H235" s="170" t="s">
        <v>164</v>
      </c>
      <c r="I235" s="171" t="s">
        <v>423</v>
      </c>
      <c r="J235" s="172" t="s">
        <v>360</v>
      </c>
      <c r="K235" s="173">
        <f>4700*70%</f>
        <v>3290</v>
      </c>
      <c r="L235" s="169" t="s">
        <v>111</v>
      </c>
      <c r="M235" s="175" t="s">
        <v>424</v>
      </c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</row>
    <row r="236" spans="1:67" ht="23.25" customHeight="1" x14ac:dyDescent="0.2">
      <c r="A236" s="177"/>
      <c r="B236" s="178"/>
      <c r="C236" s="179"/>
      <c r="D236" s="180"/>
      <c r="E236" s="180"/>
      <c r="F236" s="180"/>
      <c r="G236" s="180"/>
      <c r="H236" s="180"/>
      <c r="I236" s="181" t="s">
        <v>425</v>
      </c>
      <c r="J236" s="187" t="s">
        <v>353</v>
      </c>
      <c r="K236" s="201">
        <f>4700*30%</f>
        <v>1410</v>
      </c>
      <c r="L236" s="179"/>
      <c r="M236" s="185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</row>
    <row r="237" spans="1:67" ht="23.25" customHeight="1" x14ac:dyDescent="0.2">
      <c r="A237" s="189"/>
      <c r="B237" s="190"/>
      <c r="C237" s="191"/>
      <c r="D237" s="192"/>
      <c r="E237" s="192"/>
      <c r="F237" s="192"/>
      <c r="G237" s="192"/>
      <c r="H237" s="192"/>
      <c r="I237" s="203"/>
      <c r="J237" s="194"/>
      <c r="K237" s="209">
        <f>SUM(K235:K236)</f>
        <v>4700</v>
      </c>
      <c r="L237" s="191"/>
      <c r="M237" s="197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</row>
    <row r="238" spans="1:67" ht="23.25" customHeight="1" x14ac:dyDescent="0.2">
      <c r="A238" s="167">
        <v>54</v>
      </c>
      <c r="B238" s="168" t="s">
        <v>426</v>
      </c>
      <c r="C238" s="169"/>
      <c r="D238" s="170" t="s">
        <v>107</v>
      </c>
      <c r="E238" s="170"/>
      <c r="F238" s="170"/>
      <c r="G238" s="170"/>
      <c r="H238" s="170"/>
      <c r="I238" s="217" t="s">
        <v>427</v>
      </c>
      <c r="J238" s="198" t="s">
        <v>360</v>
      </c>
      <c r="K238" s="173">
        <f>4700*80%</f>
        <v>3760</v>
      </c>
      <c r="L238" s="169" t="s">
        <v>111</v>
      </c>
      <c r="M238" s="175" t="s">
        <v>428</v>
      </c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</row>
    <row r="239" spans="1:67" ht="23.25" customHeight="1" x14ac:dyDescent="0.2">
      <c r="A239" s="177"/>
      <c r="B239" s="178"/>
      <c r="C239" s="179"/>
      <c r="D239" s="180"/>
      <c r="E239" s="180"/>
      <c r="F239" s="180"/>
      <c r="G239" s="180"/>
      <c r="H239" s="180"/>
      <c r="I239" s="188" t="s">
        <v>429</v>
      </c>
      <c r="J239" s="172" t="s">
        <v>110</v>
      </c>
      <c r="K239" s="199">
        <f>4700*10%</f>
        <v>470</v>
      </c>
      <c r="L239" s="179"/>
      <c r="M239" s="185"/>
      <c r="AV239" s="138"/>
      <c r="AW239" s="138"/>
      <c r="AX239" s="138"/>
      <c r="AY239" s="138"/>
      <c r="AZ239" s="138"/>
      <c r="BA239" s="138"/>
      <c r="BB239" s="138"/>
      <c r="BC239" s="138"/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</row>
    <row r="240" spans="1:67" ht="23.25" customHeight="1" x14ac:dyDescent="0.2">
      <c r="A240" s="177"/>
      <c r="B240" s="178"/>
      <c r="C240" s="179"/>
      <c r="D240" s="180"/>
      <c r="E240" s="180"/>
      <c r="F240" s="180"/>
      <c r="G240" s="180"/>
      <c r="H240" s="180"/>
      <c r="I240" s="171" t="s">
        <v>430</v>
      </c>
      <c r="J240" s="182" t="s">
        <v>353</v>
      </c>
      <c r="K240" s="201">
        <f>4700*10%</f>
        <v>470</v>
      </c>
      <c r="L240" s="179"/>
      <c r="M240" s="185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</row>
    <row r="241" spans="1:67" ht="23.25" customHeight="1" x14ac:dyDescent="0.2">
      <c r="A241" s="189"/>
      <c r="B241" s="190"/>
      <c r="C241" s="191"/>
      <c r="D241" s="192"/>
      <c r="E241" s="192"/>
      <c r="F241" s="192"/>
      <c r="G241" s="192"/>
      <c r="H241" s="192"/>
      <c r="I241" s="203"/>
      <c r="J241" s="194"/>
      <c r="K241" s="209"/>
      <c r="L241" s="191"/>
      <c r="M241" s="197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</row>
    <row r="242" spans="1:67" ht="69.75" customHeight="1" x14ac:dyDescent="0.2">
      <c r="A242" s="231">
        <v>55</v>
      </c>
      <c r="B242" s="253" t="s">
        <v>431</v>
      </c>
      <c r="C242" s="254" t="s">
        <v>431</v>
      </c>
      <c r="D242" s="256" t="s">
        <v>107</v>
      </c>
      <c r="E242" s="256"/>
      <c r="F242" s="256"/>
      <c r="G242" s="256"/>
      <c r="H242" s="257"/>
      <c r="I242" s="193" t="s">
        <v>432</v>
      </c>
      <c r="J242" s="215" t="s">
        <v>353</v>
      </c>
      <c r="K242" s="258">
        <v>4700</v>
      </c>
      <c r="L242" s="259" t="s">
        <v>111</v>
      </c>
      <c r="M242" s="215" t="s">
        <v>433</v>
      </c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</row>
    <row r="243" spans="1:67" ht="23.25" customHeight="1" x14ac:dyDescent="0.2">
      <c r="A243" s="167">
        <v>56</v>
      </c>
      <c r="B243" s="168" t="s">
        <v>434</v>
      </c>
      <c r="C243" s="169"/>
      <c r="D243" s="170" t="s">
        <v>107</v>
      </c>
      <c r="E243" s="170"/>
      <c r="F243" s="170"/>
      <c r="G243" s="170"/>
      <c r="H243" s="170"/>
      <c r="I243" s="171" t="s">
        <v>435</v>
      </c>
      <c r="J243" s="198" t="s">
        <v>360</v>
      </c>
      <c r="K243" s="173">
        <f>4900*80%</f>
        <v>3920</v>
      </c>
      <c r="L243" s="169" t="s">
        <v>111</v>
      </c>
      <c r="M243" s="175" t="s">
        <v>436</v>
      </c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</row>
    <row r="244" spans="1:67" ht="23.25" customHeight="1" x14ac:dyDescent="0.2">
      <c r="A244" s="177"/>
      <c r="B244" s="178"/>
      <c r="C244" s="179"/>
      <c r="D244" s="180"/>
      <c r="E244" s="180"/>
      <c r="F244" s="180"/>
      <c r="G244" s="180"/>
      <c r="H244" s="180"/>
      <c r="I244" s="181" t="s">
        <v>437</v>
      </c>
      <c r="J244" s="172" t="s">
        <v>360</v>
      </c>
      <c r="K244" s="199">
        <f>4900*10%</f>
        <v>490</v>
      </c>
      <c r="L244" s="179"/>
      <c r="M244" s="185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</row>
    <row r="245" spans="1:67" ht="23.25" customHeight="1" x14ac:dyDescent="0.2">
      <c r="A245" s="177"/>
      <c r="B245" s="178"/>
      <c r="C245" s="179"/>
      <c r="D245" s="180"/>
      <c r="E245" s="180"/>
      <c r="F245" s="180"/>
      <c r="G245" s="180"/>
      <c r="H245" s="180"/>
      <c r="I245" s="188" t="s">
        <v>438</v>
      </c>
      <c r="J245" s="187" t="s">
        <v>353</v>
      </c>
      <c r="K245" s="200">
        <f>4900*10%</f>
        <v>490</v>
      </c>
      <c r="L245" s="179"/>
      <c r="M245" s="185"/>
      <c r="AV245" s="138"/>
      <c r="AW245" s="138"/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38"/>
    </row>
    <row r="246" spans="1:67" ht="23.25" customHeight="1" x14ac:dyDescent="0.2">
      <c r="A246" s="189"/>
      <c r="B246" s="190"/>
      <c r="C246" s="191"/>
      <c r="D246" s="192"/>
      <c r="E246" s="192"/>
      <c r="F246" s="192"/>
      <c r="G246" s="192"/>
      <c r="H246" s="192"/>
      <c r="I246" s="193"/>
      <c r="J246" s="194"/>
      <c r="K246" s="211">
        <f>SUM(K243:K245)</f>
        <v>4900</v>
      </c>
      <c r="L246" s="191"/>
      <c r="M246" s="197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38"/>
    </row>
    <row r="247" spans="1:67" ht="76.5" customHeight="1" x14ac:dyDescent="0.2">
      <c r="A247" s="231">
        <v>57</v>
      </c>
      <c r="B247" s="253" t="s">
        <v>439</v>
      </c>
      <c r="C247" s="254" t="s">
        <v>439</v>
      </c>
      <c r="D247" s="256" t="s">
        <v>107</v>
      </c>
      <c r="E247" s="256"/>
      <c r="F247" s="256"/>
      <c r="G247" s="256"/>
      <c r="H247" s="257"/>
      <c r="I247" s="193" t="s">
        <v>440</v>
      </c>
      <c r="J247" s="215" t="s">
        <v>353</v>
      </c>
      <c r="K247" s="258">
        <v>4700</v>
      </c>
      <c r="L247" s="259" t="s">
        <v>111</v>
      </c>
      <c r="M247" s="215" t="s">
        <v>441</v>
      </c>
      <c r="AV247" s="138"/>
      <c r="AW247" s="138"/>
      <c r="AX247" s="138"/>
      <c r="AY247" s="138"/>
      <c r="AZ247" s="138"/>
      <c r="BA247" s="138"/>
      <c r="BB247" s="138"/>
      <c r="BC247" s="138"/>
      <c r="BD247" s="138"/>
      <c r="BE247" s="138"/>
      <c r="BF247" s="138"/>
      <c r="BG247" s="138"/>
      <c r="BH247" s="138"/>
      <c r="BI247" s="138"/>
      <c r="BJ247" s="138"/>
      <c r="BK247" s="138"/>
      <c r="BL247" s="138"/>
      <c r="BM247" s="138"/>
      <c r="BN247" s="138"/>
      <c r="BO247" s="138"/>
    </row>
    <row r="248" spans="1:67" ht="65.25" customHeight="1" x14ac:dyDescent="0.2">
      <c r="A248" s="231">
        <v>58</v>
      </c>
      <c r="B248" s="253" t="s">
        <v>442</v>
      </c>
      <c r="C248" s="254" t="s">
        <v>442</v>
      </c>
      <c r="D248" s="256" t="s">
        <v>107</v>
      </c>
      <c r="E248" s="256"/>
      <c r="F248" s="256"/>
      <c r="G248" s="256"/>
      <c r="H248" s="257"/>
      <c r="I248" s="193" t="s">
        <v>443</v>
      </c>
      <c r="J248" s="215" t="s">
        <v>353</v>
      </c>
      <c r="K248" s="258">
        <v>4700</v>
      </c>
      <c r="L248" s="259" t="s">
        <v>111</v>
      </c>
      <c r="M248" s="215" t="s">
        <v>444</v>
      </c>
      <c r="AV248" s="138"/>
      <c r="AW248" s="138"/>
      <c r="AX248" s="138"/>
      <c r="AY248" s="138"/>
      <c r="AZ248" s="138"/>
      <c r="BA248" s="138"/>
      <c r="BB248" s="138"/>
      <c r="BC248" s="138"/>
      <c r="BD248" s="138"/>
      <c r="BE248" s="138"/>
      <c r="BF248" s="138"/>
      <c r="BG248" s="138"/>
      <c r="BH248" s="138"/>
      <c r="BI248" s="138"/>
      <c r="BJ248" s="138"/>
      <c r="BK248" s="138"/>
      <c r="BL248" s="138"/>
      <c r="BM248" s="138"/>
      <c r="BN248" s="138"/>
      <c r="BO248" s="138"/>
    </row>
    <row r="249" spans="1:67" ht="21.75" customHeight="1" x14ac:dyDescent="0.2">
      <c r="A249" s="167">
        <v>59</v>
      </c>
      <c r="B249" s="168" t="s">
        <v>445</v>
      </c>
      <c r="C249" s="169"/>
      <c r="D249" s="250" t="s">
        <v>107</v>
      </c>
      <c r="E249" s="170"/>
      <c r="F249" s="170"/>
      <c r="G249" s="170"/>
      <c r="H249" s="170"/>
      <c r="I249" s="171" t="s">
        <v>446</v>
      </c>
      <c r="J249" s="198" t="s">
        <v>360</v>
      </c>
      <c r="K249" s="173">
        <f>4900*80%</f>
        <v>3920</v>
      </c>
      <c r="L249" s="174" t="s">
        <v>111</v>
      </c>
      <c r="M249" s="175" t="s">
        <v>447</v>
      </c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</row>
    <row r="250" spans="1:67" ht="21.75" customHeight="1" x14ac:dyDescent="0.2">
      <c r="A250" s="177"/>
      <c r="B250" s="178"/>
      <c r="C250" s="179"/>
      <c r="D250" s="243"/>
      <c r="E250" s="180"/>
      <c r="F250" s="180"/>
      <c r="G250" s="180"/>
      <c r="H250" s="180"/>
      <c r="I250" s="181" t="s">
        <v>448</v>
      </c>
      <c r="J250" s="182" t="s">
        <v>252</v>
      </c>
      <c r="K250" s="208">
        <f>4900*10%</f>
        <v>490</v>
      </c>
      <c r="L250" s="184"/>
      <c r="M250" s="185"/>
      <c r="N250" s="176"/>
      <c r="AV250" s="138"/>
      <c r="AW250" s="138"/>
      <c r="AX250" s="138"/>
      <c r="AY250" s="138"/>
      <c r="AZ250" s="138"/>
      <c r="BA250" s="138"/>
      <c r="BB250" s="138"/>
      <c r="BC250" s="138"/>
      <c r="BD250" s="138"/>
      <c r="BE250" s="138"/>
      <c r="BF250" s="138"/>
      <c r="BG250" s="138"/>
      <c r="BH250" s="138"/>
      <c r="BI250" s="138"/>
      <c r="BJ250" s="138"/>
      <c r="BK250" s="138"/>
      <c r="BL250" s="138"/>
      <c r="BM250" s="138"/>
      <c r="BN250" s="138"/>
      <c r="BO250" s="138"/>
    </row>
    <row r="251" spans="1:67" ht="21.75" customHeight="1" x14ac:dyDescent="0.2">
      <c r="A251" s="177"/>
      <c r="B251" s="178"/>
      <c r="C251" s="179"/>
      <c r="D251" s="243"/>
      <c r="E251" s="180"/>
      <c r="F251" s="180"/>
      <c r="G251" s="180"/>
      <c r="H251" s="180"/>
      <c r="I251" s="181" t="s">
        <v>449</v>
      </c>
      <c r="J251" s="182" t="s">
        <v>450</v>
      </c>
      <c r="K251" s="202">
        <f>4900*10%</f>
        <v>490</v>
      </c>
      <c r="L251" s="184"/>
      <c r="M251" s="185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38"/>
      <c r="BL251" s="138"/>
      <c r="BM251" s="138"/>
      <c r="BN251" s="138"/>
      <c r="BO251" s="138"/>
    </row>
    <row r="252" spans="1:67" ht="21.75" customHeight="1" x14ac:dyDescent="0.2">
      <c r="A252" s="189"/>
      <c r="B252" s="190"/>
      <c r="C252" s="191"/>
      <c r="D252" s="244"/>
      <c r="E252" s="192"/>
      <c r="F252" s="192"/>
      <c r="G252" s="192"/>
      <c r="H252" s="192"/>
      <c r="I252" s="203"/>
      <c r="J252" s="215"/>
      <c r="K252" s="216">
        <f>SUM(K249:K251)</f>
        <v>4900</v>
      </c>
      <c r="L252" s="196"/>
      <c r="M252" s="197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</row>
    <row r="253" spans="1:67" ht="65.25" customHeight="1" x14ac:dyDescent="0.2">
      <c r="A253" s="292">
        <v>60</v>
      </c>
      <c r="B253" s="253" t="s">
        <v>451</v>
      </c>
      <c r="C253" s="254" t="s">
        <v>451</v>
      </c>
      <c r="D253" s="255" t="s">
        <v>107</v>
      </c>
      <c r="E253" s="256"/>
      <c r="F253" s="256"/>
      <c r="G253" s="256"/>
      <c r="H253" s="257"/>
      <c r="I253" s="193" t="s">
        <v>452</v>
      </c>
      <c r="J253" s="215" t="s">
        <v>353</v>
      </c>
      <c r="K253" s="258">
        <v>4700</v>
      </c>
      <c r="L253" s="259" t="s">
        <v>111</v>
      </c>
      <c r="M253" s="215" t="s">
        <v>453</v>
      </c>
      <c r="AV253" s="138"/>
      <c r="AW253" s="138"/>
      <c r="AX253" s="138"/>
      <c r="AY253" s="138"/>
      <c r="AZ253" s="138"/>
      <c r="BA253" s="138"/>
      <c r="BB253" s="138"/>
      <c r="BC253" s="138"/>
      <c r="BD253" s="138"/>
      <c r="BE253" s="138"/>
      <c r="BF253" s="138"/>
      <c r="BG253" s="138"/>
      <c r="BH253" s="138"/>
      <c r="BI253" s="138"/>
      <c r="BJ253" s="138"/>
      <c r="BK253" s="138"/>
      <c r="BL253" s="138"/>
      <c r="BM253" s="138"/>
      <c r="BN253" s="138"/>
      <c r="BO253" s="138"/>
    </row>
    <row r="254" spans="1:67" ht="65.25" customHeight="1" x14ac:dyDescent="0.2">
      <c r="A254" s="292">
        <v>61</v>
      </c>
      <c r="B254" s="253" t="s">
        <v>454</v>
      </c>
      <c r="C254" s="254" t="s">
        <v>454</v>
      </c>
      <c r="D254" s="255" t="s">
        <v>107</v>
      </c>
      <c r="E254" s="256"/>
      <c r="F254" s="256"/>
      <c r="G254" s="256"/>
      <c r="H254" s="257"/>
      <c r="I254" s="193" t="s">
        <v>455</v>
      </c>
      <c r="J254" s="215" t="s">
        <v>353</v>
      </c>
      <c r="K254" s="258">
        <v>4700</v>
      </c>
      <c r="L254" s="259" t="s">
        <v>111</v>
      </c>
      <c r="M254" s="215" t="s">
        <v>456</v>
      </c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</row>
    <row r="255" spans="1:67" ht="24" customHeight="1" x14ac:dyDescent="0.2">
      <c r="A255" s="292">
        <v>62</v>
      </c>
      <c r="B255" s="253" t="s">
        <v>457</v>
      </c>
      <c r="C255" s="254" t="s">
        <v>457</v>
      </c>
      <c r="D255" s="255" t="s">
        <v>107</v>
      </c>
      <c r="E255" s="256"/>
      <c r="F255" s="256"/>
      <c r="G255" s="256"/>
      <c r="H255" s="257"/>
      <c r="I255" s="193" t="s">
        <v>455</v>
      </c>
      <c r="J255" s="215" t="s">
        <v>353</v>
      </c>
      <c r="K255" s="258">
        <v>4900</v>
      </c>
      <c r="L255" s="259" t="s">
        <v>111</v>
      </c>
      <c r="M255" s="215" t="s">
        <v>458</v>
      </c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</row>
    <row r="256" spans="1:67" ht="24" customHeight="1" x14ac:dyDescent="0.2">
      <c r="A256" s="292">
        <v>63</v>
      </c>
      <c r="B256" s="253" t="s">
        <v>459</v>
      </c>
      <c r="C256" s="254" t="s">
        <v>459</v>
      </c>
      <c r="D256" s="255" t="s">
        <v>107</v>
      </c>
      <c r="E256" s="256"/>
      <c r="F256" s="256"/>
      <c r="G256" s="256"/>
      <c r="H256" s="257"/>
      <c r="I256" s="193" t="s">
        <v>460</v>
      </c>
      <c r="J256" s="215" t="s">
        <v>353</v>
      </c>
      <c r="K256" s="258">
        <v>4700</v>
      </c>
      <c r="L256" s="259" t="s">
        <v>111</v>
      </c>
      <c r="M256" s="215" t="s">
        <v>461</v>
      </c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</row>
    <row r="257" spans="1:67" ht="24" customHeight="1" x14ac:dyDescent="0.2">
      <c r="A257" s="167">
        <v>64</v>
      </c>
      <c r="B257" s="168" t="s">
        <v>462</v>
      </c>
      <c r="C257" s="169"/>
      <c r="D257" s="250" t="s">
        <v>107</v>
      </c>
      <c r="E257" s="170"/>
      <c r="F257" s="170"/>
      <c r="G257" s="170"/>
      <c r="H257" s="170"/>
      <c r="I257" s="217" t="s">
        <v>463</v>
      </c>
      <c r="J257" s="172" t="s">
        <v>360</v>
      </c>
      <c r="K257" s="173">
        <f>4700*80%</f>
        <v>3760</v>
      </c>
      <c r="L257" s="174" t="s">
        <v>111</v>
      </c>
      <c r="M257" s="175" t="s">
        <v>464</v>
      </c>
      <c r="AV257" s="138"/>
      <c r="AW257" s="138"/>
      <c r="AX257" s="138"/>
      <c r="AY257" s="138"/>
      <c r="AZ257" s="138"/>
      <c r="BA257" s="138"/>
      <c r="BB257" s="138"/>
      <c r="BC257" s="138"/>
      <c r="BD257" s="138"/>
      <c r="BE257" s="138"/>
      <c r="BF257" s="138"/>
      <c r="BG257" s="138"/>
      <c r="BH257" s="138"/>
      <c r="BI257" s="138"/>
      <c r="BJ257" s="138"/>
      <c r="BK257" s="138"/>
      <c r="BL257" s="138"/>
      <c r="BM257" s="138"/>
      <c r="BN257" s="138"/>
      <c r="BO257" s="138"/>
    </row>
    <row r="258" spans="1:67" ht="24" customHeight="1" x14ac:dyDescent="0.2">
      <c r="A258" s="177"/>
      <c r="B258" s="178"/>
      <c r="C258" s="179"/>
      <c r="D258" s="243"/>
      <c r="E258" s="180"/>
      <c r="F258" s="180"/>
      <c r="G258" s="180"/>
      <c r="H258" s="180"/>
      <c r="I258" s="188" t="s">
        <v>465</v>
      </c>
      <c r="J258" s="182" t="s">
        <v>353</v>
      </c>
      <c r="K258" s="208">
        <f>4700*20%</f>
        <v>940</v>
      </c>
      <c r="L258" s="184"/>
      <c r="M258" s="185"/>
      <c r="AV258" s="138"/>
      <c r="AW258" s="138"/>
      <c r="AX258" s="138"/>
      <c r="AY258" s="138"/>
      <c r="AZ258" s="138"/>
      <c r="BA258" s="138"/>
      <c r="BB258" s="138"/>
      <c r="BC258" s="138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138"/>
      <c r="BN258" s="138"/>
      <c r="BO258" s="138"/>
    </row>
    <row r="259" spans="1:67" ht="24" customHeight="1" x14ac:dyDescent="0.2">
      <c r="A259" s="189"/>
      <c r="B259" s="190"/>
      <c r="C259" s="191"/>
      <c r="D259" s="244"/>
      <c r="E259" s="192"/>
      <c r="F259" s="192"/>
      <c r="G259" s="192"/>
      <c r="H259" s="192"/>
      <c r="I259" s="193"/>
      <c r="J259" s="215"/>
      <c r="K259" s="209">
        <f>SUM(K257:K258)</f>
        <v>4700</v>
      </c>
      <c r="L259" s="196"/>
      <c r="M259" s="197"/>
      <c r="AV259" s="138"/>
      <c r="AW259" s="138"/>
      <c r="AX259" s="138"/>
      <c r="AY259" s="138"/>
      <c r="AZ259" s="138"/>
      <c r="BA259" s="138"/>
      <c r="BB259" s="138"/>
      <c r="BC259" s="138"/>
      <c r="BD259" s="138"/>
      <c r="BE259" s="138"/>
      <c r="BF259" s="138"/>
      <c r="BG259" s="138"/>
      <c r="BH259" s="138"/>
      <c r="BI259" s="138"/>
      <c r="BJ259" s="138"/>
      <c r="BK259" s="138"/>
      <c r="BL259" s="138"/>
      <c r="BM259" s="138"/>
      <c r="BN259" s="138"/>
      <c r="BO259" s="138"/>
    </row>
    <row r="260" spans="1:67" ht="24" customHeight="1" x14ac:dyDescent="0.2">
      <c r="A260" s="292">
        <v>65</v>
      </c>
      <c r="B260" s="253" t="s">
        <v>466</v>
      </c>
      <c r="C260" s="254" t="s">
        <v>466</v>
      </c>
      <c r="D260" s="255" t="s">
        <v>107</v>
      </c>
      <c r="E260" s="256"/>
      <c r="F260" s="256"/>
      <c r="G260" s="256"/>
      <c r="H260" s="257"/>
      <c r="I260" s="193" t="s">
        <v>467</v>
      </c>
      <c r="J260" s="215" t="s">
        <v>353</v>
      </c>
      <c r="K260" s="258">
        <v>8000</v>
      </c>
      <c r="L260" s="259" t="s">
        <v>111</v>
      </c>
      <c r="M260" s="215" t="s">
        <v>468</v>
      </c>
      <c r="AV260" s="138"/>
      <c r="AW260" s="138"/>
      <c r="AX260" s="138"/>
      <c r="AY260" s="138"/>
      <c r="AZ260" s="138"/>
      <c r="BA260" s="138"/>
      <c r="BB260" s="138"/>
      <c r="BC260" s="138"/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8"/>
      <c r="BN260" s="138"/>
      <c r="BO260" s="138"/>
    </row>
    <row r="261" spans="1:67" ht="24" customHeight="1" x14ac:dyDescent="0.2">
      <c r="A261" s="167">
        <v>66</v>
      </c>
      <c r="B261" s="168" t="s">
        <v>469</v>
      </c>
      <c r="C261" s="169"/>
      <c r="D261" s="250" t="s">
        <v>107</v>
      </c>
      <c r="E261" s="170"/>
      <c r="F261" s="170"/>
      <c r="G261" s="170"/>
      <c r="H261" s="170"/>
      <c r="I261" s="217" t="s">
        <v>470</v>
      </c>
      <c r="J261" s="172" t="s">
        <v>360</v>
      </c>
      <c r="K261" s="173">
        <f>11000*60%</f>
        <v>6600</v>
      </c>
      <c r="L261" s="174" t="s">
        <v>111</v>
      </c>
      <c r="M261" s="175" t="s">
        <v>471</v>
      </c>
      <c r="AV261" s="138"/>
      <c r="AW261" s="138"/>
      <c r="AX261" s="138"/>
      <c r="AY261" s="138"/>
      <c r="AZ261" s="138"/>
      <c r="BA261" s="138"/>
      <c r="BB261" s="138"/>
      <c r="BC261" s="138"/>
      <c r="BD261" s="138"/>
      <c r="BE261" s="138"/>
      <c r="BF261" s="138"/>
      <c r="BG261" s="138"/>
      <c r="BH261" s="138"/>
      <c r="BI261" s="138"/>
      <c r="BJ261" s="138"/>
      <c r="BK261" s="138"/>
      <c r="BL261" s="138"/>
      <c r="BM261" s="138"/>
      <c r="BN261" s="138"/>
      <c r="BO261" s="138"/>
    </row>
    <row r="262" spans="1:67" ht="24" customHeight="1" x14ac:dyDescent="0.2">
      <c r="A262" s="177"/>
      <c r="B262" s="178"/>
      <c r="C262" s="179"/>
      <c r="D262" s="243"/>
      <c r="E262" s="180"/>
      <c r="F262" s="180"/>
      <c r="G262" s="180"/>
      <c r="H262" s="180"/>
      <c r="I262" s="171" t="s">
        <v>472</v>
      </c>
      <c r="J262" s="187" t="s">
        <v>353</v>
      </c>
      <c r="K262" s="208">
        <f>11000*20%</f>
        <v>2200</v>
      </c>
      <c r="L262" s="184"/>
      <c r="M262" s="185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</row>
    <row r="263" spans="1:67" ht="24" customHeight="1" x14ac:dyDescent="0.2">
      <c r="A263" s="177"/>
      <c r="B263" s="178"/>
      <c r="C263" s="179"/>
      <c r="D263" s="243"/>
      <c r="E263" s="180"/>
      <c r="F263" s="180"/>
      <c r="G263" s="180"/>
      <c r="H263" s="180"/>
      <c r="I263" s="181" t="s">
        <v>473</v>
      </c>
      <c r="J263" s="182" t="s">
        <v>353</v>
      </c>
      <c r="K263" s="208">
        <f>11000*20%</f>
        <v>2200</v>
      </c>
      <c r="L263" s="184"/>
      <c r="M263" s="185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</row>
    <row r="264" spans="1:67" ht="24" customHeight="1" x14ac:dyDescent="0.2">
      <c r="A264" s="189"/>
      <c r="B264" s="190"/>
      <c r="C264" s="191"/>
      <c r="D264" s="244"/>
      <c r="E264" s="192"/>
      <c r="F264" s="192"/>
      <c r="G264" s="192"/>
      <c r="H264" s="192"/>
      <c r="I264" s="203"/>
      <c r="J264" s="215"/>
      <c r="K264" s="209">
        <f>SUM(K261:K263)</f>
        <v>11000</v>
      </c>
      <c r="L264" s="196"/>
      <c r="M264" s="197"/>
      <c r="AV264" s="138"/>
      <c r="AW264" s="138"/>
      <c r="AX264" s="138"/>
      <c r="AY264" s="138"/>
      <c r="AZ264" s="138"/>
      <c r="BA264" s="138"/>
      <c r="BB264" s="138"/>
      <c r="BC264" s="138"/>
      <c r="BD264" s="138"/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/>
    </row>
    <row r="265" spans="1:67" ht="24" customHeight="1" x14ac:dyDescent="0.2">
      <c r="A265" s="292">
        <v>67</v>
      </c>
      <c r="B265" s="253" t="s">
        <v>474</v>
      </c>
      <c r="C265" s="254" t="s">
        <v>474</v>
      </c>
      <c r="D265" s="255" t="s">
        <v>107</v>
      </c>
      <c r="E265" s="256"/>
      <c r="F265" s="256"/>
      <c r="G265" s="256"/>
      <c r="H265" s="257"/>
      <c r="I265" s="193" t="s">
        <v>475</v>
      </c>
      <c r="J265" s="215" t="s">
        <v>353</v>
      </c>
      <c r="K265" s="258">
        <v>10000</v>
      </c>
      <c r="L265" s="259" t="s">
        <v>111</v>
      </c>
      <c r="M265" s="215" t="s">
        <v>476</v>
      </c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</row>
    <row r="266" spans="1:67" ht="24" customHeight="1" x14ac:dyDescent="0.2">
      <c r="A266" s="167">
        <v>68</v>
      </c>
      <c r="B266" s="168" t="s">
        <v>477</v>
      </c>
      <c r="C266" s="169"/>
      <c r="D266" s="243" t="s">
        <v>107</v>
      </c>
      <c r="E266" s="180"/>
      <c r="F266" s="180"/>
      <c r="G266" s="180"/>
      <c r="H266" s="180"/>
      <c r="I266" s="274" t="s">
        <v>478</v>
      </c>
      <c r="J266" s="172" t="s">
        <v>353</v>
      </c>
      <c r="K266" s="210">
        <f>10000*100%</f>
        <v>10000</v>
      </c>
      <c r="L266" s="169" t="s">
        <v>111</v>
      </c>
      <c r="M266" s="185" t="s">
        <v>479</v>
      </c>
      <c r="AV266" s="138"/>
      <c r="AW266" s="138"/>
      <c r="AX266" s="138"/>
      <c r="AY266" s="138"/>
      <c r="AZ266" s="138"/>
      <c r="BA266" s="138"/>
      <c r="BB266" s="138"/>
      <c r="BC266" s="138"/>
      <c r="BD266" s="138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</row>
    <row r="267" spans="1:67" ht="24" customHeight="1" x14ac:dyDescent="0.2">
      <c r="A267" s="189"/>
      <c r="B267" s="190"/>
      <c r="C267" s="191"/>
      <c r="D267" s="244"/>
      <c r="E267" s="192"/>
      <c r="F267" s="192"/>
      <c r="G267" s="192"/>
      <c r="H267" s="192"/>
      <c r="I267" s="193"/>
      <c r="J267" s="194"/>
      <c r="K267" s="209">
        <f>SUM(K266)</f>
        <v>10000</v>
      </c>
      <c r="L267" s="191"/>
      <c r="M267" s="197"/>
      <c r="AV267" s="138"/>
      <c r="AW267" s="138"/>
      <c r="AX267" s="138"/>
      <c r="AY267" s="138"/>
      <c r="AZ267" s="138"/>
      <c r="BA267" s="138"/>
      <c r="BB267" s="138"/>
      <c r="BC267" s="138"/>
      <c r="BD267" s="138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</row>
    <row r="268" spans="1:67" ht="24" customHeight="1" x14ac:dyDescent="0.2">
      <c r="A268" s="167">
        <v>69</v>
      </c>
      <c r="B268" s="168" t="s">
        <v>480</v>
      </c>
      <c r="C268" s="169"/>
      <c r="D268" s="250" t="s">
        <v>107</v>
      </c>
      <c r="E268" s="170"/>
      <c r="F268" s="170"/>
      <c r="G268" s="170"/>
      <c r="H268" s="170"/>
      <c r="I268" s="171" t="s">
        <v>481</v>
      </c>
      <c r="J268" s="172" t="s">
        <v>353</v>
      </c>
      <c r="K268" s="173">
        <f>10000*100%</f>
        <v>10000</v>
      </c>
      <c r="L268" s="169" t="s">
        <v>111</v>
      </c>
      <c r="M268" s="175" t="s">
        <v>482</v>
      </c>
      <c r="AV268" s="138"/>
      <c r="AW268" s="138"/>
      <c r="AX268" s="138"/>
      <c r="AY268" s="138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</row>
    <row r="269" spans="1:67" ht="24" customHeight="1" x14ac:dyDescent="0.2">
      <c r="A269" s="189"/>
      <c r="B269" s="190"/>
      <c r="C269" s="191"/>
      <c r="D269" s="244"/>
      <c r="E269" s="192"/>
      <c r="F269" s="192"/>
      <c r="G269" s="192"/>
      <c r="H269" s="192"/>
      <c r="I269" s="203"/>
      <c r="J269" s="194"/>
      <c r="K269" s="211">
        <f>SUM(K268)</f>
        <v>10000</v>
      </c>
      <c r="L269" s="191"/>
      <c r="M269" s="197"/>
      <c r="AV269" s="138"/>
      <c r="AW269" s="138"/>
      <c r="AX269" s="138"/>
      <c r="AY269" s="138"/>
      <c r="AZ269" s="138"/>
      <c r="BA269" s="138"/>
      <c r="BB269" s="138"/>
      <c r="BC269" s="138"/>
      <c r="BD269" s="138"/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</row>
    <row r="270" spans="1:67" ht="24" customHeight="1" x14ac:dyDescent="0.2">
      <c r="A270" s="167">
        <v>70</v>
      </c>
      <c r="B270" s="168" t="s">
        <v>483</v>
      </c>
      <c r="C270" s="169"/>
      <c r="D270" s="250" t="s">
        <v>107</v>
      </c>
      <c r="E270" s="170"/>
      <c r="F270" s="170"/>
      <c r="G270" s="170"/>
      <c r="H270" s="170"/>
      <c r="I270" s="217" t="s">
        <v>484</v>
      </c>
      <c r="J270" s="198" t="s">
        <v>353</v>
      </c>
      <c r="K270" s="206">
        <f>10000*50%</f>
        <v>5000</v>
      </c>
      <c r="L270" s="174" t="s">
        <v>111</v>
      </c>
      <c r="M270" s="175" t="s">
        <v>485</v>
      </c>
      <c r="AV270" s="138"/>
      <c r="AW270" s="138"/>
      <c r="AX270" s="138"/>
      <c r="AY270" s="138"/>
      <c r="AZ270" s="138"/>
      <c r="BA270" s="138"/>
      <c r="BB270" s="138"/>
      <c r="BC270" s="138"/>
      <c r="BD270" s="138"/>
      <c r="BE270" s="138"/>
      <c r="BF270" s="138"/>
      <c r="BG270" s="138"/>
      <c r="BH270" s="138"/>
      <c r="BI270" s="138"/>
      <c r="BJ270" s="138"/>
      <c r="BK270" s="138"/>
      <c r="BL270" s="138"/>
      <c r="BM270" s="138"/>
      <c r="BN270" s="138"/>
      <c r="BO270" s="138"/>
    </row>
    <row r="271" spans="1:67" ht="24" customHeight="1" x14ac:dyDescent="0.2">
      <c r="A271" s="177"/>
      <c r="B271" s="178"/>
      <c r="C271" s="179"/>
      <c r="D271" s="243"/>
      <c r="E271" s="180"/>
      <c r="F271" s="180"/>
      <c r="G271" s="180"/>
      <c r="H271" s="180"/>
      <c r="I271" s="188" t="s">
        <v>486</v>
      </c>
      <c r="J271" s="172" t="s">
        <v>353</v>
      </c>
      <c r="K271" s="202">
        <f>10000*50%</f>
        <v>5000</v>
      </c>
      <c r="L271" s="184"/>
      <c r="M271" s="185"/>
      <c r="AV271" s="138"/>
      <c r="AW271" s="138"/>
      <c r="AX271" s="138"/>
      <c r="AY271" s="138"/>
      <c r="AZ271" s="138"/>
      <c r="BA271" s="138"/>
      <c r="BB271" s="138"/>
      <c r="BC271" s="138"/>
      <c r="BD271" s="138"/>
      <c r="BE271" s="138"/>
      <c r="BF271" s="138"/>
      <c r="BG271" s="138"/>
      <c r="BH271" s="138"/>
      <c r="BI271" s="138"/>
      <c r="BJ271" s="138"/>
      <c r="BK271" s="138"/>
      <c r="BL271" s="138"/>
      <c r="BM271" s="138"/>
      <c r="BN271" s="138"/>
      <c r="BO271" s="138"/>
    </row>
    <row r="272" spans="1:67" ht="24" customHeight="1" x14ac:dyDescent="0.2">
      <c r="A272" s="189"/>
      <c r="B272" s="190"/>
      <c r="C272" s="191"/>
      <c r="D272" s="244"/>
      <c r="E272" s="192"/>
      <c r="F272" s="192"/>
      <c r="G272" s="192"/>
      <c r="H272" s="192"/>
      <c r="I272" s="193"/>
      <c r="J272" s="194"/>
      <c r="K272" s="195">
        <f>SUM(K270:K271)</f>
        <v>10000</v>
      </c>
      <c r="L272" s="196"/>
      <c r="M272" s="197"/>
      <c r="AV272" s="138"/>
      <c r="AW272" s="138"/>
      <c r="AX272" s="138"/>
      <c r="AY272" s="138"/>
      <c r="AZ272" s="138"/>
      <c r="BA272" s="138"/>
      <c r="BB272" s="138"/>
      <c r="BC272" s="138"/>
      <c r="BD272" s="138"/>
      <c r="BE272" s="138"/>
      <c r="BF272" s="138"/>
      <c r="BG272" s="138"/>
      <c r="BH272" s="138"/>
      <c r="BI272" s="138"/>
      <c r="BJ272" s="138"/>
      <c r="BK272" s="138"/>
      <c r="BL272" s="138"/>
      <c r="BM272" s="138"/>
      <c r="BN272" s="138"/>
      <c r="BO272" s="138"/>
    </row>
    <row r="273" spans="1:67" ht="24" customHeight="1" x14ac:dyDescent="0.2">
      <c r="A273" s="167">
        <v>71</v>
      </c>
      <c r="B273" s="168" t="s">
        <v>487</v>
      </c>
      <c r="C273" s="169"/>
      <c r="D273" s="250" t="s">
        <v>107</v>
      </c>
      <c r="E273" s="170"/>
      <c r="F273" s="170"/>
      <c r="G273" s="170"/>
      <c r="H273" s="170"/>
      <c r="I273" s="217" t="s">
        <v>488</v>
      </c>
      <c r="J273" s="198" t="s">
        <v>353</v>
      </c>
      <c r="K273" s="206">
        <f>10000*50%</f>
        <v>5000</v>
      </c>
      <c r="L273" s="174" t="s">
        <v>111</v>
      </c>
      <c r="M273" s="175" t="s">
        <v>489</v>
      </c>
      <c r="AV273" s="138"/>
      <c r="AW273" s="138"/>
      <c r="AX273" s="138"/>
      <c r="AY273" s="138"/>
      <c r="AZ273" s="138"/>
      <c r="BA273" s="138"/>
      <c r="BB273" s="138"/>
      <c r="BC273" s="138"/>
      <c r="BD273" s="138"/>
      <c r="BE273" s="138"/>
      <c r="BF273" s="138"/>
      <c r="BG273" s="138"/>
      <c r="BH273" s="138"/>
      <c r="BI273" s="138"/>
      <c r="BJ273" s="138"/>
      <c r="BK273" s="138"/>
      <c r="BL273" s="138"/>
      <c r="BM273" s="138"/>
      <c r="BN273" s="138"/>
      <c r="BO273" s="138"/>
    </row>
    <row r="274" spans="1:67" ht="24" customHeight="1" x14ac:dyDescent="0.2">
      <c r="A274" s="177"/>
      <c r="B274" s="178"/>
      <c r="C274" s="179"/>
      <c r="D274" s="243"/>
      <c r="E274" s="180"/>
      <c r="F274" s="180"/>
      <c r="G274" s="180"/>
      <c r="H274" s="180"/>
      <c r="I274" s="171" t="s">
        <v>490</v>
      </c>
      <c r="J274" s="172" t="s">
        <v>353</v>
      </c>
      <c r="K274" s="202">
        <f>10000*50%</f>
        <v>5000</v>
      </c>
      <c r="L274" s="184"/>
      <c r="M274" s="185"/>
      <c r="AV274" s="138"/>
      <c r="AW274" s="138"/>
      <c r="AX274" s="138"/>
      <c r="AY274" s="138"/>
      <c r="AZ274" s="138"/>
      <c r="BA274" s="138"/>
      <c r="BB274" s="138"/>
      <c r="BC274" s="138"/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</row>
    <row r="275" spans="1:67" ht="24" customHeight="1" x14ac:dyDescent="0.2">
      <c r="A275" s="189"/>
      <c r="B275" s="190"/>
      <c r="C275" s="191"/>
      <c r="D275" s="244"/>
      <c r="E275" s="192"/>
      <c r="F275" s="192"/>
      <c r="G275" s="192"/>
      <c r="H275" s="192"/>
      <c r="I275" s="203"/>
      <c r="J275" s="194"/>
      <c r="K275" s="195">
        <f>SUM(K273:K274)</f>
        <v>10000</v>
      </c>
      <c r="L275" s="196"/>
      <c r="M275" s="197"/>
      <c r="AV275" s="138"/>
      <c r="AW275" s="138"/>
      <c r="AX275" s="138"/>
      <c r="AY275" s="138"/>
      <c r="AZ275" s="138"/>
      <c r="BA275" s="138"/>
      <c r="BB275" s="138"/>
      <c r="BC275" s="138"/>
      <c r="BD275" s="138"/>
      <c r="BE275" s="138"/>
      <c r="BF275" s="138"/>
      <c r="BG275" s="138"/>
      <c r="BH275" s="138"/>
      <c r="BI275" s="138"/>
      <c r="BJ275" s="138"/>
      <c r="BK275" s="138"/>
      <c r="BL275" s="138"/>
      <c r="BM275" s="138"/>
      <c r="BN275" s="138"/>
      <c r="BO275" s="138"/>
    </row>
    <row r="276" spans="1:67" ht="24" customHeight="1" x14ac:dyDescent="0.2">
      <c r="A276" s="167">
        <v>72</v>
      </c>
      <c r="B276" s="168" t="s">
        <v>491</v>
      </c>
      <c r="C276" s="169"/>
      <c r="D276" s="250" t="s">
        <v>107</v>
      </c>
      <c r="E276" s="170"/>
      <c r="F276" s="170"/>
      <c r="G276" s="170"/>
      <c r="H276" s="170"/>
      <c r="I276" s="217" t="s">
        <v>492</v>
      </c>
      <c r="J276" s="172" t="s">
        <v>353</v>
      </c>
      <c r="K276" s="173">
        <f>4700*70%</f>
        <v>3290</v>
      </c>
      <c r="L276" s="174" t="s">
        <v>111</v>
      </c>
      <c r="M276" s="175" t="s">
        <v>493</v>
      </c>
      <c r="AV276" s="138"/>
      <c r="AW276" s="138"/>
      <c r="AX276" s="138"/>
      <c r="AY276" s="138"/>
      <c r="AZ276" s="138"/>
      <c r="BA276" s="138"/>
      <c r="BB276" s="138"/>
      <c r="BC276" s="138"/>
      <c r="BD276" s="138"/>
      <c r="BE276" s="138"/>
      <c r="BF276" s="138"/>
      <c r="BG276" s="138"/>
      <c r="BH276" s="138"/>
      <c r="BI276" s="138"/>
      <c r="BJ276" s="138"/>
      <c r="BK276" s="138"/>
      <c r="BL276" s="138"/>
      <c r="BM276" s="138"/>
      <c r="BN276" s="138"/>
      <c r="BO276" s="138"/>
    </row>
    <row r="277" spans="1:67" ht="24" customHeight="1" x14ac:dyDescent="0.2">
      <c r="A277" s="177"/>
      <c r="B277" s="178"/>
      <c r="C277" s="179"/>
      <c r="D277" s="243"/>
      <c r="E277" s="180"/>
      <c r="F277" s="180"/>
      <c r="G277" s="180"/>
      <c r="H277" s="180"/>
      <c r="I277" s="171" t="s">
        <v>494</v>
      </c>
      <c r="J277" s="182" t="s">
        <v>353</v>
      </c>
      <c r="K277" s="208">
        <f>4700*30%</f>
        <v>1410</v>
      </c>
      <c r="L277" s="184"/>
      <c r="M277" s="185"/>
      <c r="AV277" s="138"/>
      <c r="AW277" s="138"/>
      <c r="AX277" s="138"/>
      <c r="AY277" s="138"/>
      <c r="AZ277" s="138"/>
      <c r="BA277" s="138"/>
      <c r="BB277" s="138"/>
      <c r="BC277" s="138"/>
      <c r="BD277" s="138"/>
      <c r="BE277" s="138"/>
      <c r="BF277" s="138"/>
      <c r="BG277" s="138"/>
      <c r="BH277" s="138"/>
      <c r="BI277" s="138"/>
      <c r="BJ277" s="138"/>
      <c r="BK277" s="138"/>
      <c r="BL277" s="138"/>
      <c r="BM277" s="138"/>
      <c r="BN277" s="138"/>
      <c r="BO277" s="138"/>
    </row>
    <row r="278" spans="1:67" ht="24" customHeight="1" x14ac:dyDescent="0.2">
      <c r="A278" s="189"/>
      <c r="B278" s="190"/>
      <c r="C278" s="191"/>
      <c r="D278" s="244"/>
      <c r="E278" s="192"/>
      <c r="F278" s="192"/>
      <c r="G278" s="192"/>
      <c r="H278" s="192"/>
      <c r="I278" s="203"/>
      <c r="J278" s="215"/>
      <c r="K278" s="209">
        <f>SUM(K276:K277)</f>
        <v>4700</v>
      </c>
      <c r="L278" s="196"/>
      <c r="M278" s="197"/>
      <c r="AV278" s="138"/>
      <c r="AW278" s="138"/>
      <c r="AX278" s="138"/>
      <c r="AY278" s="138"/>
      <c r="AZ278" s="138"/>
      <c r="BA278" s="138"/>
      <c r="BB278" s="138"/>
      <c r="BC278" s="138"/>
      <c r="BD278" s="138"/>
      <c r="BE278" s="138"/>
      <c r="BF278" s="138"/>
      <c r="BG278" s="138"/>
      <c r="BH278" s="138"/>
      <c r="BI278" s="138"/>
      <c r="BJ278" s="138"/>
      <c r="BK278" s="138"/>
      <c r="BL278" s="138"/>
      <c r="BM278" s="138"/>
      <c r="BN278" s="138"/>
      <c r="BO278" s="138"/>
    </row>
    <row r="279" spans="1:67" ht="24" customHeight="1" x14ac:dyDescent="0.2">
      <c r="A279" s="167">
        <v>73</v>
      </c>
      <c r="B279" s="168" t="s">
        <v>495</v>
      </c>
      <c r="C279" s="169"/>
      <c r="D279" s="250" t="s">
        <v>107</v>
      </c>
      <c r="E279" s="170"/>
      <c r="F279" s="170"/>
      <c r="G279" s="170"/>
      <c r="H279" s="170"/>
      <c r="I279" s="217" t="s">
        <v>496</v>
      </c>
      <c r="J279" s="172" t="s">
        <v>353</v>
      </c>
      <c r="K279" s="173">
        <f>18000*100%</f>
        <v>18000</v>
      </c>
      <c r="L279" s="174" t="s">
        <v>111</v>
      </c>
      <c r="M279" s="175" t="s">
        <v>497</v>
      </c>
      <c r="AV279" s="138"/>
      <c r="AW279" s="138"/>
      <c r="AX279" s="138"/>
      <c r="AY279" s="138"/>
      <c r="AZ279" s="138"/>
      <c r="BA279" s="138"/>
      <c r="BB279" s="138"/>
      <c r="BC279" s="138"/>
      <c r="BD279" s="138"/>
      <c r="BE279" s="138"/>
      <c r="BF279" s="138"/>
      <c r="BG279" s="138"/>
      <c r="BH279" s="138"/>
      <c r="BI279" s="138"/>
      <c r="BJ279" s="138"/>
      <c r="BK279" s="138"/>
      <c r="BL279" s="138"/>
      <c r="BM279" s="138"/>
      <c r="BN279" s="138"/>
      <c r="BO279" s="138"/>
    </row>
    <row r="280" spans="1:67" ht="24" customHeight="1" x14ac:dyDescent="0.2">
      <c r="A280" s="189"/>
      <c r="B280" s="190"/>
      <c r="C280" s="191"/>
      <c r="D280" s="244"/>
      <c r="E280" s="192"/>
      <c r="F280" s="192"/>
      <c r="G280" s="192"/>
      <c r="H280" s="192"/>
      <c r="I280" s="193"/>
      <c r="J280" s="194"/>
      <c r="K280" s="195">
        <f>SUM(K279)</f>
        <v>18000</v>
      </c>
      <c r="L280" s="196"/>
      <c r="M280" s="197"/>
      <c r="AV280" s="138"/>
      <c r="AW280" s="138"/>
      <c r="AX280" s="138"/>
      <c r="AY280" s="138"/>
      <c r="AZ280" s="138"/>
      <c r="BA280" s="138"/>
      <c r="BB280" s="138"/>
      <c r="BC280" s="138"/>
      <c r="BD280" s="138"/>
      <c r="BE280" s="138"/>
      <c r="BF280" s="138"/>
      <c r="BG280" s="138"/>
      <c r="BH280" s="138"/>
      <c r="BI280" s="138"/>
      <c r="BJ280" s="138"/>
      <c r="BK280" s="138"/>
      <c r="BL280" s="138"/>
      <c r="BM280" s="138"/>
      <c r="BN280" s="138"/>
      <c r="BO280" s="138"/>
    </row>
    <row r="281" spans="1:67" ht="24" customHeight="1" x14ac:dyDescent="0.2">
      <c r="A281" s="292">
        <v>74</v>
      </c>
      <c r="B281" s="168" t="s">
        <v>477</v>
      </c>
      <c r="C281" s="169"/>
      <c r="D281" s="260" t="s">
        <v>107</v>
      </c>
      <c r="E281" s="261"/>
      <c r="F281" s="261"/>
      <c r="G281" s="261"/>
      <c r="H281" s="261"/>
      <c r="I281" s="280" t="s">
        <v>478</v>
      </c>
      <c r="J281" s="281" t="s">
        <v>353</v>
      </c>
      <c r="K281" s="210">
        <v>10000</v>
      </c>
      <c r="L281" s="293" t="s">
        <v>111</v>
      </c>
      <c r="M281" s="172" t="s">
        <v>479</v>
      </c>
      <c r="AV281" s="138"/>
      <c r="AW281" s="138"/>
      <c r="AX281" s="138"/>
      <c r="AY281" s="138"/>
      <c r="AZ281" s="138"/>
      <c r="BA281" s="138"/>
      <c r="BB281" s="138"/>
      <c r="BC281" s="138"/>
      <c r="BD281" s="138"/>
      <c r="BE281" s="138"/>
      <c r="BF281" s="138"/>
      <c r="BG281" s="138"/>
      <c r="BH281" s="138"/>
      <c r="BI281" s="138"/>
      <c r="BJ281" s="138"/>
      <c r="BK281" s="138"/>
      <c r="BL281" s="138"/>
      <c r="BM281" s="138"/>
      <c r="BN281" s="138"/>
      <c r="BO281" s="138"/>
    </row>
    <row r="282" spans="1:67" ht="24" customHeight="1" x14ac:dyDescent="0.2">
      <c r="A282" s="292">
        <v>75</v>
      </c>
      <c r="B282" s="168" t="s">
        <v>480</v>
      </c>
      <c r="C282" s="169"/>
      <c r="D282" s="294" t="s">
        <v>107</v>
      </c>
      <c r="E282" s="295"/>
      <c r="F282" s="295"/>
      <c r="G282" s="295"/>
      <c r="H282" s="295"/>
      <c r="I282" s="193" t="s">
        <v>481</v>
      </c>
      <c r="J282" s="215" t="s">
        <v>353</v>
      </c>
      <c r="K282" s="173">
        <v>10000</v>
      </c>
      <c r="L282" s="293" t="s">
        <v>111</v>
      </c>
      <c r="M282" s="259" t="s">
        <v>482</v>
      </c>
      <c r="AV282" s="138"/>
      <c r="AW282" s="138"/>
      <c r="AX282" s="138"/>
      <c r="AY282" s="138"/>
      <c r="AZ282" s="138"/>
      <c r="BA282" s="138"/>
      <c r="BB282" s="138"/>
      <c r="BC282" s="138"/>
      <c r="BD282" s="138"/>
      <c r="BE282" s="138"/>
      <c r="BF282" s="138"/>
      <c r="BG282" s="138"/>
      <c r="BH282" s="138"/>
      <c r="BI282" s="138"/>
      <c r="BJ282" s="138"/>
      <c r="BK282" s="138"/>
      <c r="BL282" s="138"/>
      <c r="BM282" s="138"/>
      <c r="BN282" s="138"/>
      <c r="BO282" s="138"/>
    </row>
    <row r="283" spans="1:67" ht="24" customHeight="1" x14ac:dyDescent="0.2">
      <c r="A283" s="167">
        <v>76</v>
      </c>
      <c r="B283" s="168" t="s">
        <v>483</v>
      </c>
      <c r="C283" s="169"/>
      <c r="D283" s="250" t="s">
        <v>107</v>
      </c>
      <c r="E283" s="170"/>
      <c r="F283" s="170"/>
      <c r="G283" s="170"/>
      <c r="H283" s="170"/>
      <c r="I283" s="217" t="s">
        <v>484</v>
      </c>
      <c r="J283" s="198" t="s">
        <v>353</v>
      </c>
      <c r="K283" s="206">
        <f>10000*50%</f>
        <v>5000</v>
      </c>
      <c r="L283" s="174" t="s">
        <v>111</v>
      </c>
      <c r="M283" s="175" t="s">
        <v>485</v>
      </c>
      <c r="AV283" s="138"/>
      <c r="AW283" s="138"/>
      <c r="AX283" s="138"/>
      <c r="AY283" s="138"/>
      <c r="AZ283" s="138"/>
      <c r="BA283" s="138"/>
      <c r="BB283" s="138"/>
      <c r="BC283" s="138"/>
      <c r="BD283" s="138"/>
      <c r="BE283" s="138"/>
      <c r="BF283" s="138"/>
      <c r="BG283" s="138"/>
      <c r="BH283" s="138"/>
      <c r="BI283" s="138"/>
      <c r="BJ283" s="138"/>
      <c r="BK283" s="138"/>
      <c r="BL283" s="138"/>
      <c r="BM283" s="138"/>
      <c r="BN283" s="138"/>
      <c r="BO283" s="138"/>
    </row>
    <row r="284" spans="1:67" ht="24" customHeight="1" x14ac:dyDescent="0.2">
      <c r="A284" s="177"/>
      <c r="B284" s="178"/>
      <c r="C284" s="179"/>
      <c r="D284" s="243"/>
      <c r="E284" s="180"/>
      <c r="F284" s="180"/>
      <c r="G284" s="180"/>
      <c r="H284" s="180"/>
      <c r="I284" s="188" t="s">
        <v>486</v>
      </c>
      <c r="J284" s="172" t="s">
        <v>353</v>
      </c>
      <c r="K284" s="202">
        <f>10000*50%</f>
        <v>5000</v>
      </c>
      <c r="L284" s="184"/>
      <c r="M284" s="185"/>
      <c r="AV284" s="138"/>
      <c r="AW284" s="138"/>
      <c r="AX284" s="138"/>
      <c r="AY284" s="138"/>
      <c r="AZ284" s="138"/>
      <c r="BA284" s="138"/>
      <c r="BB284" s="138"/>
      <c r="BC284" s="138"/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/>
      <c r="BN284" s="138"/>
      <c r="BO284" s="138"/>
    </row>
    <row r="285" spans="1:67" ht="24" customHeight="1" x14ac:dyDescent="0.2">
      <c r="A285" s="189"/>
      <c r="B285" s="190"/>
      <c r="C285" s="191"/>
      <c r="D285" s="244"/>
      <c r="E285" s="192"/>
      <c r="F285" s="192"/>
      <c r="G285" s="192"/>
      <c r="H285" s="192"/>
      <c r="I285" s="193"/>
      <c r="J285" s="194"/>
      <c r="K285" s="195">
        <f>SUM(K283:K284)</f>
        <v>10000</v>
      </c>
      <c r="L285" s="196"/>
      <c r="M285" s="197"/>
      <c r="AV285" s="138"/>
      <c r="AW285" s="138"/>
      <c r="AX285" s="138"/>
      <c r="AY285" s="138"/>
      <c r="AZ285" s="138"/>
      <c r="BA285" s="138"/>
      <c r="BB285" s="138"/>
      <c r="BC285" s="138"/>
      <c r="BD285" s="138"/>
      <c r="BE285" s="138"/>
      <c r="BF285" s="138"/>
      <c r="BG285" s="138"/>
      <c r="BH285" s="138"/>
      <c r="BI285" s="138"/>
      <c r="BJ285" s="138"/>
      <c r="BK285" s="138"/>
      <c r="BL285" s="138"/>
      <c r="BM285" s="138"/>
      <c r="BN285" s="138"/>
      <c r="BO285" s="138"/>
    </row>
    <row r="286" spans="1:67" ht="24" customHeight="1" x14ac:dyDescent="0.2">
      <c r="A286" s="167">
        <v>77</v>
      </c>
      <c r="B286" s="168" t="s">
        <v>487</v>
      </c>
      <c r="C286" s="169"/>
      <c r="D286" s="250" t="s">
        <v>107</v>
      </c>
      <c r="E286" s="170"/>
      <c r="F286" s="170"/>
      <c r="G286" s="170"/>
      <c r="H286" s="170"/>
      <c r="I286" s="217" t="s">
        <v>488</v>
      </c>
      <c r="J286" s="198" t="s">
        <v>353</v>
      </c>
      <c r="K286" s="206">
        <f>10000*50%</f>
        <v>5000</v>
      </c>
      <c r="L286" s="174" t="s">
        <v>111</v>
      </c>
      <c r="M286" s="175" t="s">
        <v>489</v>
      </c>
      <c r="AV286" s="138"/>
      <c r="AW286" s="138"/>
      <c r="AX286" s="138"/>
      <c r="AY286" s="138"/>
      <c r="AZ286" s="138"/>
      <c r="BA286" s="138"/>
      <c r="BB286" s="138"/>
      <c r="BC286" s="138"/>
      <c r="BD286" s="138"/>
      <c r="BE286" s="138"/>
      <c r="BF286" s="138"/>
      <c r="BG286" s="138"/>
      <c r="BH286" s="138"/>
      <c r="BI286" s="138"/>
      <c r="BJ286" s="138"/>
      <c r="BK286" s="138"/>
      <c r="BL286" s="138"/>
      <c r="BM286" s="138"/>
      <c r="BN286" s="138"/>
      <c r="BO286" s="138"/>
    </row>
    <row r="287" spans="1:67" ht="24" customHeight="1" x14ac:dyDescent="0.2">
      <c r="A287" s="177"/>
      <c r="B287" s="178"/>
      <c r="C287" s="179"/>
      <c r="D287" s="243"/>
      <c r="E287" s="180"/>
      <c r="F287" s="180"/>
      <c r="G287" s="180"/>
      <c r="H287" s="180"/>
      <c r="I287" s="171" t="s">
        <v>490</v>
      </c>
      <c r="J287" s="172" t="s">
        <v>353</v>
      </c>
      <c r="K287" s="202">
        <f>10000*50%</f>
        <v>5000</v>
      </c>
      <c r="L287" s="184"/>
      <c r="M287" s="185"/>
      <c r="AV287" s="138"/>
      <c r="AW287" s="138"/>
      <c r="AX287" s="138"/>
      <c r="AY287" s="138"/>
      <c r="AZ287" s="138"/>
      <c r="BA287" s="138"/>
      <c r="BB287" s="138"/>
      <c r="BC287" s="138"/>
      <c r="BD287" s="138"/>
      <c r="BE287" s="138"/>
      <c r="BF287" s="138"/>
      <c r="BG287" s="138"/>
      <c r="BH287" s="138"/>
      <c r="BI287" s="138"/>
      <c r="BJ287" s="138"/>
      <c r="BK287" s="138"/>
      <c r="BL287" s="138"/>
      <c r="BM287" s="138"/>
      <c r="BN287" s="138"/>
      <c r="BO287" s="138"/>
    </row>
    <row r="288" spans="1:67" ht="24" customHeight="1" x14ac:dyDescent="0.2">
      <c r="A288" s="189"/>
      <c r="B288" s="190"/>
      <c r="C288" s="191"/>
      <c r="D288" s="244"/>
      <c r="E288" s="192"/>
      <c r="F288" s="192"/>
      <c r="G288" s="192"/>
      <c r="H288" s="192"/>
      <c r="I288" s="203"/>
      <c r="J288" s="194"/>
      <c r="K288" s="195">
        <f>SUM(K286:K287)</f>
        <v>10000</v>
      </c>
      <c r="L288" s="196"/>
      <c r="M288" s="197"/>
      <c r="AV288" s="138"/>
      <c r="AW288" s="138"/>
      <c r="AX288" s="138"/>
      <c r="AY288" s="138"/>
      <c r="AZ288" s="138"/>
      <c r="BA288" s="138"/>
      <c r="BB288" s="138"/>
      <c r="BC288" s="138"/>
      <c r="BD288" s="138"/>
      <c r="BE288" s="138"/>
      <c r="BF288" s="138"/>
      <c r="BG288" s="138"/>
      <c r="BH288" s="138"/>
      <c r="BI288" s="138"/>
      <c r="BJ288" s="138"/>
      <c r="BK288" s="138"/>
      <c r="BL288" s="138"/>
      <c r="BM288" s="138"/>
      <c r="BN288" s="138"/>
      <c r="BO288" s="138"/>
    </row>
    <row r="289" spans="1:67" ht="24" customHeight="1" x14ac:dyDescent="0.2">
      <c r="A289" s="167">
        <v>78</v>
      </c>
      <c r="B289" s="168" t="s">
        <v>491</v>
      </c>
      <c r="C289" s="169"/>
      <c r="D289" s="250" t="s">
        <v>107</v>
      </c>
      <c r="E289" s="170"/>
      <c r="F289" s="170"/>
      <c r="G289" s="170"/>
      <c r="H289" s="170"/>
      <c r="I289" s="217" t="s">
        <v>492</v>
      </c>
      <c r="J289" s="172" t="s">
        <v>353</v>
      </c>
      <c r="K289" s="173">
        <f>4700*70%</f>
        <v>3290</v>
      </c>
      <c r="L289" s="174" t="s">
        <v>111</v>
      </c>
      <c r="M289" s="175" t="s">
        <v>493</v>
      </c>
      <c r="AV289" s="138"/>
      <c r="AW289" s="138"/>
      <c r="AX289" s="138"/>
      <c r="AY289" s="138"/>
      <c r="AZ289" s="138"/>
      <c r="BA289" s="138"/>
      <c r="BB289" s="138"/>
      <c r="BC289" s="138"/>
      <c r="BD289" s="138"/>
      <c r="BE289" s="138"/>
      <c r="BF289" s="138"/>
      <c r="BG289" s="138"/>
      <c r="BH289" s="138"/>
      <c r="BI289" s="138"/>
      <c r="BJ289" s="138"/>
      <c r="BK289" s="138"/>
      <c r="BL289" s="138"/>
      <c r="BM289" s="138"/>
      <c r="BN289" s="138"/>
      <c r="BO289" s="138"/>
    </row>
    <row r="290" spans="1:67" ht="24" customHeight="1" x14ac:dyDescent="0.2">
      <c r="A290" s="177"/>
      <c r="B290" s="178"/>
      <c r="C290" s="179"/>
      <c r="D290" s="243"/>
      <c r="E290" s="180"/>
      <c r="F290" s="180"/>
      <c r="G290" s="180"/>
      <c r="H290" s="180"/>
      <c r="I290" s="171" t="s">
        <v>494</v>
      </c>
      <c r="J290" s="182" t="s">
        <v>353</v>
      </c>
      <c r="K290" s="208">
        <f>4700*30%</f>
        <v>1410</v>
      </c>
      <c r="L290" s="184"/>
      <c r="M290" s="185"/>
      <c r="AV290" s="138"/>
      <c r="AW290" s="138"/>
      <c r="AX290" s="138"/>
      <c r="AY290" s="138"/>
      <c r="AZ290" s="138"/>
      <c r="BA290" s="138"/>
      <c r="BB290" s="138"/>
      <c r="BC290" s="138"/>
      <c r="BD290" s="138"/>
      <c r="BE290" s="138"/>
      <c r="BF290" s="138"/>
      <c r="BG290" s="138"/>
      <c r="BH290" s="138"/>
      <c r="BI290" s="138"/>
      <c r="BJ290" s="138"/>
      <c r="BK290" s="138"/>
      <c r="BL290" s="138"/>
      <c r="BM290" s="138"/>
      <c r="BN290" s="138"/>
      <c r="BO290" s="138"/>
    </row>
    <row r="291" spans="1:67" ht="36.75" customHeight="1" x14ac:dyDescent="0.2">
      <c r="A291" s="189"/>
      <c r="B291" s="190"/>
      <c r="C291" s="191"/>
      <c r="D291" s="244"/>
      <c r="E291" s="192"/>
      <c r="F291" s="192"/>
      <c r="G291" s="192"/>
      <c r="H291" s="192"/>
      <c r="I291" s="203"/>
      <c r="J291" s="215"/>
      <c r="K291" s="209">
        <f>SUM(K289:K290)</f>
        <v>4700</v>
      </c>
      <c r="L291" s="196"/>
      <c r="M291" s="197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</row>
    <row r="292" spans="1:67" ht="24" customHeight="1" x14ac:dyDescent="0.2">
      <c r="A292" s="292">
        <v>79</v>
      </c>
      <c r="B292" s="168" t="s">
        <v>495</v>
      </c>
      <c r="C292" s="169"/>
      <c r="D292" s="294" t="s">
        <v>107</v>
      </c>
      <c r="E292" s="295"/>
      <c r="F292" s="295"/>
      <c r="G292" s="295"/>
      <c r="H292" s="295"/>
      <c r="I292" s="296" t="s">
        <v>496</v>
      </c>
      <c r="J292" s="172" t="s">
        <v>353</v>
      </c>
      <c r="K292" s="173">
        <v>18000</v>
      </c>
      <c r="L292" s="297" t="s">
        <v>111</v>
      </c>
      <c r="M292" s="259" t="s">
        <v>497</v>
      </c>
      <c r="AV292" s="138"/>
      <c r="AW292" s="138"/>
      <c r="AX292" s="138"/>
      <c r="AY292" s="138"/>
      <c r="AZ292" s="138"/>
      <c r="BA292" s="138"/>
      <c r="BB292" s="138"/>
      <c r="BC292" s="138"/>
      <c r="BD292" s="138"/>
      <c r="BE292" s="138"/>
      <c r="BF292" s="138"/>
      <c r="BG292" s="138"/>
      <c r="BH292" s="138"/>
      <c r="BI292" s="138"/>
      <c r="BJ292" s="138"/>
      <c r="BK292" s="138"/>
      <c r="BL292" s="138"/>
      <c r="BM292" s="138"/>
      <c r="BN292" s="138"/>
      <c r="BO292" s="138"/>
    </row>
    <row r="293" spans="1:67" s="267" customFormat="1" ht="48.75" customHeight="1" x14ac:dyDescent="0.2">
      <c r="A293" s="292">
        <v>80</v>
      </c>
      <c r="B293" s="298" t="s">
        <v>498</v>
      </c>
      <c r="C293" s="299"/>
      <c r="D293" s="295" t="s">
        <v>107</v>
      </c>
      <c r="E293" s="295"/>
      <c r="F293" s="295"/>
      <c r="G293" s="295"/>
      <c r="H293" s="295"/>
      <c r="I293" s="280" t="s">
        <v>499</v>
      </c>
      <c r="J293" s="300" t="s">
        <v>353</v>
      </c>
      <c r="K293" s="282">
        <v>10000</v>
      </c>
      <c r="L293" s="293" t="s">
        <v>111</v>
      </c>
      <c r="M293" s="259" t="s">
        <v>500</v>
      </c>
      <c r="N293" s="176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8"/>
      <c r="BC293" s="138"/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</row>
    <row r="294" spans="1:67" s="267" customFormat="1" ht="24" customHeight="1" x14ac:dyDescent="0.2">
      <c r="A294" s="167">
        <v>81</v>
      </c>
      <c r="B294" s="301" t="s">
        <v>501</v>
      </c>
      <c r="C294" s="302"/>
      <c r="D294" s="170" t="s">
        <v>107</v>
      </c>
      <c r="E294" s="170"/>
      <c r="F294" s="170"/>
      <c r="G294" s="170"/>
      <c r="H294" s="170" t="s">
        <v>164</v>
      </c>
      <c r="I294" s="274" t="s">
        <v>502</v>
      </c>
      <c r="J294" s="275" t="s">
        <v>353</v>
      </c>
      <c r="K294" s="276">
        <f>10000*70%</f>
        <v>7000</v>
      </c>
      <c r="L294" s="175" t="s">
        <v>111</v>
      </c>
      <c r="M294" s="175" t="s">
        <v>503</v>
      </c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</row>
    <row r="295" spans="1:67" s="267" customFormat="1" ht="24" customHeight="1" x14ac:dyDescent="0.2">
      <c r="A295" s="177"/>
      <c r="B295" s="286"/>
      <c r="C295" s="287"/>
      <c r="D295" s="180"/>
      <c r="E295" s="180"/>
      <c r="F295" s="180"/>
      <c r="G295" s="180"/>
      <c r="H295" s="180"/>
      <c r="I295" s="188" t="s">
        <v>504</v>
      </c>
      <c r="J295" s="270" t="s">
        <v>353</v>
      </c>
      <c r="K295" s="214">
        <f>10000*10%</f>
        <v>1000</v>
      </c>
      <c r="L295" s="185"/>
      <c r="M295" s="185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38"/>
      <c r="AX295" s="138"/>
      <c r="AY295" s="138"/>
      <c r="AZ295" s="138"/>
      <c r="BA295" s="138"/>
      <c r="BB295" s="138"/>
      <c r="BC295" s="138"/>
      <c r="BD295" s="138"/>
      <c r="BE295" s="138"/>
      <c r="BF295" s="138"/>
      <c r="BG295" s="138"/>
      <c r="BH295" s="138"/>
      <c r="BI295" s="138"/>
      <c r="BJ295" s="138"/>
      <c r="BK295" s="138"/>
      <c r="BL295" s="138"/>
      <c r="BM295" s="138"/>
      <c r="BN295" s="138"/>
      <c r="BO295" s="138"/>
    </row>
    <row r="296" spans="1:67" s="267" customFormat="1" ht="24" customHeight="1" x14ac:dyDescent="0.2">
      <c r="A296" s="177"/>
      <c r="B296" s="286"/>
      <c r="C296" s="287"/>
      <c r="D296" s="180"/>
      <c r="E296" s="180"/>
      <c r="F296" s="180"/>
      <c r="G296" s="180"/>
      <c r="H296" s="180"/>
      <c r="I296" s="188" t="s">
        <v>505</v>
      </c>
      <c r="J296" s="270" t="s">
        <v>353</v>
      </c>
      <c r="K296" s="214">
        <f t="shared" ref="K296:K297" si="4">10000*10%</f>
        <v>1000</v>
      </c>
      <c r="L296" s="185"/>
      <c r="M296" s="185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  <c r="BE296" s="138"/>
      <c r="BF296" s="138"/>
      <c r="BG296" s="138"/>
      <c r="BH296" s="138"/>
      <c r="BI296" s="138"/>
      <c r="BJ296" s="138"/>
      <c r="BK296" s="138"/>
      <c r="BL296" s="138"/>
      <c r="BM296" s="138"/>
      <c r="BN296" s="138"/>
      <c r="BO296" s="138"/>
    </row>
    <row r="297" spans="1:67" s="267" customFormat="1" ht="24" customHeight="1" x14ac:dyDescent="0.2">
      <c r="A297" s="177"/>
      <c r="B297" s="286"/>
      <c r="C297" s="287"/>
      <c r="D297" s="180"/>
      <c r="E297" s="180"/>
      <c r="F297" s="180"/>
      <c r="G297" s="180"/>
      <c r="H297" s="180"/>
      <c r="I297" s="188" t="s">
        <v>506</v>
      </c>
      <c r="J297" s="270" t="s">
        <v>353</v>
      </c>
      <c r="K297" s="214">
        <f t="shared" si="4"/>
        <v>1000</v>
      </c>
      <c r="L297" s="185"/>
      <c r="M297" s="185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  <c r="BE297" s="138"/>
      <c r="BF297" s="138"/>
      <c r="BG297" s="138"/>
      <c r="BH297" s="138"/>
      <c r="BI297" s="138"/>
      <c r="BJ297" s="138"/>
      <c r="BK297" s="138"/>
      <c r="BL297" s="138"/>
      <c r="BM297" s="138"/>
      <c r="BN297" s="138"/>
      <c r="BO297" s="138"/>
    </row>
    <row r="298" spans="1:67" s="267" customFormat="1" ht="24" customHeight="1" x14ac:dyDescent="0.2">
      <c r="A298" s="189"/>
      <c r="B298" s="303"/>
      <c r="C298" s="304"/>
      <c r="D298" s="192"/>
      <c r="E298" s="192"/>
      <c r="F298" s="192"/>
      <c r="G298" s="192"/>
      <c r="H298" s="192"/>
      <c r="I298" s="181"/>
      <c r="J298" s="305"/>
      <c r="K298" s="199">
        <f>SUM(K294:K297)</f>
        <v>10000</v>
      </c>
      <c r="L298" s="197"/>
      <c r="M298" s="197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</row>
    <row r="299" spans="1:67" ht="24" customHeight="1" x14ac:dyDescent="0.2">
      <c r="A299" s="167">
        <v>82</v>
      </c>
      <c r="B299" s="168" t="s">
        <v>507</v>
      </c>
      <c r="C299" s="169"/>
      <c r="D299" s="170" t="s">
        <v>107</v>
      </c>
      <c r="E299" s="170"/>
      <c r="F299" s="170"/>
      <c r="G299" s="170"/>
      <c r="H299" s="170" t="s">
        <v>137</v>
      </c>
      <c r="I299" s="217" t="s">
        <v>508</v>
      </c>
      <c r="J299" s="198" t="s">
        <v>246</v>
      </c>
      <c r="K299" s="306">
        <f>K302*90%</f>
        <v>3600</v>
      </c>
      <c r="L299" s="169" t="s">
        <v>111</v>
      </c>
      <c r="M299" s="175" t="s">
        <v>509</v>
      </c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</row>
    <row r="300" spans="1:67" ht="24" customHeight="1" x14ac:dyDescent="0.2">
      <c r="A300" s="177"/>
      <c r="B300" s="178"/>
      <c r="C300" s="179"/>
      <c r="D300" s="180"/>
      <c r="E300" s="180"/>
      <c r="F300" s="180"/>
      <c r="G300" s="180"/>
      <c r="H300" s="180"/>
      <c r="I300" s="188" t="s">
        <v>180</v>
      </c>
      <c r="J300" s="172" t="s">
        <v>246</v>
      </c>
      <c r="K300" s="199">
        <f>K302*5%</f>
        <v>200</v>
      </c>
      <c r="L300" s="179"/>
      <c r="M300" s="185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</row>
    <row r="301" spans="1:67" ht="24" customHeight="1" x14ac:dyDescent="0.2">
      <c r="A301" s="177"/>
      <c r="B301" s="178"/>
      <c r="C301" s="179"/>
      <c r="D301" s="180"/>
      <c r="E301" s="180"/>
      <c r="F301" s="180"/>
      <c r="G301" s="180"/>
      <c r="H301" s="180"/>
      <c r="I301" s="171" t="s">
        <v>510</v>
      </c>
      <c r="J301" s="187" t="s">
        <v>390</v>
      </c>
      <c r="K301" s="201">
        <f>K302*5%</f>
        <v>200</v>
      </c>
      <c r="L301" s="179"/>
      <c r="M301" s="185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</row>
    <row r="302" spans="1:67" ht="24" customHeight="1" x14ac:dyDescent="0.2">
      <c r="A302" s="189"/>
      <c r="B302" s="190"/>
      <c r="C302" s="191"/>
      <c r="D302" s="192"/>
      <c r="E302" s="192"/>
      <c r="F302" s="192"/>
      <c r="G302" s="192"/>
      <c r="H302" s="192"/>
      <c r="I302" s="203"/>
      <c r="J302" s="194"/>
      <c r="K302" s="211">
        <v>4000</v>
      </c>
      <c r="L302" s="191"/>
      <c r="M302" s="197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</row>
    <row r="303" spans="1:67" ht="23.25" customHeight="1" x14ac:dyDescent="0.2">
      <c r="A303" s="167">
        <v>83</v>
      </c>
      <c r="B303" s="168" t="s">
        <v>511</v>
      </c>
      <c r="C303" s="169"/>
      <c r="D303" s="170" t="s">
        <v>107</v>
      </c>
      <c r="E303" s="170"/>
      <c r="F303" s="170"/>
      <c r="G303" s="170"/>
      <c r="H303" s="170"/>
      <c r="I303" s="171" t="s">
        <v>512</v>
      </c>
      <c r="J303" s="198" t="s">
        <v>246</v>
      </c>
      <c r="K303" s="173">
        <f>4000*70%</f>
        <v>2800</v>
      </c>
      <c r="L303" s="174" t="s">
        <v>111</v>
      </c>
      <c r="M303" s="175" t="s">
        <v>513</v>
      </c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</row>
    <row r="304" spans="1:67" ht="23.25" customHeight="1" x14ac:dyDescent="0.2">
      <c r="A304" s="177"/>
      <c r="B304" s="178"/>
      <c r="C304" s="179"/>
      <c r="D304" s="180"/>
      <c r="E304" s="180"/>
      <c r="F304" s="180"/>
      <c r="G304" s="180"/>
      <c r="H304" s="180"/>
      <c r="I304" s="181" t="s">
        <v>514</v>
      </c>
      <c r="J304" s="172" t="s">
        <v>246</v>
      </c>
      <c r="K304" s="229">
        <f>4000*10%</f>
        <v>400</v>
      </c>
      <c r="L304" s="184"/>
      <c r="M304" s="185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</row>
    <row r="305" spans="1:67" ht="23.25" customHeight="1" x14ac:dyDescent="0.2">
      <c r="A305" s="177"/>
      <c r="B305" s="178"/>
      <c r="C305" s="179"/>
      <c r="D305" s="180"/>
      <c r="E305" s="180"/>
      <c r="F305" s="180"/>
      <c r="G305" s="180"/>
      <c r="H305" s="180"/>
      <c r="I305" s="181" t="s">
        <v>515</v>
      </c>
      <c r="J305" s="187" t="s">
        <v>246</v>
      </c>
      <c r="K305" s="202">
        <f>4000*10%</f>
        <v>400</v>
      </c>
      <c r="L305" s="184"/>
      <c r="M305" s="185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</row>
    <row r="306" spans="1:67" ht="23.25" customHeight="1" x14ac:dyDescent="0.2">
      <c r="A306" s="177"/>
      <c r="B306" s="178"/>
      <c r="C306" s="179"/>
      <c r="D306" s="180"/>
      <c r="E306" s="180"/>
      <c r="F306" s="180"/>
      <c r="G306" s="180"/>
      <c r="H306" s="180"/>
      <c r="I306" s="188" t="s">
        <v>516</v>
      </c>
      <c r="J306" s="182" t="s">
        <v>390</v>
      </c>
      <c r="K306" s="208">
        <f>4000*10%</f>
        <v>400</v>
      </c>
      <c r="L306" s="184"/>
      <c r="M306" s="185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</row>
    <row r="307" spans="1:67" ht="23.25" customHeight="1" x14ac:dyDescent="0.2">
      <c r="A307" s="189"/>
      <c r="B307" s="190"/>
      <c r="C307" s="191"/>
      <c r="D307" s="192"/>
      <c r="E307" s="192"/>
      <c r="F307" s="192"/>
      <c r="G307" s="192"/>
      <c r="H307" s="192"/>
      <c r="I307" s="193"/>
      <c r="J307" s="194"/>
      <c r="K307" s="209">
        <f>SUM(K303:K306)</f>
        <v>4000</v>
      </c>
      <c r="L307" s="196"/>
      <c r="M307" s="197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</row>
    <row r="308" spans="1:67" x14ac:dyDescent="0.2">
      <c r="A308" s="167">
        <v>84</v>
      </c>
      <c r="B308" s="168" t="s">
        <v>517</v>
      </c>
      <c r="C308" s="169"/>
      <c r="D308" s="170" t="s">
        <v>107</v>
      </c>
      <c r="E308" s="170"/>
      <c r="F308" s="170"/>
      <c r="G308" s="170"/>
      <c r="H308" s="170"/>
      <c r="I308" s="171" t="s">
        <v>518</v>
      </c>
      <c r="J308" s="172" t="s">
        <v>390</v>
      </c>
      <c r="K308" s="173">
        <f>4800*60%</f>
        <v>2880</v>
      </c>
      <c r="L308" s="169" t="s">
        <v>111</v>
      </c>
      <c r="M308" s="175" t="s">
        <v>519</v>
      </c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</row>
    <row r="309" spans="1:67" x14ac:dyDescent="0.2">
      <c r="A309" s="177"/>
      <c r="B309" s="178"/>
      <c r="C309" s="179"/>
      <c r="D309" s="180"/>
      <c r="E309" s="180"/>
      <c r="F309" s="180"/>
      <c r="G309" s="180"/>
      <c r="H309" s="180"/>
      <c r="I309" s="188" t="s">
        <v>520</v>
      </c>
      <c r="J309" s="182" t="s">
        <v>390</v>
      </c>
      <c r="K309" s="183">
        <f>4800*40%</f>
        <v>1920</v>
      </c>
      <c r="L309" s="179"/>
      <c r="M309" s="185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</row>
    <row r="310" spans="1:67" x14ac:dyDescent="0.2">
      <c r="A310" s="189"/>
      <c r="B310" s="190"/>
      <c r="C310" s="191"/>
      <c r="D310" s="192"/>
      <c r="E310" s="192"/>
      <c r="F310" s="192"/>
      <c r="G310" s="192"/>
      <c r="H310" s="192"/>
      <c r="I310" s="203"/>
      <c r="J310" s="215"/>
      <c r="K310" s="205">
        <f>SUM(K308:K309)</f>
        <v>4800</v>
      </c>
      <c r="L310" s="191"/>
      <c r="M310" s="197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</row>
    <row r="311" spans="1:67" x14ac:dyDescent="0.2">
      <c r="A311" s="167">
        <v>85</v>
      </c>
      <c r="B311" s="168" t="s">
        <v>521</v>
      </c>
      <c r="C311" s="169"/>
      <c r="D311" s="170" t="s">
        <v>107</v>
      </c>
      <c r="E311" s="170"/>
      <c r="F311" s="170"/>
      <c r="G311" s="170"/>
      <c r="H311" s="170"/>
      <c r="I311" s="171" t="s">
        <v>518</v>
      </c>
      <c r="J311" s="172" t="s">
        <v>390</v>
      </c>
      <c r="K311" s="173">
        <f>4800*60%</f>
        <v>2880</v>
      </c>
      <c r="L311" s="169" t="s">
        <v>111</v>
      </c>
      <c r="M311" s="175" t="s">
        <v>522</v>
      </c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</row>
    <row r="312" spans="1:67" x14ac:dyDescent="0.2">
      <c r="A312" s="177"/>
      <c r="B312" s="178"/>
      <c r="C312" s="179"/>
      <c r="D312" s="180"/>
      <c r="E312" s="180"/>
      <c r="F312" s="180"/>
      <c r="G312" s="180"/>
      <c r="H312" s="180"/>
      <c r="I312" s="188" t="s">
        <v>520</v>
      </c>
      <c r="J312" s="187" t="s">
        <v>390</v>
      </c>
      <c r="K312" s="200">
        <f>4800*40%</f>
        <v>1920</v>
      </c>
      <c r="L312" s="179"/>
      <c r="M312" s="185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</row>
    <row r="313" spans="1:67" x14ac:dyDescent="0.2">
      <c r="A313" s="189"/>
      <c r="B313" s="190"/>
      <c r="C313" s="191"/>
      <c r="D313" s="192"/>
      <c r="E313" s="192"/>
      <c r="F313" s="192"/>
      <c r="G313" s="192"/>
      <c r="H313" s="192"/>
      <c r="I313" s="193"/>
      <c r="J313" s="194"/>
      <c r="K313" s="211">
        <f>SUM(K311:K312)</f>
        <v>4800</v>
      </c>
      <c r="L313" s="191"/>
      <c r="M313" s="197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</row>
    <row r="314" spans="1:67" ht="50.25" customHeight="1" x14ac:dyDescent="0.2">
      <c r="A314" s="292">
        <v>86</v>
      </c>
      <c r="B314" s="168" t="s">
        <v>523</v>
      </c>
      <c r="C314" s="169"/>
      <c r="D314" s="295" t="s">
        <v>107</v>
      </c>
      <c r="E314" s="295"/>
      <c r="F314" s="295"/>
      <c r="G314" s="295"/>
      <c r="H314" s="295"/>
      <c r="I314" s="171" t="s">
        <v>524</v>
      </c>
      <c r="J314" s="307" t="s">
        <v>390</v>
      </c>
      <c r="K314" s="173">
        <v>4800</v>
      </c>
      <c r="L314" s="293" t="s">
        <v>111</v>
      </c>
      <c r="M314" s="259" t="s">
        <v>525</v>
      </c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</row>
    <row r="315" spans="1:67" ht="23.25" customHeight="1" x14ac:dyDescent="0.2">
      <c r="A315" s="167">
        <v>87</v>
      </c>
      <c r="B315" s="168" t="s">
        <v>526</v>
      </c>
      <c r="C315" s="169"/>
      <c r="D315" s="170" t="s">
        <v>107</v>
      </c>
      <c r="E315" s="170"/>
      <c r="F315" s="170"/>
      <c r="G315" s="170"/>
      <c r="H315" s="170"/>
      <c r="I315" s="217" t="s">
        <v>527</v>
      </c>
      <c r="J315" s="198" t="s">
        <v>246</v>
      </c>
      <c r="K315" s="173">
        <f>5000*40%</f>
        <v>2000</v>
      </c>
      <c r="L315" s="174" t="s">
        <v>111</v>
      </c>
      <c r="M315" s="175" t="s">
        <v>528</v>
      </c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</row>
    <row r="316" spans="1:67" x14ac:dyDescent="0.2">
      <c r="A316" s="177"/>
      <c r="B316" s="178"/>
      <c r="C316" s="179"/>
      <c r="D316" s="180"/>
      <c r="E316" s="180"/>
      <c r="F316" s="180"/>
      <c r="G316" s="180"/>
      <c r="H316" s="180"/>
      <c r="I316" s="188" t="s">
        <v>529</v>
      </c>
      <c r="J316" s="207" t="s">
        <v>390</v>
      </c>
      <c r="K316" s="186">
        <f>5000*20%</f>
        <v>1000</v>
      </c>
      <c r="L316" s="184"/>
      <c r="M316" s="185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</row>
    <row r="317" spans="1:67" x14ac:dyDescent="0.2">
      <c r="A317" s="177"/>
      <c r="B317" s="178"/>
      <c r="C317" s="179"/>
      <c r="D317" s="180"/>
      <c r="E317" s="180"/>
      <c r="F317" s="180"/>
      <c r="G317" s="180"/>
      <c r="H317" s="180"/>
      <c r="I317" s="188" t="s">
        <v>530</v>
      </c>
      <c r="J317" s="207" t="s">
        <v>390</v>
      </c>
      <c r="K317" s="186">
        <f>5000*20%</f>
        <v>1000</v>
      </c>
      <c r="L317" s="184"/>
      <c r="M317" s="185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</row>
    <row r="318" spans="1:67" x14ac:dyDescent="0.2">
      <c r="A318" s="177"/>
      <c r="B318" s="178"/>
      <c r="C318" s="179"/>
      <c r="D318" s="180"/>
      <c r="E318" s="180"/>
      <c r="F318" s="180"/>
      <c r="G318" s="180"/>
      <c r="H318" s="180"/>
      <c r="I318" s="308" t="s">
        <v>531</v>
      </c>
      <c r="J318" s="207" t="s">
        <v>390</v>
      </c>
      <c r="K318" s="186">
        <f>5000*10%</f>
        <v>500</v>
      </c>
      <c r="L318" s="184"/>
      <c r="M318" s="185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</row>
    <row r="319" spans="1:67" x14ac:dyDescent="0.2">
      <c r="A319" s="177"/>
      <c r="B319" s="178"/>
      <c r="C319" s="179"/>
      <c r="D319" s="180"/>
      <c r="E319" s="180"/>
      <c r="F319" s="180"/>
      <c r="G319" s="180"/>
      <c r="H319" s="180"/>
      <c r="I319" s="309" t="s">
        <v>532</v>
      </c>
      <c r="J319" s="172" t="s">
        <v>390</v>
      </c>
      <c r="K319" s="186">
        <f>5000*10%</f>
        <v>500</v>
      </c>
      <c r="L319" s="184"/>
      <c r="M319" s="185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</row>
    <row r="320" spans="1:67" x14ac:dyDescent="0.2">
      <c r="A320" s="189"/>
      <c r="B320" s="190"/>
      <c r="C320" s="191"/>
      <c r="D320" s="192"/>
      <c r="E320" s="192"/>
      <c r="F320" s="192"/>
      <c r="G320" s="192"/>
      <c r="H320" s="192"/>
      <c r="I320" s="203"/>
      <c r="J320" s="194"/>
      <c r="K320" s="209">
        <f>SUM(K315:K319)</f>
        <v>5000</v>
      </c>
      <c r="L320" s="196"/>
      <c r="M320" s="197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</row>
    <row r="321" spans="1:67" ht="22.5" customHeight="1" x14ac:dyDescent="0.2">
      <c r="A321" s="310">
        <v>88</v>
      </c>
      <c r="B321" s="168" t="s">
        <v>533</v>
      </c>
      <c r="C321" s="169"/>
      <c r="D321" s="170" t="s">
        <v>107</v>
      </c>
      <c r="E321" s="170"/>
      <c r="F321" s="170"/>
      <c r="G321" s="170"/>
      <c r="H321" s="170"/>
      <c r="I321" s="217" t="s">
        <v>534</v>
      </c>
      <c r="J321" s="172" t="s">
        <v>390</v>
      </c>
      <c r="K321" s="173">
        <f>6300*20%</f>
        <v>1260</v>
      </c>
      <c r="L321" s="174" t="s">
        <v>111</v>
      </c>
      <c r="M321" s="175" t="s">
        <v>535</v>
      </c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</row>
    <row r="322" spans="1:67" x14ac:dyDescent="0.2">
      <c r="A322" s="311"/>
      <c r="B322" s="178"/>
      <c r="C322" s="179"/>
      <c r="D322" s="180"/>
      <c r="E322" s="180"/>
      <c r="F322" s="180"/>
      <c r="G322" s="180"/>
      <c r="H322" s="180"/>
      <c r="I322" s="171" t="s">
        <v>536</v>
      </c>
      <c r="J322" s="182" t="s">
        <v>390</v>
      </c>
      <c r="K322" s="183">
        <f>6300*15%</f>
        <v>945</v>
      </c>
      <c r="L322" s="184"/>
      <c r="M322" s="185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8"/>
      <c r="BM322" s="138"/>
      <c r="BN322" s="138"/>
      <c r="BO322" s="138"/>
    </row>
    <row r="323" spans="1:67" x14ac:dyDescent="0.2">
      <c r="A323" s="311"/>
      <c r="B323" s="178"/>
      <c r="C323" s="179"/>
      <c r="D323" s="180"/>
      <c r="E323" s="180"/>
      <c r="F323" s="180"/>
      <c r="G323" s="180"/>
      <c r="H323" s="180"/>
      <c r="I323" s="188" t="s">
        <v>537</v>
      </c>
      <c r="J323" s="182" t="s">
        <v>390</v>
      </c>
      <c r="K323" s="208">
        <f>6300*15%</f>
        <v>945</v>
      </c>
      <c r="L323" s="184"/>
      <c r="M323" s="185"/>
      <c r="AV323" s="138"/>
      <c r="AW323" s="138"/>
      <c r="AX323" s="138"/>
      <c r="AY323" s="138"/>
      <c r="AZ323" s="138"/>
      <c r="BA323" s="138"/>
      <c r="BB323" s="138"/>
      <c r="BC323" s="138"/>
      <c r="BD323" s="138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</row>
    <row r="324" spans="1:67" x14ac:dyDescent="0.2">
      <c r="A324" s="311"/>
      <c r="B324" s="178"/>
      <c r="C324" s="179"/>
      <c r="D324" s="180"/>
      <c r="E324" s="180"/>
      <c r="F324" s="180"/>
      <c r="G324" s="180"/>
      <c r="H324" s="180"/>
      <c r="I324" s="171" t="s">
        <v>538</v>
      </c>
      <c r="J324" s="291" t="s">
        <v>390</v>
      </c>
      <c r="K324" s="202">
        <f>6300*50%</f>
        <v>3150</v>
      </c>
      <c r="L324" s="184"/>
      <c r="M324" s="185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</row>
    <row r="325" spans="1:67" x14ac:dyDescent="0.2">
      <c r="A325" s="312"/>
      <c r="B325" s="190"/>
      <c r="C325" s="191"/>
      <c r="D325" s="192"/>
      <c r="E325" s="192"/>
      <c r="F325" s="192"/>
      <c r="G325" s="192"/>
      <c r="H325" s="192"/>
      <c r="I325" s="203"/>
      <c r="J325" s="215"/>
      <c r="K325" s="216">
        <f>SUM(K321:K324)</f>
        <v>6300</v>
      </c>
      <c r="L325" s="196"/>
      <c r="M325" s="197"/>
      <c r="AV325" s="138"/>
      <c r="AW325" s="138"/>
      <c r="AX325" s="138"/>
      <c r="AY325" s="138"/>
      <c r="AZ325" s="138"/>
      <c r="BA325" s="138"/>
      <c r="BB325" s="138"/>
      <c r="BC325" s="138"/>
      <c r="BD325" s="138"/>
      <c r="BE325" s="138"/>
      <c r="BF325" s="138"/>
      <c r="BG325" s="138"/>
      <c r="BH325" s="138"/>
      <c r="BI325" s="138"/>
      <c r="BJ325" s="138"/>
      <c r="BK325" s="138"/>
      <c r="BL325" s="138"/>
      <c r="BM325" s="138"/>
      <c r="BN325" s="138"/>
      <c r="BO325" s="138"/>
    </row>
    <row r="326" spans="1:67" x14ac:dyDescent="0.2">
      <c r="A326" s="313">
        <v>89</v>
      </c>
      <c r="B326" s="314" t="s">
        <v>539</v>
      </c>
      <c r="C326" s="315"/>
      <c r="D326" s="294" t="s">
        <v>107</v>
      </c>
      <c r="E326" s="295"/>
      <c r="F326" s="295"/>
      <c r="G326" s="295"/>
      <c r="H326" s="295"/>
      <c r="I326" s="171" t="s">
        <v>540</v>
      </c>
      <c r="J326" s="281" t="s">
        <v>390</v>
      </c>
      <c r="K326" s="212">
        <v>4300</v>
      </c>
      <c r="L326" s="297" t="s">
        <v>111</v>
      </c>
      <c r="M326" s="259" t="s">
        <v>541</v>
      </c>
      <c r="AV326" s="138"/>
      <c r="AW326" s="138"/>
      <c r="AX326" s="138"/>
      <c r="AY326" s="138"/>
      <c r="AZ326" s="138"/>
      <c r="BA326" s="138"/>
      <c r="BB326" s="138"/>
      <c r="BC326" s="138"/>
      <c r="BD326" s="138"/>
      <c r="BE326" s="138"/>
      <c r="BF326" s="138"/>
      <c r="BG326" s="138"/>
      <c r="BH326" s="138"/>
      <c r="BI326" s="138"/>
      <c r="BJ326" s="138"/>
      <c r="BK326" s="138"/>
      <c r="BL326" s="138"/>
      <c r="BM326" s="138"/>
      <c r="BN326" s="138"/>
      <c r="BO326" s="138"/>
    </row>
    <row r="327" spans="1:67" x14ac:dyDescent="0.2">
      <c r="A327" s="310">
        <v>90</v>
      </c>
      <c r="B327" s="168" t="s">
        <v>542</v>
      </c>
      <c r="C327" s="169"/>
      <c r="D327" s="250" t="s">
        <v>107</v>
      </c>
      <c r="E327" s="170"/>
      <c r="F327" s="170"/>
      <c r="G327" s="170"/>
      <c r="H327" s="170"/>
      <c r="I327" s="217" t="s">
        <v>543</v>
      </c>
      <c r="J327" s="172" t="s">
        <v>390</v>
      </c>
      <c r="K327" s="173">
        <f>4800*50%</f>
        <v>2400</v>
      </c>
      <c r="L327" s="174" t="s">
        <v>111</v>
      </c>
      <c r="M327" s="175" t="s">
        <v>544</v>
      </c>
      <c r="AV327" s="138"/>
      <c r="AW327" s="138"/>
      <c r="AX327" s="138"/>
      <c r="AY327" s="138"/>
      <c r="AZ327" s="138"/>
      <c r="BA327" s="138"/>
      <c r="BB327" s="138"/>
      <c r="BC327" s="138"/>
      <c r="BD327" s="138"/>
      <c r="BE327" s="138"/>
      <c r="BF327" s="138"/>
      <c r="BG327" s="138"/>
      <c r="BH327" s="138"/>
      <c r="BI327" s="138"/>
      <c r="BJ327" s="138"/>
      <c r="BK327" s="138"/>
      <c r="BL327" s="138"/>
      <c r="BM327" s="138"/>
      <c r="BN327" s="138"/>
      <c r="BO327" s="138"/>
    </row>
    <row r="328" spans="1:67" x14ac:dyDescent="0.2">
      <c r="A328" s="311"/>
      <c r="B328" s="178"/>
      <c r="C328" s="179"/>
      <c r="D328" s="243"/>
      <c r="E328" s="180"/>
      <c r="F328" s="180"/>
      <c r="G328" s="180"/>
      <c r="H328" s="180"/>
      <c r="I328" s="188" t="s">
        <v>545</v>
      </c>
      <c r="J328" s="182" t="s">
        <v>390</v>
      </c>
      <c r="K328" s="208">
        <f>4800*25%</f>
        <v>1200</v>
      </c>
      <c r="L328" s="184"/>
      <c r="M328" s="185"/>
      <c r="AV328" s="138"/>
      <c r="AW328" s="138"/>
      <c r="AX328" s="138"/>
      <c r="AY328" s="138"/>
      <c r="AZ328" s="138"/>
      <c r="BA328" s="138"/>
      <c r="BB328" s="138"/>
      <c r="BC328" s="138"/>
      <c r="BD328" s="138"/>
      <c r="BE328" s="138"/>
      <c r="BF328" s="138"/>
      <c r="BG328" s="138"/>
      <c r="BH328" s="138"/>
      <c r="BI328" s="138"/>
      <c r="BJ328" s="138"/>
      <c r="BK328" s="138"/>
      <c r="BL328" s="138"/>
      <c r="BM328" s="138"/>
      <c r="BN328" s="138"/>
      <c r="BO328" s="138"/>
    </row>
    <row r="329" spans="1:67" ht="48" x14ac:dyDescent="0.2">
      <c r="A329" s="311"/>
      <c r="B329" s="178"/>
      <c r="C329" s="179"/>
      <c r="D329" s="243"/>
      <c r="E329" s="180"/>
      <c r="F329" s="180"/>
      <c r="G329" s="180"/>
      <c r="H329" s="180"/>
      <c r="I329" s="171" t="s">
        <v>546</v>
      </c>
      <c r="J329" s="291" t="s">
        <v>547</v>
      </c>
      <c r="K329" s="208">
        <f>4800*25%</f>
        <v>1200</v>
      </c>
      <c r="L329" s="184"/>
      <c r="M329" s="185"/>
      <c r="AV329" s="138"/>
      <c r="AW329" s="138"/>
      <c r="AX329" s="138"/>
      <c r="AY329" s="138"/>
      <c r="AZ329" s="138"/>
      <c r="BA329" s="138"/>
      <c r="BB329" s="138"/>
      <c r="BC329" s="138"/>
      <c r="BD329" s="138"/>
      <c r="BE329" s="138"/>
      <c r="BF329" s="138"/>
      <c r="BG329" s="138"/>
      <c r="BH329" s="138"/>
      <c r="BI329" s="138"/>
      <c r="BJ329" s="138"/>
      <c r="BK329" s="138"/>
      <c r="BL329" s="138"/>
      <c r="BM329" s="138"/>
      <c r="BN329" s="138"/>
      <c r="BO329" s="138"/>
    </row>
    <row r="330" spans="1:67" x14ac:dyDescent="0.2">
      <c r="A330" s="312"/>
      <c r="B330" s="190"/>
      <c r="C330" s="191"/>
      <c r="D330" s="244"/>
      <c r="E330" s="192"/>
      <c r="F330" s="192"/>
      <c r="G330" s="192"/>
      <c r="H330" s="192"/>
      <c r="I330" s="203"/>
      <c r="J330" s="215"/>
      <c r="K330" s="209">
        <f>SUM(K327:K329)</f>
        <v>4800</v>
      </c>
      <c r="L330" s="196"/>
      <c r="M330" s="197"/>
      <c r="AV330" s="138"/>
      <c r="AW330" s="138"/>
      <c r="AX330" s="138"/>
      <c r="AY330" s="138"/>
      <c r="AZ330" s="138"/>
      <c r="BA330" s="138"/>
      <c r="BB330" s="138"/>
      <c r="BC330" s="138"/>
      <c r="BD330" s="138"/>
      <c r="BE330" s="138"/>
      <c r="BF330" s="138"/>
      <c r="BG330" s="138"/>
      <c r="BH330" s="138"/>
      <c r="BI330" s="138"/>
      <c r="BJ330" s="138"/>
      <c r="BK330" s="138"/>
      <c r="BL330" s="138"/>
      <c r="BM330" s="138"/>
      <c r="BN330" s="138"/>
      <c r="BO330" s="138"/>
    </row>
    <row r="331" spans="1:67" x14ac:dyDescent="0.2">
      <c r="A331" s="316">
        <v>91</v>
      </c>
      <c r="B331" s="168" t="s">
        <v>548</v>
      </c>
      <c r="C331" s="169"/>
      <c r="D331" s="250" t="s">
        <v>107</v>
      </c>
      <c r="E331" s="170"/>
      <c r="F331" s="170"/>
      <c r="G331" s="170"/>
      <c r="H331" s="170"/>
      <c r="I331" s="217" t="s">
        <v>549</v>
      </c>
      <c r="J331" s="198" t="s">
        <v>390</v>
      </c>
      <c r="K331" s="206">
        <f>4800*70%</f>
        <v>3360</v>
      </c>
      <c r="L331" s="174" t="s">
        <v>111</v>
      </c>
      <c r="M331" s="175" t="s">
        <v>550</v>
      </c>
      <c r="AV331" s="138"/>
      <c r="AW331" s="138"/>
      <c r="AX331" s="138"/>
      <c r="AY331" s="138"/>
      <c r="AZ331" s="138"/>
      <c r="BA331" s="138"/>
      <c r="BB331" s="138"/>
      <c r="BC331" s="138"/>
      <c r="BD331" s="138"/>
      <c r="BE331" s="138"/>
      <c r="BF331" s="138"/>
      <c r="BG331" s="138"/>
      <c r="BH331" s="138"/>
      <c r="BI331" s="138"/>
      <c r="BJ331" s="138"/>
      <c r="BK331" s="138"/>
      <c r="BL331" s="138"/>
      <c r="BM331" s="138"/>
      <c r="BN331" s="138"/>
      <c r="BO331" s="138"/>
    </row>
    <row r="332" spans="1:67" ht="48" x14ac:dyDescent="0.2">
      <c r="A332" s="316"/>
      <c r="B332" s="178"/>
      <c r="C332" s="179"/>
      <c r="D332" s="243"/>
      <c r="E332" s="180"/>
      <c r="F332" s="180"/>
      <c r="G332" s="180"/>
      <c r="H332" s="180"/>
      <c r="I332" s="188" t="s">
        <v>551</v>
      </c>
      <c r="J332" s="172" t="s">
        <v>390</v>
      </c>
      <c r="K332" s="202">
        <f>4800*30%</f>
        <v>1440</v>
      </c>
      <c r="L332" s="184"/>
      <c r="M332" s="185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</row>
    <row r="333" spans="1:67" x14ac:dyDescent="0.2">
      <c r="A333" s="316"/>
      <c r="B333" s="190"/>
      <c r="C333" s="191"/>
      <c r="D333" s="244"/>
      <c r="E333" s="192"/>
      <c r="F333" s="192"/>
      <c r="G333" s="192"/>
      <c r="H333" s="192"/>
      <c r="I333" s="193"/>
      <c r="J333" s="194"/>
      <c r="K333" s="195">
        <f>SUM(K331:K332)</f>
        <v>4800</v>
      </c>
      <c r="L333" s="196"/>
      <c r="M333" s="197"/>
      <c r="AV333" s="138"/>
      <c r="AW333" s="138"/>
      <c r="AX333" s="138"/>
      <c r="AY333" s="138"/>
      <c r="AZ333" s="138"/>
      <c r="BA333" s="138"/>
      <c r="BB333" s="138"/>
      <c r="BC333" s="138"/>
      <c r="BD333" s="138"/>
      <c r="BE333" s="138"/>
      <c r="BF333" s="138"/>
      <c r="BG333" s="138"/>
      <c r="BH333" s="138"/>
      <c r="BI333" s="138"/>
      <c r="BJ333" s="138"/>
      <c r="BK333" s="138"/>
      <c r="BL333" s="138"/>
      <c r="BM333" s="138"/>
      <c r="BN333" s="138"/>
      <c r="BO333" s="138"/>
    </row>
    <row r="334" spans="1:67" x14ac:dyDescent="0.2">
      <c r="A334" s="317">
        <v>92</v>
      </c>
      <c r="B334" s="168" t="s">
        <v>552</v>
      </c>
      <c r="C334" s="169"/>
      <c r="D334" s="294" t="s">
        <v>107</v>
      </c>
      <c r="E334" s="295"/>
      <c r="F334" s="295"/>
      <c r="G334" s="295"/>
      <c r="H334" s="295"/>
      <c r="I334" s="280" t="s">
        <v>553</v>
      </c>
      <c r="J334" s="318" t="s">
        <v>390</v>
      </c>
      <c r="K334" s="173">
        <v>4800</v>
      </c>
      <c r="L334" s="297" t="s">
        <v>111</v>
      </c>
      <c r="M334" s="259" t="s">
        <v>554</v>
      </c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38"/>
      <c r="BN334" s="138"/>
      <c r="BO334" s="138"/>
    </row>
    <row r="335" spans="1:67" x14ac:dyDescent="0.2">
      <c r="A335" s="316">
        <v>93</v>
      </c>
      <c r="B335" s="314" t="s">
        <v>555</v>
      </c>
      <c r="C335" s="315"/>
      <c r="D335" s="250" t="s">
        <v>107</v>
      </c>
      <c r="E335" s="170"/>
      <c r="F335" s="170"/>
      <c r="G335" s="170"/>
      <c r="H335" s="170"/>
      <c r="I335" s="171" t="s">
        <v>556</v>
      </c>
      <c r="J335" s="172" t="s">
        <v>390</v>
      </c>
      <c r="K335" s="173">
        <f>5000*20%</f>
        <v>1000</v>
      </c>
      <c r="L335" s="174" t="s">
        <v>111</v>
      </c>
      <c r="M335" s="175" t="s">
        <v>557</v>
      </c>
      <c r="AV335" s="138"/>
      <c r="AW335" s="138"/>
      <c r="AX335" s="138"/>
      <c r="AY335" s="138"/>
      <c r="AZ335" s="138"/>
      <c r="BA335" s="138"/>
      <c r="BB335" s="138"/>
      <c r="BC335" s="138"/>
      <c r="BD335" s="138"/>
      <c r="BE335" s="138"/>
      <c r="BF335" s="138"/>
      <c r="BG335" s="138"/>
      <c r="BH335" s="138"/>
      <c r="BI335" s="138"/>
      <c r="BJ335" s="138"/>
      <c r="BK335" s="138"/>
      <c r="BL335" s="138"/>
      <c r="BM335" s="138"/>
      <c r="BN335" s="138"/>
      <c r="BO335" s="138"/>
    </row>
    <row r="336" spans="1:67" x14ac:dyDescent="0.2">
      <c r="A336" s="316"/>
      <c r="B336" s="319"/>
      <c r="C336" s="320"/>
      <c r="D336" s="243"/>
      <c r="E336" s="180"/>
      <c r="F336" s="180"/>
      <c r="G336" s="180"/>
      <c r="H336" s="180"/>
      <c r="I336" s="181" t="s">
        <v>558</v>
      </c>
      <c r="J336" s="182" t="s">
        <v>390</v>
      </c>
      <c r="K336" s="183">
        <f>5000*20%</f>
        <v>1000</v>
      </c>
      <c r="L336" s="184"/>
      <c r="M336" s="185"/>
      <c r="AV336" s="138"/>
      <c r="AW336" s="138"/>
      <c r="AX336" s="138"/>
      <c r="AY336" s="138"/>
      <c r="AZ336" s="138"/>
      <c r="BA336" s="138"/>
      <c r="BB336" s="138"/>
      <c r="BC336" s="138"/>
      <c r="BD336" s="138"/>
      <c r="BE336" s="138"/>
      <c r="BF336" s="138"/>
      <c r="BG336" s="138"/>
      <c r="BH336" s="138"/>
      <c r="BI336" s="138"/>
      <c r="BJ336" s="138"/>
      <c r="BK336" s="138"/>
      <c r="BL336" s="138"/>
      <c r="BM336" s="138"/>
      <c r="BN336" s="138"/>
      <c r="BO336" s="138"/>
    </row>
    <row r="337" spans="1:67" x14ac:dyDescent="0.2">
      <c r="A337" s="316"/>
      <c r="B337" s="319"/>
      <c r="C337" s="320"/>
      <c r="D337" s="243"/>
      <c r="E337" s="180"/>
      <c r="F337" s="180"/>
      <c r="G337" s="180"/>
      <c r="H337" s="180"/>
      <c r="I337" s="181" t="s">
        <v>559</v>
      </c>
      <c r="J337" s="291" t="s">
        <v>390</v>
      </c>
      <c r="K337" s="183">
        <f>5000*20%</f>
        <v>1000</v>
      </c>
      <c r="L337" s="184"/>
      <c r="M337" s="185"/>
      <c r="AV337" s="138"/>
      <c r="AW337" s="138"/>
      <c r="AX337" s="138"/>
      <c r="AY337" s="138"/>
      <c r="AZ337" s="138"/>
      <c r="BA337" s="138"/>
      <c r="BB337" s="138"/>
      <c r="BC337" s="138"/>
      <c r="BD337" s="138"/>
      <c r="BE337" s="138"/>
      <c r="BF337" s="138"/>
      <c r="BG337" s="138"/>
      <c r="BH337" s="138"/>
      <c r="BI337" s="138"/>
      <c r="BJ337" s="138"/>
      <c r="BK337" s="138"/>
      <c r="BL337" s="138"/>
      <c r="BM337" s="138"/>
      <c r="BN337" s="138"/>
      <c r="BO337" s="138"/>
    </row>
    <row r="338" spans="1:67" x14ac:dyDescent="0.2">
      <c r="A338" s="316"/>
      <c r="B338" s="319"/>
      <c r="C338" s="320"/>
      <c r="D338" s="243"/>
      <c r="E338" s="180"/>
      <c r="F338" s="180"/>
      <c r="G338" s="180"/>
      <c r="H338" s="180"/>
      <c r="I338" s="181" t="s">
        <v>560</v>
      </c>
      <c r="J338" s="172" t="s">
        <v>390</v>
      </c>
      <c r="K338" s="186">
        <f>5000*20%</f>
        <v>1000</v>
      </c>
      <c r="L338" s="184"/>
      <c r="M338" s="185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</row>
    <row r="339" spans="1:67" x14ac:dyDescent="0.2">
      <c r="A339" s="316"/>
      <c r="B339" s="319"/>
      <c r="C339" s="320"/>
      <c r="D339" s="243"/>
      <c r="E339" s="180"/>
      <c r="F339" s="180"/>
      <c r="G339" s="180"/>
      <c r="H339" s="180"/>
      <c r="I339" s="188" t="s">
        <v>561</v>
      </c>
      <c r="J339" s="182" t="s">
        <v>390</v>
      </c>
      <c r="K339" s="183">
        <f>5000*20%</f>
        <v>1000</v>
      </c>
      <c r="L339" s="184"/>
      <c r="M339" s="185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</row>
    <row r="340" spans="1:67" x14ac:dyDescent="0.2">
      <c r="A340" s="316"/>
      <c r="B340" s="321"/>
      <c r="C340" s="322"/>
      <c r="D340" s="244"/>
      <c r="E340" s="192"/>
      <c r="F340" s="192"/>
      <c r="G340" s="192"/>
      <c r="H340" s="192"/>
      <c r="I340" s="193"/>
      <c r="J340" s="215"/>
      <c r="K340" s="216">
        <f>SUM(K335:K339)</f>
        <v>5000</v>
      </c>
      <c r="L340" s="196"/>
      <c r="M340" s="197"/>
      <c r="AV340" s="138"/>
      <c r="AW340" s="138"/>
      <c r="AX340" s="138"/>
      <c r="AY340" s="138"/>
      <c r="AZ340" s="138"/>
      <c r="BA340" s="138"/>
      <c r="BB340" s="138"/>
      <c r="BC340" s="138"/>
      <c r="BD340" s="138"/>
      <c r="BE340" s="138"/>
      <c r="BF340" s="138"/>
      <c r="BG340" s="138"/>
      <c r="BH340" s="138"/>
      <c r="BI340" s="138"/>
      <c r="BJ340" s="138"/>
      <c r="BK340" s="138"/>
      <c r="BL340" s="138"/>
      <c r="BM340" s="138"/>
      <c r="BN340" s="138"/>
      <c r="BO340" s="138"/>
    </row>
    <row r="341" spans="1:67" x14ac:dyDescent="0.2">
      <c r="A341" s="310">
        <v>94</v>
      </c>
      <c r="B341" s="168" t="s">
        <v>562</v>
      </c>
      <c r="C341" s="169"/>
      <c r="D341" s="250" t="s">
        <v>107</v>
      </c>
      <c r="E341" s="170"/>
      <c r="F341" s="170"/>
      <c r="G341" s="170"/>
      <c r="H341" s="170"/>
      <c r="I341" s="171" t="s">
        <v>549</v>
      </c>
      <c r="J341" s="223" t="s">
        <v>390</v>
      </c>
      <c r="K341" s="212">
        <f>4800*70%</f>
        <v>3360</v>
      </c>
      <c r="L341" s="174" t="s">
        <v>111</v>
      </c>
      <c r="M341" s="175" t="s">
        <v>563</v>
      </c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</row>
    <row r="342" spans="1:67" x14ac:dyDescent="0.2">
      <c r="A342" s="311"/>
      <c r="B342" s="178"/>
      <c r="C342" s="179"/>
      <c r="D342" s="243"/>
      <c r="E342" s="180"/>
      <c r="F342" s="180"/>
      <c r="G342" s="180"/>
      <c r="H342" s="180"/>
      <c r="I342" s="181" t="s">
        <v>564</v>
      </c>
      <c r="J342" s="172" t="s">
        <v>390</v>
      </c>
      <c r="K342" s="202">
        <f>4800*30%</f>
        <v>1440</v>
      </c>
      <c r="L342" s="184"/>
      <c r="M342" s="185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</row>
    <row r="343" spans="1:67" x14ac:dyDescent="0.2">
      <c r="A343" s="312"/>
      <c r="B343" s="190"/>
      <c r="C343" s="191"/>
      <c r="D343" s="244"/>
      <c r="E343" s="192"/>
      <c r="F343" s="192"/>
      <c r="G343" s="192"/>
      <c r="H343" s="192"/>
      <c r="I343" s="203"/>
      <c r="J343" s="204"/>
      <c r="K343" s="216">
        <f>SUM(K341:K342)</f>
        <v>4800</v>
      </c>
      <c r="L343" s="196"/>
      <c r="M343" s="197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</row>
    <row r="344" spans="1:67" x14ac:dyDescent="0.2">
      <c r="A344" s="310">
        <v>95</v>
      </c>
      <c r="B344" s="168" t="s">
        <v>565</v>
      </c>
      <c r="C344" s="169"/>
      <c r="D344" s="250" t="s">
        <v>107</v>
      </c>
      <c r="E344" s="170"/>
      <c r="F344" s="170"/>
      <c r="G344" s="170"/>
      <c r="H344" s="170"/>
      <c r="I344" s="217" t="s">
        <v>566</v>
      </c>
      <c r="J344" s="172" t="s">
        <v>390</v>
      </c>
      <c r="K344" s="173">
        <f>25000*90%</f>
        <v>22500</v>
      </c>
      <c r="L344" s="169" t="s">
        <v>111</v>
      </c>
      <c r="M344" s="175" t="s">
        <v>567</v>
      </c>
      <c r="AV344" s="138"/>
      <c r="AW344" s="138"/>
      <c r="AX344" s="138"/>
      <c r="AY344" s="138"/>
      <c r="AZ344" s="138"/>
      <c r="BA344" s="138"/>
      <c r="BB344" s="138"/>
      <c r="BC344" s="138"/>
      <c r="BD344" s="138"/>
      <c r="BE344" s="138"/>
      <c r="BF344" s="138"/>
      <c r="BG344" s="138"/>
      <c r="BH344" s="138"/>
      <c r="BI344" s="138"/>
      <c r="BJ344" s="138"/>
      <c r="BK344" s="138"/>
      <c r="BL344" s="138"/>
      <c r="BM344" s="138"/>
      <c r="BN344" s="138"/>
      <c r="BO344" s="138"/>
    </row>
    <row r="345" spans="1:67" ht="48" x14ac:dyDescent="0.2">
      <c r="A345" s="311"/>
      <c r="B345" s="178"/>
      <c r="C345" s="179"/>
      <c r="D345" s="243"/>
      <c r="E345" s="180"/>
      <c r="F345" s="180"/>
      <c r="G345" s="180"/>
      <c r="H345" s="180"/>
      <c r="I345" s="188" t="s">
        <v>568</v>
      </c>
      <c r="J345" s="182" t="s">
        <v>117</v>
      </c>
      <c r="K345" s="200">
        <f>25000*10%</f>
        <v>2500</v>
      </c>
      <c r="L345" s="179"/>
      <c r="M345" s="185"/>
      <c r="AV345" s="138"/>
      <c r="AW345" s="138"/>
      <c r="AX345" s="138"/>
      <c r="AY345" s="138"/>
      <c r="AZ345" s="138"/>
      <c r="BA345" s="138"/>
      <c r="BB345" s="138"/>
      <c r="BC345" s="138"/>
      <c r="BD345" s="138"/>
      <c r="BE345" s="138"/>
      <c r="BF345" s="138"/>
      <c r="BG345" s="138"/>
      <c r="BH345" s="138"/>
      <c r="BI345" s="138"/>
      <c r="BJ345" s="138"/>
      <c r="BK345" s="138"/>
      <c r="BL345" s="138"/>
      <c r="BM345" s="138"/>
      <c r="BN345" s="138"/>
      <c r="BO345" s="138"/>
    </row>
    <row r="346" spans="1:67" x14ac:dyDescent="0.2">
      <c r="A346" s="312"/>
      <c r="B346" s="190"/>
      <c r="C346" s="191"/>
      <c r="D346" s="244"/>
      <c r="E346" s="192"/>
      <c r="F346" s="192"/>
      <c r="G346" s="192"/>
      <c r="H346" s="192"/>
      <c r="I346" s="193"/>
      <c r="J346" s="215"/>
      <c r="K346" s="205">
        <f>SUM(K344:K345)</f>
        <v>25000</v>
      </c>
      <c r="L346" s="191"/>
      <c r="M346" s="197"/>
      <c r="AV346" s="138"/>
      <c r="AW346" s="138"/>
      <c r="AX346" s="138"/>
      <c r="AY346" s="138"/>
      <c r="AZ346" s="138"/>
      <c r="BA346" s="138"/>
      <c r="BB346" s="138"/>
      <c r="BC346" s="138"/>
      <c r="BD346" s="138"/>
      <c r="BE346" s="138"/>
      <c r="BF346" s="138"/>
      <c r="BG346" s="138"/>
      <c r="BH346" s="138"/>
      <c r="BI346" s="138"/>
      <c r="BJ346" s="138"/>
      <c r="BK346" s="138"/>
      <c r="BL346" s="138"/>
      <c r="BM346" s="138"/>
      <c r="BN346" s="138"/>
      <c r="BO346" s="138"/>
    </row>
    <row r="347" spans="1:67" ht="48" x14ac:dyDescent="0.2">
      <c r="A347" s="167">
        <v>96</v>
      </c>
      <c r="B347" s="168" t="s">
        <v>569</v>
      </c>
      <c r="C347" s="169"/>
      <c r="D347" s="170" t="s">
        <v>107</v>
      </c>
      <c r="E347" s="170"/>
      <c r="F347" s="170"/>
      <c r="G347" s="170"/>
      <c r="H347" s="170"/>
      <c r="I347" s="171" t="s">
        <v>570</v>
      </c>
      <c r="J347" s="172" t="s">
        <v>571</v>
      </c>
      <c r="K347" s="173">
        <f>10500*65%</f>
        <v>6825</v>
      </c>
      <c r="L347" s="174" t="s">
        <v>111</v>
      </c>
      <c r="M347" s="175" t="s">
        <v>572</v>
      </c>
      <c r="AV347" s="138"/>
      <c r="AW347" s="138"/>
      <c r="AX347" s="138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</row>
    <row r="348" spans="1:67" x14ac:dyDescent="0.2">
      <c r="A348" s="177"/>
      <c r="B348" s="178"/>
      <c r="C348" s="179"/>
      <c r="D348" s="180"/>
      <c r="E348" s="180"/>
      <c r="F348" s="180"/>
      <c r="G348" s="180"/>
      <c r="H348" s="180"/>
      <c r="I348" s="181" t="s">
        <v>573</v>
      </c>
      <c r="J348" s="187" t="s">
        <v>571</v>
      </c>
      <c r="K348" s="183">
        <f t="shared" ref="K348:K354" si="5">10500*5%</f>
        <v>525</v>
      </c>
      <c r="L348" s="184"/>
      <c r="M348" s="185"/>
      <c r="AV348" s="138"/>
      <c r="AW348" s="138"/>
      <c r="AX348" s="138"/>
      <c r="AY348" s="138"/>
      <c r="AZ348" s="138"/>
      <c r="BA348" s="138"/>
      <c r="BB348" s="138"/>
      <c r="BC348" s="138"/>
      <c r="BD348" s="138"/>
      <c r="BE348" s="138"/>
      <c r="BF348" s="138"/>
      <c r="BG348" s="138"/>
      <c r="BH348" s="138"/>
      <c r="BI348" s="138"/>
      <c r="BJ348" s="138"/>
      <c r="BK348" s="138"/>
      <c r="BL348" s="138"/>
      <c r="BM348" s="138"/>
      <c r="BN348" s="138"/>
      <c r="BO348" s="138"/>
    </row>
    <row r="349" spans="1:67" x14ac:dyDescent="0.2">
      <c r="A349" s="177"/>
      <c r="B349" s="178"/>
      <c r="C349" s="179"/>
      <c r="D349" s="180"/>
      <c r="E349" s="180"/>
      <c r="F349" s="180"/>
      <c r="G349" s="180"/>
      <c r="H349" s="180"/>
      <c r="I349" s="181" t="s">
        <v>574</v>
      </c>
      <c r="J349" s="182" t="s">
        <v>571</v>
      </c>
      <c r="K349" s="183">
        <f t="shared" si="5"/>
        <v>525</v>
      </c>
      <c r="L349" s="184"/>
      <c r="M349" s="185"/>
      <c r="N349" s="176"/>
      <c r="AV349" s="138"/>
      <c r="AW349" s="138"/>
      <c r="AX349" s="138"/>
      <c r="AY349" s="138"/>
      <c r="AZ349" s="138"/>
      <c r="BA349" s="138"/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138"/>
      <c r="BM349" s="138"/>
      <c r="BN349" s="138"/>
      <c r="BO349" s="138"/>
    </row>
    <row r="350" spans="1:67" x14ac:dyDescent="0.2">
      <c r="A350" s="177"/>
      <c r="B350" s="178"/>
      <c r="C350" s="179"/>
      <c r="D350" s="180"/>
      <c r="E350" s="180"/>
      <c r="F350" s="180"/>
      <c r="G350" s="180"/>
      <c r="H350" s="180"/>
      <c r="I350" s="181" t="s">
        <v>575</v>
      </c>
      <c r="J350" s="172" t="s">
        <v>571</v>
      </c>
      <c r="K350" s="186">
        <f t="shared" si="5"/>
        <v>525</v>
      </c>
      <c r="L350" s="184"/>
      <c r="M350" s="185"/>
      <c r="AV350" s="138"/>
      <c r="AW350" s="138"/>
      <c r="AX350" s="138"/>
      <c r="AY350" s="138"/>
      <c r="AZ350" s="138"/>
      <c r="BA350" s="138"/>
      <c r="BB350" s="138"/>
      <c r="BC350" s="138"/>
      <c r="BD350" s="138"/>
      <c r="BE350" s="138"/>
      <c r="BF350" s="138"/>
      <c r="BG350" s="138"/>
      <c r="BH350" s="138"/>
      <c r="BI350" s="138"/>
      <c r="BJ350" s="138"/>
      <c r="BK350" s="138"/>
      <c r="BL350" s="138"/>
      <c r="BM350" s="138"/>
      <c r="BN350" s="138"/>
      <c r="BO350" s="138"/>
    </row>
    <row r="351" spans="1:67" x14ac:dyDescent="0.2">
      <c r="A351" s="177"/>
      <c r="B351" s="178"/>
      <c r="C351" s="179"/>
      <c r="D351" s="180"/>
      <c r="E351" s="180"/>
      <c r="F351" s="180"/>
      <c r="G351" s="180"/>
      <c r="H351" s="180"/>
      <c r="I351" s="188" t="s">
        <v>576</v>
      </c>
      <c r="J351" s="187" t="s">
        <v>571</v>
      </c>
      <c r="K351" s="183">
        <f t="shared" si="5"/>
        <v>525</v>
      </c>
      <c r="L351" s="184"/>
      <c r="M351" s="185"/>
      <c r="AV351" s="138"/>
      <c r="AW351" s="138"/>
      <c r="AX351" s="138"/>
      <c r="AY351" s="138"/>
      <c r="AZ351" s="138"/>
      <c r="BA351" s="138"/>
      <c r="BB351" s="138"/>
      <c r="BC351" s="138"/>
      <c r="BD351" s="138"/>
      <c r="BE351" s="138"/>
      <c r="BF351" s="138"/>
      <c r="BG351" s="138"/>
      <c r="BH351" s="138"/>
      <c r="BI351" s="138"/>
      <c r="BJ351" s="138"/>
      <c r="BK351" s="138"/>
      <c r="BL351" s="138"/>
      <c r="BM351" s="138"/>
      <c r="BN351" s="138"/>
      <c r="BO351" s="138"/>
    </row>
    <row r="352" spans="1:67" x14ac:dyDescent="0.2">
      <c r="A352" s="177"/>
      <c r="B352" s="178"/>
      <c r="C352" s="179"/>
      <c r="D352" s="180"/>
      <c r="E352" s="180"/>
      <c r="F352" s="180"/>
      <c r="G352" s="180"/>
      <c r="H352" s="180"/>
      <c r="I352" s="171" t="s">
        <v>577</v>
      </c>
      <c r="J352" s="207" t="s">
        <v>571</v>
      </c>
      <c r="K352" s="186">
        <f t="shared" si="5"/>
        <v>525</v>
      </c>
      <c r="L352" s="184"/>
      <c r="M352" s="185"/>
      <c r="AV352" s="138"/>
      <c r="AW352" s="138"/>
      <c r="AX352" s="138"/>
      <c r="AY352" s="138"/>
      <c r="AZ352" s="138"/>
      <c r="BA352" s="138"/>
      <c r="BB352" s="138"/>
      <c r="BC352" s="138"/>
      <c r="BD352" s="138"/>
      <c r="BE352" s="138"/>
      <c r="BF352" s="138"/>
      <c r="BG352" s="138"/>
      <c r="BH352" s="138"/>
      <c r="BI352" s="138"/>
      <c r="BJ352" s="138"/>
      <c r="BK352" s="138"/>
      <c r="BL352" s="138"/>
      <c r="BM352" s="138"/>
      <c r="BN352" s="138"/>
      <c r="BO352" s="138"/>
    </row>
    <row r="353" spans="1:67" x14ac:dyDescent="0.2">
      <c r="A353" s="177"/>
      <c r="B353" s="178"/>
      <c r="C353" s="179"/>
      <c r="D353" s="180"/>
      <c r="E353" s="180"/>
      <c r="F353" s="180"/>
      <c r="G353" s="180"/>
      <c r="H353" s="180"/>
      <c r="I353" s="188" t="s">
        <v>578</v>
      </c>
      <c r="J353" s="247" t="s">
        <v>571</v>
      </c>
      <c r="K353" s="229">
        <f t="shared" si="5"/>
        <v>525</v>
      </c>
      <c r="L353" s="184"/>
      <c r="M353" s="185"/>
      <c r="AV353" s="138"/>
      <c r="AW353" s="138"/>
      <c r="AX353" s="138"/>
      <c r="AY353" s="138"/>
      <c r="AZ353" s="138"/>
      <c r="BA353" s="138"/>
      <c r="BB353" s="138"/>
      <c r="BC353" s="138"/>
      <c r="BD353" s="138"/>
      <c r="BE353" s="138"/>
      <c r="BF353" s="138"/>
      <c r="BG353" s="138"/>
      <c r="BH353" s="138"/>
      <c r="BI353" s="138"/>
      <c r="BJ353" s="138"/>
      <c r="BK353" s="138"/>
      <c r="BL353" s="138"/>
      <c r="BM353" s="138"/>
      <c r="BN353" s="138"/>
      <c r="BO353" s="138"/>
    </row>
    <row r="354" spans="1:67" x14ac:dyDescent="0.2">
      <c r="A354" s="177"/>
      <c r="B354" s="178"/>
      <c r="C354" s="179"/>
      <c r="D354" s="180"/>
      <c r="E354" s="180"/>
      <c r="F354" s="180"/>
      <c r="G354" s="180"/>
      <c r="H354" s="180"/>
      <c r="I354" s="188" t="s">
        <v>579</v>
      </c>
      <c r="J354" s="172" t="s">
        <v>571</v>
      </c>
      <c r="K354" s="202">
        <f t="shared" si="5"/>
        <v>525</v>
      </c>
      <c r="L354" s="184"/>
      <c r="M354" s="185"/>
      <c r="AV354" s="138"/>
      <c r="AW354" s="138"/>
      <c r="AX354" s="138"/>
      <c r="AY354" s="138"/>
      <c r="AZ354" s="138"/>
      <c r="BA354" s="138"/>
      <c r="BB354" s="138"/>
      <c r="BC354" s="138"/>
      <c r="BD354" s="138"/>
      <c r="BE354" s="138"/>
      <c r="BF354" s="138"/>
      <c r="BG354" s="138"/>
      <c r="BH354" s="138"/>
      <c r="BI354" s="138"/>
      <c r="BJ354" s="138"/>
      <c r="BK354" s="138"/>
      <c r="BL354" s="138"/>
      <c r="BM354" s="138"/>
      <c r="BN354" s="138"/>
      <c r="BO354" s="138"/>
    </row>
    <row r="355" spans="1:67" x14ac:dyDescent="0.2">
      <c r="A355" s="189"/>
      <c r="B355" s="190"/>
      <c r="C355" s="191"/>
      <c r="D355" s="192"/>
      <c r="E355" s="192"/>
      <c r="F355" s="192"/>
      <c r="G355" s="192"/>
      <c r="H355" s="192"/>
      <c r="I355" s="193"/>
      <c r="J355" s="204"/>
      <c r="K355" s="216">
        <f>SUM(K347:K354)</f>
        <v>10500</v>
      </c>
      <c r="L355" s="196"/>
      <c r="M355" s="197"/>
      <c r="AV355" s="138"/>
      <c r="AW355" s="138"/>
      <c r="AX355" s="138"/>
      <c r="AY355" s="138"/>
      <c r="AZ355" s="138"/>
      <c r="BA355" s="138"/>
      <c r="BB355" s="138"/>
      <c r="BC355" s="138"/>
      <c r="BD355" s="138"/>
      <c r="BE355" s="138"/>
      <c r="BF355" s="138"/>
      <c r="BG355" s="138"/>
      <c r="BH355" s="138"/>
      <c r="BI355" s="138"/>
      <c r="BJ355" s="138"/>
      <c r="BK355" s="138"/>
      <c r="BL355" s="138"/>
      <c r="BM355" s="138"/>
      <c r="BN355" s="138"/>
      <c r="BO355" s="138"/>
    </row>
    <row r="356" spans="1:67" s="283" customFormat="1" ht="99.75" customHeight="1" x14ac:dyDescent="0.2">
      <c r="A356" s="323">
        <v>97</v>
      </c>
      <c r="B356" s="253" t="s">
        <v>580</v>
      </c>
      <c r="C356" s="254"/>
      <c r="D356" s="261" t="s">
        <v>25</v>
      </c>
      <c r="E356" s="261"/>
      <c r="F356" s="261"/>
      <c r="G356" s="261" t="s">
        <v>581</v>
      </c>
      <c r="H356" s="261"/>
      <c r="I356" s="193" t="s">
        <v>582</v>
      </c>
      <c r="J356" s="281" t="s">
        <v>571</v>
      </c>
      <c r="K356" s="324">
        <v>77320</v>
      </c>
      <c r="L356" s="325" t="s">
        <v>581</v>
      </c>
      <c r="M356" s="172" t="s">
        <v>583</v>
      </c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  <c r="AA356" s="138"/>
      <c r="AB356" s="138"/>
      <c r="AC356" s="138"/>
      <c r="AD356" s="138"/>
      <c r="AE356" s="138"/>
      <c r="AF356" s="138"/>
      <c r="AG356" s="138"/>
      <c r="AH356" s="138"/>
      <c r="AI356" s="138"/>
      <c r="AJ356" s="138"/>
      <c r="AK356" s="138"/>
      <c r="AL356" s="138"/>
      <c r="AM356" s="138"/>
      <c r="AN356" s="138"/>
      <c r="AO356" s="138"/>
      <c r="AP356" s="138"/>
      <c r="AQ356" s="138"/>
      <c r="AR356" s="138"/>
      <c r="AS356" s="138"/>
      <c r="AT356" s="138"/>
      <c r="AU356" s="138"/>
      <c r="AV356" s="138"/>
      <c r="AW356" s="138"/>
      <c r="AX356" s="138"/>
      <c r="AY356" s="138"/>
      <c r="AZ356" s="138"/>
      <c r="BA356" s="138"/>
      <c r="BB356" s="138"/>
      <c r="BC356" s="138"/>
      <c r="BD356" s="138"/>
      <c r="BE356" s="138"/>
      <c r="BF356" s="138"/>
      <c r="BG356" s="138"/>
      <c r="BH356" s="138"/>
      <c r="BI356" s="138"/>
      <c r="BJ356" s="138"/>
      <c r="BK356" s="138"/>
      <c r="BL356" s="138"/>
      <c r="BM356" s="138"/>
      <c r="BN356" s="138"/>
      <c r="BO356" s="138"/>
    </row>
    <row r="357" spans="1:67" ht="51" customHeight="1" x14ac:dyDescent="0.2">
      <c r="A357" s="292">
        <v>98</v>
      </c>
      <c r="B357" s="168" t="s">
        <v>584</v>
      </c>
      <c r="C357" s="169"/>
      <c r="D357" s="295" t="s">
        <v>107</v>
      </c>
      <c r="E357" s="295"/>
      <c r="F357" s="295"/>
      <c r="G357" s="295"/>
      <c r="H357" s="295"/>
      <c r="I357" s="280" t="s">
        <v>585</v>
      </c>
      <c r="J357" s="318" t="s">
        <v>390</v>
      </c>
      <c r="K357" s="173">
        <f>4800*100%</f>
        <v>4800</v>
      </c>
      <c r="L357" s="297" t="s">
        <v>111</v>
      </c>
      <c r="M357" s="259" t="s">
        <v>586</v>
      </c>
      <c r="AV357" s="138"/>
      <c r="AW357" s="138"/>
      <c r="AX357" s="138"/>
      <c r="AY357" s="138"/>
      <c r="AZ357" s="138"/>
      <c r="BA357" s="138"/>
      <c r="BB357" s="138"/>
      <c r="BC357" s="138"/>
      <c r="BD357" s="138"/>
      <c r="BE357" s="138"/>
      <c r="BF357" s="138"/>
      <c r="BG357" s="138"/>
      <c r="BH357" s="138"/>
      <c r="BI357" s="138"/>
      <c r="BJ357" s="138"/>
      <c r="BK357" s="138"/>
      <c r="BL357" s="138"/>
      <c r="BM357" s="138"/>
      <c r="BN357" s="138"/>
      <c r="BO357" s="138"/>
    </row>
    <row r="358" spans="1:67" ht="51" customHeight="1" x14ac:dyDescent="0.2">
      <c r="A358" s="292">
        <v>99</v>
      </c>
      <c r="B358" s="168" t="s">
        <v>587</v>
      </c>
      <c r="C358" s="169"/>
      <c r="D358" s="295" t="s">
        <v>107</v>
      </c>
      <c r="E358" s="295"/>
      <c r="F358" s="295"/>
      <c r="G358" s="295"/>
      <c r="H358" s="295"/>
      <c r="I358" s="171" t="s">
        <v>588</v>
      </c>
      <c r="J358" s="318" t="s">
        <v>390</v>
      </c>
      <c r="K358" s="173">
        <f>4800*100%</f>
        <v>4800</v>
      </c>
      <c r="L358" s="297" t="s">
        <v>111</v>
      </c>
      <c r="M358" s="259" t="s">
        <v>589</v>
      </c>
      <c r="AV358" s="138"/>
      <c r="AW358" s="138"/>
      <c r="AX358" s="138"/>
      <c r="AY358" s="138"/>
      <c r="AZ358" s="138"/>
      <c r="BA358" s="138"/>
      <c r="BB358" s="138"/>
      <c r="BC358" s="138"/>
      <c r="BD358" s="138"/>
      <c r="BE358" s="138"/>
      <c r="BF358" s="138"/>
      <c r="BG358" s="138"/>
      <c r="BH358" s="138"/>
      <c r="BI358" s="138"/>
      <c r="BJ358" s="138"/>
      <c r="BK358" s="138"/>
      <c r="BL358" s="138"/>
      <c r="BM358" s="138"/>
      <c r="BN358" s="138"/>
      <c r="BO358" s="138"/>
    </row>
    <row r="359" spans="1:67" x14ac:dyDescent="0.2">
      <c r="A359" s="167">
        <v>100</v>
      </c>
      <c r="B359" s="168" t="s">
        <v>590</v>
      </c>
      <c r="C359" s="169"/>
      <c r="D359" s="170" t="s">
        <v>107</v>
      </c>
      <c r="E359" s="170"/>
      <c r="F359" s="170"/>
      <c r="G359" s="170"/>
      <c r="H359" s="170"/>
      <c r="I359" s="217" t="s">
        <v>591</v>
      </c>
      <c r="J359" s="172" t="s">
        <v>390</v>
      </c>
      <c r="K359" s="173">
        <f>4800*50%</f>
        <v>2400</v>
      </c>
      <c r="L359" s="174" t="s">
        <v>111</v>
      </c>
      <c r="M359" s="175" t="s">
        <v>592</v>
      </c>
      <c r="AV359" s="138"/>
      <c r="AW359" s="138"/>
      <c r="AX359" s="138"/>
      <c r="AY359" s="138"/>
      <c r="AZ359" s="138"/>
      <c r="BA359" s="138"/>
      <c r="BB359" s="138"/>
      <c r="BC359" s="138"/>
      <c r="BD359" s="138"/>
      <c r="BE359" s="138"/>
      <c r="BF359" s="138"/>
      <c r="BG359" s="138"/>
      <c r="BH359" s="138"/>
      <c r="BI359" s="138"/>
      <c r="BJ359" s="138"/>
      <c r="BK359" s="138"/>
      <c r="BL359" s="138"/>
      <c r="BM359" s="138"/>
      <c r="BN359" s="138"/>
      <c r="BO359" s="138"/>
    </row>
    <row r="360" spans="1:67" ht="48" x14ac:dyDescent="0.2">
      <c r="A360" s="177"/>
      <c r="B360" s="178"/>
      <c r="C360" s="179"/>
      <c r="D360" s="180"/>
      <c r="E360" s="180"/>
      <c r="F360" s="180"/>
      <c r="G360" s="180"/>
      <c r="H360" s="180"/>
      <c r="I360" s="171" t="s">
        <v>593</v>
      </c>
      <c r="J360" s="182" t="s">
        <v>594</v>
      </c>
      <c r="K360" s="183">
        <f>4800*20%</f>
        <v>960</v>
      </c>
      <c r="L360" s="184"/>
      <c r="M360" s="185"/>
      <c r="N360" s="176"/>
      <c r="AV360" s="138"/>
      <c r="AW360" s="138"/>
      <c r="AX360" s="138"/>
      <c r="AY360" s="138"/>
      <c r="AZ360" s="138"/>
      <c r="BA360" s="138"/>
      <c r="BB360" s="138"/>
      <c r="BC360" s="138"/>
      <c r="BD360" s="138"/>
      <c r="BE360" s="138"/>
      <c r="BF360" s="138"/>
      <c r="BG360" s="138"/>
      <c r="BH360" s="138"/>
      <c r="BI360" s="138"/>
      <c r="BJ360" s="138"/>
      <c r="BK360" s="138"/>
      <c r="BL360" s="138"/>
      <c r="BM360" s="138"/>
      <c r="BN360" s="138"/>
      <c r="BO360" s="138"/>
    </row>
    <row r="361" spans="1:67" x14ac:dyDescent="0.2">
      <c r="A361" s="177"/>
      <c r="B361" s="178"/>
      <c r="C361" s="179"/>
      <c r="D361" s="180"/>
      <c r="E361" s="180"/>
      <c r="F361" s="180"/>
      <c r="G361" s="180"/>
      <c r="H361" s="180"/>
      <c r="I361" s="188" t="s">
        <v>595</v>
      </c>
      <c r="J361" s="172" t="s">
        <v>390</v>
      </c>
      <c r="K361" s="186">
        <f>4800*20%</f>
        <v>960</v>
      </c>
      <c r="L361" s="184"/>
      <c r="M361" s="185"/>
      <c r="AV361" s="138"/>
      <c r="AW361" s="138"/>
      <c r="AX361" s="138"/>
      <c r="AY361" s="138"/>
      <c r="AZ361" s="138"/>
      <c r="BA361" s="138"/>
      <c r="BB361" s="138"/>
      <c r="BC361" s="138"/>
      <c r="BD361" s="138"/>
      <c r="BE361" s="138"/>
      <c r="BF361" s="138"/>
      <c r="BG361" s="138"/>
      <c r="BH361" s="138"/>
      <c r="BI361" s="138"/>
      <c r="BJ361" s="138"/>
      <c r="BK361" s="138"/>
      <c r="BL361" s="138"/>
      <c r="BM361" s="138"/>
      <c r="BN361" s="138"/>
      <c r="BO361" s="138"/>
    </row>
    <row r="362" spans="1:67" ht="48" x14ac:dyDescent="0.2">
      <c r="A362" s="177"/>
      <c r="B362" s="178"/>
      <c r="C362" s="179"/>
      <c r="D362" s="180"/>
      <c r="E362" s="180"/>
      <c r="F362" s="180"/>
      <c r="G362" s="180"/>
      <c r="H362" s="180"/>
      <c r="I362" s="171" t="s">
        <v>596</v>
      </c>
      <c r="J362" s="187" t="s">
        <v>547</v>
      </c>
      <c r="K362" s="183">
        <f>4800*10%</f>
        <v>480</v>
      </c>
      <c r="L362" s="184"/>
      <c r="M362" s="185"/>
      <c r="N362" s="176"/>
      <c r="AV362" s="138"/>
      <c r="AW362" s="138"/>
      <c r="AX362" s="138"/>
      <c r="AY362" s="138"/>
      <c r="AZ362" s="138"/>
      <c r="BA362" s="138"/>
      <c r="BB362" s="138"/>
      <c r="BC362" s="138"/>
      <c r="BD362" s="138"/>
      <c r="BE362" s="138"/>
      <c r="BF362" s="138"/>
      <c r="BG362" s="138"/>
      <c r="BH362" s="138"/>
      <c r="BI362" s="138"/>
      <c r="BJ362" s="138"/>
      <c r="BK362" s="138"/>
      <c r="BL362" s="138"/>
      <c r="BM362" s="138"/>
      <c r="BN362" s="138"/>
      <c r="BO362" s="138"/>
    </row>
    <row r="363" spans="1:67" x14ac:dyDescent="0.2">
      <c r="A363" s="189"/>
      <c r="B363" s="190"/>
      <c r="C363" s="191"/>
      <c r="D363" s="192"/>
      <c r="E363" s="192"/>
      <c r="F363" s="192"/>
      <c r="G363" s="192"/>
      <c r="H363" s="192"/>
      <c r="I363" s="203"/>
      <c r="J363" s="194"/>
      <c r="K363" s="195">
        <f>SUM(K359:K362)</f>
        <v>4800</v>
      </c>
      <c r="L363" s="196"/>
      <c r="M363" s="197"/>
      <c r="AV363" s="138"/>
      <c r="AW363" s="138"/>
      <c r="AX363" s="138"/>
      <c r="AY363" s="138"/>
      <c r="AZ363" s="138"/>
      <c r="BA363" s="138"/>
      <c r="BB363" s="138"/>
      <c r="BC363" s="138"/>
      <c r="BD363" s="138"/>
      <c r="BE363" s="138"/>
      <c r="BF363" s="138"/>
      <c r="BG363" s="138"/>
      <c r="BH363" s="138"/>
      <c r="BI363" s="138"/>
      <c r="BJ363" s="138"/>
      <c r="BK363" s="138"/>
      <c r="BL363" s="138"/>
      <c r="BM363" s="138"/>
      <c r="BN363" s="138"/>
      <c r="BO363" s="138"/>
    </row>
    <row r="364" spans="1:67" ht="48.75" customHeight="1" x14ac:dyDescent="0.2">
      <c r="A364" s="292">
        <v>101</v>
      </c>
      <c r="B364" s="168" t="s">
        <v>597</v>
      </c>
      <c r="C364" s="169"/>
      <c r="D364" s="295" t="s">
        <v>107</v>
      </c>
      <c r="E364" s="295"/>
      <c r="F364" s="295"/>
      <c r="G364" s="295"/>
      <c r="H364" s="295"/>
      <c r="I364" s="217" t="s">
        <v>598</v>
      </c>
      <c r="J364" s="281" t="s">
        <v>390</v>
      </c>
      <c r="K364" s="212">
        <f>4800*100%</f>
        <v>4800</v>
      </c>
      <c r="L364" s="297" t="s">
        <v>111</v>
      </c>
      <c r="M364" s="259" t="s">
        <v>599</v>
      </c>
      <c r="AV364" s="138"/>
      <c r="AW364" s="138"/>
      <c r="AX364" s="138"/>
      <c r="AY364" s="138"/>
      <c r="AZ364" s="138"/>
      <c r="BA364" s="138"/>
      <c r="BB364" s="138"/>
      <c r="BC364" s="138"/>
      <c r="BD364" s="138"/>
      <c r="BE364" s="138"/>
      <c r="BF364" s="138"/>
      <c r="BG364" s="138"/>
      <c r="BH364" s="138"/>
      <c r="BI364" s="138"/>
      <c r="BJ364" s="138"/>
      <c r="BK364" s="138"/>
      <c r="BL364" s="138"/>
      <c r="BM364" s="138"/>
      <c r="BN364" s="138"/>
      <c r="BO364" s="138"/>
    </row>
    <row r="365" spans="1:67" x14ac:dyDescent="0.2">
      <c r="A365" s="167">
        <v>102</v>
      </c>
      <c r="B365" s="168" t="s">
        <v>600</v>
      </c>
      <c r="C365" s="169"/>
      <c r="D365" s="170" t="s">
        <v>107</v>
      </c>
      <c r="E365" s="170"/>
      <c r="F365" s="170"/>
      <c r="G365" s="170"/>
      <c r="H365" s="170"/>
      <c r="I365" s="217" t="s">
        <v>601</v>
      </c>
      <c r="J365" s="172" t="s">
        <v>390</v>
      </c>
      <c r="K365" s="173">
        <f>5000*90%</f>
        <v>4500</v>
      </c>
      <c r="L365" s="174" t="s">
        <v>111</v>
      </c>
      <c r="M365" s="175" t="s">
        <v>602</v>
      </c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8"/>
      <c r="BF365" s="138"/>
      <c r="BG365" s="138"/>
      <c r="BH365" s="138"/>
      <c r="BI365" s="138"/>
      <c r="BJ365" s="138"/>
      <c r="BK365" s="138"/>
      <c r="BL365" s="138"/>
      <c r="BM365" s="138"/>
      <c r="BN365" s="138"/>
      <c r="BO365" s="138"/>
    </row>
    <row r="366" spans="1:67" x14ac:dyDescent="0.2">
      <c r="A366" s="177"/>
      <c r="B366" s="178"/>
      <c r="C366" s="179"/>
      <c r="D366" s="180"/>
      <c r="E366" s="180"/>
      <c r="F366" s="180"/>
      <c r="G366" s="180"/>
      <c r="H366" s="180"/>
      <c r="I366" s="188" t="s">
        <v>603</v>
      </c>
      <c r="J366" s="182" t="s">
        <v>390</v>
      </c>
      <c r="K366" s="183">
        <f>5000*10%</f>
        <v>500</v>
      </c>
      <c r="L366" s="184"/>
      <c r="M366" s="185"/>
      <c r="AV366" s="138"/>
      <c r="AW366" s="138"/>
      <c r="AX366" s="138"/>
      <c r="AY366" s="138"/>
      <c r="AZ366" s="138"/>
      <c r="BA366" s="138"/>
      <c r="BB366" s="138"/>
      <c r="BC366" s="138"/>
      <c r="BD366" s="138"/>
      <c r="BE366" s="138"/>
      <c r="BF366" s="138"/>
      <c r="BG366" s="138"/>
      <c r="BH366" s="138"/>
      <c r="BI366" s="138"/>
      <c r="BJ366" s="138"/>
      <c r="BK366" s="138"/>
      <c r="BL366" s="138"/>
      <c r="BM366" s="138"/>
      <c r="BN366" s="138"/>
      <c r="BO366" s="138"/>
    </row>
    <row r="367" spans="1:67" x14ac:dyDescent="0.2">
      <c r="A367" s="189"/>
      <c r="B367" s="190"/>
      <c r="C367" s="191"/>
      <c r="D367" s="192"/>
      <c r="E367" s="192"/>
      <c r="F367" s="192"/>
      <c r="G367" s="192"/>
      <c r="H367" s="192"/>
      <c r="I367" s="193"/>
      <c r="J367" s="215"/>
      <c r="K367" s="216">
        <f>SUM(K365:K366)</f>
        <v>5000</v>
      </c>
      <c r="L367" s="196"/>
      <c r="M367" s="197"/>
      <c r="AV367" s="138"/>
      <c r="AW367" s="138"/>
      <c r="AX367" s="138"/>
      <c r="AY367" s="138"/>
      <c r="AZ367" s="138"/>
      <c r="BA367" s="138"/>
      <c r="BB367" s="138"/>
      <c r="BC367" s="138"/>
      <c r="BD367" s="138"/>
      <c r="BE367" s="138"/>
      <c r="BF367" s="138"/>
      <c r="BG367" s="138"/>
      <c r="BH367" s="138"/>
      <c r="BI367" s="138"/>
      <c r="BJ367" s="138"/>
      <c r="BK367" s="138"/>
      <c r="BL367" s="138"/>
      <c r="BM367" s="138"/>
      <c r="BN367" s="138"/>
      <c r="BO367" s="138"/>
    </row>
    <row r="368" spans="1:67" x14ac:dyDescent="0.2">
      <c r="A368" s="167">
        <v>103</v>
      </c>
      <c r="B368" s="168" t="s">
        <v>604</v>
      </c>
      <c r="C368" s="169"/>
      <c r="D368" s="170" t="s">
        <v>107</v>
      </c>
      <c r="E368" s="170"/>
      <c r="F368" s="170"/>
      <c r="G368" s="170"/>
      <c r="H368" s="170"/>
      <c r="I368" s="217" t="s">
        <v>605</v>
      </c>
      <c r="J368" s="172" t="s">
        <v>390</v>
      </c>
      <c r="K368" s="173">
        <f>4300*30%</f>
        <v>1290</v>
      </c>
      <c r="L368" s="174" t="s">
        <v>111</v>
      </c>
      <c r="M368" s="175" t="s">
        <v>606</v>
      </c>
      <c r="AV368" s="138"/>
      <c r="AW368" s="138"/>
      <c r="AX368" s="138"/>
      <c r="AY368" s="138"/>
      <c r="AZ368" s="138"/>
      <c r="BA368" s="138"/>
      <c r="BB368" s="138"/>
      <c r="BC368" s="138"/>
      <c r="BD368" s="138"/>
      <c r="BE368" s="138"/>
      <c r="BF368" s="138"/>
      <c r="BG368" s="138"/>
      <c r="BH368" s="138"/>
      <c r="BI368" s="138"/>
      <c r="BJ368" s="138"/>
      <c r="BK368" s="138"/>
      <c r="BL368" s="138"/>
      <c r="BM368" s="138"/>
      <c r="BN368" s="138"/>
      <c r="BO368" s="138"/>
    </row>
    <row r="369" spans="1:67" x14ac:dyDescent="0.2">
      <c r="A369" s="177"/>
      <c r="B369" s="178"/>
      <c r="C369" s="179"/>
      <c r="D369" s="180"/>
      <c r="E369" s="180"/>
      <c r="F369" s="180"/>
      <c r="G369" s="180"/>
      <c r="H369" s="180"/>
      <c r="I369" s="188" t="s">
        <v>607</v>
      </c>
      <c r="J369" s="182" t="s">
        <v>390</v>
      </c>
      <c r="K369" s="183">
        <f>4300*40%</f>
        <v>1720</v>
      </c>
      <c r="L369" s="184"/>
      <c r="M369" s="185"/>
      <c r="AV369" s="138"/>
      <c r="AW369" s="138"/>
      <c r="AX369" s="138"/>
      <c r="AY369" s="138"/>
      <c r="AZ369" s="138"/>
      <c r="BA369" s="138"/>
      <c r="BB369" s="138"/>
      <c r="BC369" s="138"/>
      <c r="BD369" s="138"/>
      <c r="BE369" s="138"/>
      <c r="BF369" s="138"/>
      <c r="BG369" s="138"/>
      <c r="BH369" s="138"/>
      <c r="BI369" s="138"/>
      <c r="BJ369" s="138"/>
      <c r="BK369" s="138"/>
      <c r="BL369" s="138"/>
      <c r="BM369" s="138"/>
      <c r="BN369" s="138"/>
      <c r="BO369" s="138"/>
    </row>
    <row r="370" spans="1:67" x14ac:dyDescent="0.2">
      <c r="A370" s="177"/>
      <c r="B370" s="178"/>
      <c r="C370" s="179"/>
      <c r="D370" s="180"/>
      <c r="E370" s="180"/>
      <c r="F370" s="180"/>
      <c r="G370" s="180"/>
      <c r="H370" s="180"/>
      <c r="I370" s="171" t="s">
        <v>608</v>
      </c>
      <c r="J370" s="291" t="s">
        <v>390</v>
      </c>
      <c r="K370" s="183">
        <f>4300*30%</f>
        <v>1290</v>
      </c>
      <c r="L370" s="184"/>
      <c r="M370" s="185"/>
      <c r="AV370" s="138"/>
      <c r="AW370" s="138"/>
      <c r="AX370" s="138"/>
      <c r="AY370" s="138"/>
      <c r="AZ370" s="138"/>
      <c r="BA370" s="138"/>
      <c r="BB370" s="138"/>
      <c r="BC370" s="138"/>
      <c r="BD370" s="138"/>
      <c r="BE370" s="138"/>
      <c r="BF370" s="138"/>
      <c r="BG370" s="138"/>
      <c r="BH370" s="138"/>
      <c r="BI370" s="138"/>
      <c r="BJ370" s="138"/>
      <c r="BK370" s="138"/>
      <c r="BL370" s="138"/>
      <c r="BM370" s="138"/>
      <c r="BN370" s="138"/>
      <c r="BO370" s="138"/>
    </row>
    <row r="371" spans="1:67" x14ac:dyDescent="0.2">
      <c r="A371" s="189"/>
      <c r="B371" s="190"/>
      <c r="C371" s="191"/>
      <c r="D371" s="192"/>
      <c r="E371" s="192"/>
      <c r="F371" s="192"/>
      <c r="G371" s="192"/>
      <c r="H371" s="192"/>
      <c r="I371" s="203"/>
      <c r="J371" s="215"/>
      <c r="K371" s="216">
        <f>SUM(K368:K370)</f>
        <v>4300</v>
      </c>
      <c r="L371" s="196"/>
      <c r="M371" s="197"/>
      <c r="AV371" s="138"/>
      <c r="AW371" s="138"/>
      <c r="AX371" s="138"/>
      <c r="AY371" s="138"/>
      <c r="AZ371" s="138"/>
      <c r="BA371" s="138"/>
      <c r="BB371" s="138"/>
      <c r="BC371" s="138"/>
      <c r="BD371" s="138"/>
      <c r="BE371" s="138"/>
      <c r="BF371" s="138"/>
      <c r="BG371" s="138"/>
      <c r="BH371" s="138"/>
      <c r="BI371" s="138"/>
      <c r="BJ371" s="138"/>
      <c r="BK371" s="138"/>
      <c r="BL371" s="138"/>
      <c r="BM371" s="138"/>
      <c r="BN371" s="138"/>
      <c r="BO371" s="138"/>
    </row>
    <row r="372" spans="1:67" x14ac:dyDescent="0.2">
      <c r="A372" s="167">
        <v>104</v>
      </c>
      <c r="B372" s="168" t="s">
        <v>609</v>
      </c>
      <c r="C372" s="169"/>
      <c r="D372" s="170" t="s">
        <v>107</v>
      </c>
      <c r="E372" s="170"/>
      <c r="F372" s="170"/>
      <c r="G372" s="170"/>
      <c r="H372" s="170"/>
      <c r="I372" s="171" t="s">
        <v>610</v>
      </c>
      <c r="J372" s="172" t="s">
        <v>390</v>
      </c>
      <c r="K372" s="173">
        <f>5000*40%</f>
        <v>2000</v>
      </c>
      <c r="L372" s="174" t="s">
        <v>111</v>
      </c>
      <c r="M372" s="175" t="s">
        <v>611</v>
      </c>
      <c r="AV372" s="138"/>
      <c r="AW372" s="138"/>
      <c r="AX372" s="138"/>
      <c r="AY372" s="138"/>
      <c r="AZ372" s="138"/>
      <c r="BA372" s="138"/>
      <c r="BB372" s="138"/>
      <c r="BC372" s="138"/>
      <c r="BD372" s="138"/>
      <c r="BE372" s="138"/>
      <c r="BF372" s="138"/>
      <c r="BG372" s="138"/>
      <c r="BH372" s="138"/>
      <c r="BI372" s="138"/>
      <c r="BJ372" s="138"/>
      <c r="BK372" s="138"/>
      <c r="BL372" s="138"/>
      <c r="BM372" s="138"/>
      <c r="BN372" s="138"/>
      <c r="BO372" s="138"/>
    </row>
    <row r="373" spans="1:67" x14ac:dyDescent="0.2">
      <c r="A373" s="177"/>
      <c r="B373" s="178"/>
      <c r="C373" s="179"/>
      <c r="D373" s="180"/>
      <c r="E373" s="180"/>
      <c r="F373" s="180"/>
      <c r="G373" s="180"/>
      <c r="H373" s="180"/>
      <c r="I373" s="181" t="s">
        <v>612</v>
      </c>
      <c r="J373" s="187" t="s">
        <v>390</v>
      </c>
      <c r="K373" s="183">
        <f>5000*50%</f>
        <v>2500</v>
      </c>
      <c r="L373" s="184"/>
      <c r="M373" s="185"/>
      <c r="AV373" s="138"/>
      <c r="AW373" s="138"/>
      <c r="AX373" s="138"/>
      <c r="AY373" s="138"/>
      <c r="AZ373" s="138"/>
      <c r="BA373" s="138"/>
      <c r="BB373" s="138"/>
      <c r="BC373" s="138"/>
      <c r="BD373" s="138"/>
      <c r="BE373" s="138"/>
      <c r="BF373" s="138"/>
      <c r="BG373" s="138"/>
      <c r="BH373" s="138"/>
      <c r="BI373" s="138"/>
      <c r="BJ373" s="138"/>
      <c r="BK373" s="138"/>
      <c r="BL373" s="138"/>
      <c r="BM373" s="138"/>
      <c r="BN373" s="138"/>
      <c r="BO373" s="138"/>
    </row>
    <row r="374" spans="1:67" x14ac:dyDescent="0.2">
      <c r="A374" s="177"/>
      <c r="B374" s="178"/>
      <c r="C374" s="179"/>
      <c r="D374" s="180"/>
      <c r="E374" s="180"/>
      <c r="F374" s="180"/>
      <c r="G374" s="180"/>
      <c r="H374" s="180"/>
      <c r="I374" s="188" t="s">
        <v>613</v>
      </c>
      <c r="J374" s="187" t="s">
        <v>390</v>
      </c>
      <c r="K374" s="208">
        <f>5000*10%</f>
        <v>500</v>
      </c>
      <c r="L374" s="184"/>
      <c r="M374" s="185"/>
      <c r="AV374" s="138"/>
      <c r="AW374" s="138"/>
      <c r="AX374" s="138"/>
      <c r="AY374" s="138"/>
      <c r="AZ374" s="138"/>
      <c r="BA374" s="138"/>
      <c r="BB374" s="138"/>
      <c r="BC374" s="138"/>
      <c r="BD374" s="138"/>
      <c r="BE374" s="138"/>
      <c r="BF374" s="138"/>
      <c r="BG374" s="138"/>
      <c r="BH374" s="138"/>
      <c r="BI374" s="138"/>
      <c r="BJ374" s="138"/>
      <c r="BK374" s="138"/>
      <c r="BL374" s="138"/>
      <c r="BM374" s="138"/>
      <c r="BN374" s="138"/>
      <c r="BO374" s="138"/>
    </row>
    <row r="375" spans="1:67" x14ac:dyDescent="0.2">
      <c r="A375" s="189"/>
      <c r="B375" s="190"/>
      <c r="C375" s="191"/>
      <c r="D375" s="192"/>
      <c r="E375" s="192"/>
      <c r="F375" s="192"/>
      <c r="G375" s="192"/>
      <c r="H375" s="192"/>
      <c r="I375" s="193"/>
      <c r="J375" s="194"/>
      <c r="K375" s="209">
        <f>SUM(K372:K374)</f>
        <v>5000</v>
      </c>
      <c r="L375" s="196"/>
      <c r="M375" s="197"/>
      <c r="AV375" s="138"/>
      <c r="AW375" s="138"/>
      <c r="AX375" s="138"/>
      <c r="AY375" s="138"/>
      <c r="AZ375" s="138"/>
      <c r="BA375" s="138"/>
      <c r="BB375" s="138"/>
      <c r="BC375" s="138"/>
      <c r="BD375" s="138"/>
      <c r="BE375" s="138"/>
      <c r="BF375" s="138"/>
      <c r="BG375" s="138"/>
      <c r="BH375" s="138"/>
      <c r="BI375" s="138"/>
      <c r="BJ375" s="138"/>
      <c r="BK375" s="138"/>
      <c r="BL375" s="138"/>
      <c r="BM375" s="138"/>
      <c r="BN375" s="138"/>
      <c r="BO375" s="138"/>
    </row>
    <row r="376" spans="1:67" x14ac:dyDescent="0.2">
      <c r="A376" s="292">
        <v>105</v>
      </c>
      <c r="B376" s="168" t="s">
        <v>614</v>
      </c>
      <c r="C376" s="169"/>
      <c r="D376" s="295" t="s">
        <v>107</v>
      </c>
      <c r="E376" s="295"/>
      <c r="F376" s="295"/>
      <c r="G376" s="295"/>
      <c r="H376" s="295"/>
      <c r="I376" s="280" t="s">
        <v>615</v>
      </c>
      <c r="J376" s="318" t="s">
        <v>390</v>
      </c>
      <c r="K376" s="173">
        <f>8000*100%</f>
        <v>8000</v>
      </c>
      <c r="L376" s="297" t="s">
        <v>111</v>
      </c>
      <c r="M376" s="259" t="s">
        <v>616</v>
      </c>
      <c r="AV376" s="138"/>
      <c r="AW376" s="138"/>
      <c r="AX376" s="138"/>
      <c r="AY376" s="138"/>
      <c r="AZ376" s="138"/>
      <c r="BA376" s="138"/>
      <c r="BB376" s="138"/>
      <c r="BC376" s="138"/>
      <c r="BD376" s="138"/>
      <c r="BE376" s="138"/>
      <c r="BF376" s="138"/>
      <c r="BG376" s="138"/>
      <c r="BH376" s="138"/>
      <c r="BI376" s="138"/>
      <c r="BJ376" s="138"/>
      <c r="BK376" s="138"/>
      <c r="BL376" s="138"/>
      <c r="BM376" s="138"/>
      <c r="BN376" s="138"/>
      <c r="BO376" s="138"/>
    </row>
    <row r="377" spans="1:67" x14ac:dyDescent="0.2">
      <c r="A377" s="167">
        <v>106</v>
      </c>
      <c r="B377" s="168" t="s">
        <v>617</v>
      </c>
      <c r="C377" s="169"/>
      <c r="D377" s="170" t="s">
        <v>107</v>
      </c>
      <c r="E377" s="170"/>
      <c r="F377" s="170"/>
      <c r="G377" s="170"/>
      <c r="H377" s="170"/>
      <c r="I377" s="171" t="s">
        <v>618</v>
      </c>
      <c r="J377" s="172" t="s">
        <v>390</v>
      </c>
      <c r="K377" s="173">
        <f>8000*80%</f>
        <v>6400</v>
      </c>
      <c r="L377" s="174" t="s">
        <v>111</v>
      </c>
      <c r="M377" s="175" t="s">
        <v>619</v>
      </c>
      <c r="AV377" s="138"/>
      <c r="AW377" s="138"/>
      <c r="AX377" s="138"/>
      <c r="AY377" s="138"/>
      <c r="AZ377" s="138"/>
      <c r="BA377" s="138"/>
      <c r="BB377" s="138"/>
      <c r="BC377" s="138"/>
      <c r="BD377" s="138"/>
      <c r="BE377" s="138"/>
      <c r="BF377" s="138"/>
      <c r="BG377" s="138"/>
      <c r="BH377" s="138"/>
      <c r="BI377" s="138"/>
      <c r="BJ377" s="138"/>
      <c r="BK377" s="138"/>
      <c r="BL377" s="138"/>
      <c r="BM377" s="138"/>
      <c r="BN377" s="138"/>
      <c r="BO377" s="138"/>
    </row>
    <row r="378" spans="1:67" x14ac:dyDescent="0.2">
      <c r="A378" s="177"/>
      <c r="B378" s="178"/>
      <c r="C378" s="179"/>
      <c r="D378" s="180"/>
      <c r="E378" s="180"/>
      <c r="F378" s="180"/>
      <c r="G378" s="180"/>
      <c r="H378" s="180"/>
      <c r="I378" s="188" t="s">
        <v>620</v>
      </c>
      <c r="J378" s="187" t="s">
        <v>390</v>
      </c>
      <c r="K378" s="183">
        <f>8000*5%</f>
        <v>400</v>
      </c>
      <c r="L378" s="184"/>
      <c r="M378" s="185"/>
      <c r="AV378" s="138"/>
      <c r="AW378" s="138"/>
      <c r="AX378" s="138"/>
      <c r="AY378" s="138"/>
      <c r="AZ378" s="138"/>
      <c r="BA378" s="138"/>
      <c r="BB378" s="138"/>
      <c r="BC378" s="138"/>
      <c r="BD378" s="138"/>
      <c r="BE378" s="138"/>
      <c r="BF378" s="138"/>
      <c r="BG378" s="138"/>
      <c r="BH378" s="138"/>
      <c r="BI378" s="138"/>
      <c r="BJ378" s="138"/>
      <c r="BK378" s="138"/>
      <c r="BL378" s="138"/>
      <c r="BM378" s="138"/>
      <c r="BN378" s="138"/>
      <c r="BO378" s="138"/>
    </row>
    <row r="379" spans="1:67" x14ac:dyDescent="0.2">
      <c r="A379" s="177"/>
      <c r="B379" s="178"/>
      <c r="C379" s="179"/>
      <c r="D379" s="180"/>
      <c r="E379" s="180"/>
      <c r="F379" s="180"/>
      <c r="G379" s="180"/>
      <c r="H379" s="180"/>
      <c r="I379" s="181" t="s">
        <v>621</v>
      </c>
      <c r="J379" s="187" t="s">
        <v>390</v>
      </c>
      <c r="K379" s="208">
        <f>8000*5%</f>
        <v>400</v>
      </c>
      <c r="L379" s="184"/>
      <c r="M379" s="185"/>
      <c r="AV379" s="138"/>
      <c r="AW379" s="138"/>
      <c r="AX379" s="138"/>
      <c r="AY379" s="138"/>
      <c r="AZ379" s="138"/>
      <c r="BA379" s="138"/>
      <c r="BB379" s="138"/>
      <c r="BC379" s="138"/>
      <c r="BD379" s="138"/>
      <c r="BE379" s="138"/>
      <c r="BF379" s="138"/>
      <c r="BG379" s="138"/>
      <c r="BH379" s="138"/>
      <c r="BI379" s="138"/>
      <c r="BJ379" s="138"/>
      <c r="BK379" s="138"/>
      <c r="BL379" s="138"/>
      <c r="BM379" s="138"/>
      <c r="BN379" s="138"/>
      <c r="BO379" s="138"/>
    </row>
    <row r="380" spans="1:67" x14ac:dyDescent="0.2">
      <c r="A380" s="177"/>
      <c r="B380" s="178"/>
      <c r="C380" s="179"/>
      <c r="D380" s="180"/>
      <c r="E380" s="180"/>
      <c r="F380" s="180"/>
      <c r="G380" s="180"/>
      <c r="H380" s="180"/>
      <c r="I380" s="181" t="s">
        <v>622</v>
      </c>
      <c r="J380" s="182" t="s">
        <v>390</v>
      </c>
      <c r="K380" s="202">
        <f>8000*5%</f>
        <v>400</v>
      </c>
      <c r="L380" s="184"/>
      <c r="M380" s="185"/>
      <c r="AV380" s="138"/>
      <c r="AW380" s="138"/>
      <c r="AX380" s="138"/>
      <c r="AY380" s="138"/>
      <c r="AZ380" s="138"/>
      <c r="BA380" s="138"/>
      <c r="BB380" s="138"/>
      <c r="BC380" s="138"/>
      <c r="BD380" s="138"/>
      <c r="BE380" s="138"/>
      <c r="BF380" s="138"/>
      <c r="BG380" s="138"/>
      <c r="BH380" s="138"/>
      <c r="BI380" s="138"/>
      <c r="BJ380" s="138"/>
      <c r="BK380" s="138"/>
      <c r="BL380" s="138"/>
      <c r="BM380" s="138"/>
      <c r="BN380" s="138"/>
      <c r="BO380" s="138"/>
    </row>
    <row r="381" spans="1:67" x14ac:dyDescent="0.2">
      <c r="A381" s="177"/>
      <c r="B381" s="178"/>
      <c r="C381" s="179"/>
      <c r="D381" s="180"/>
      <c r="E381" s="180"/>
      <c r="F381" s="180"/>
      <c r="G381" s="180"/>
      <c r="H381" s="180"/>
      <c r="I381" s="188" t="s">
        <v>623</v>
      </c>
      <c r="J381" s="172" t="s">
        <v>390</v>
      </c>
      <c r="K381" s="186">
        <f>8000*5%</f>
        <v>400</v>
      </c>
      <c r="L381" s="184"/>
      <c r="M381" s="185"/>
      <c r="AV381" s="138"/>
      <c r="AW381" s="138"/>
      <c r="AX381" s="138"/>
      <c r="AY381" s="138"/>
      <c r="AZ381" s="138"/>
      <c r="BA381" s="138"/>
      <c r="BB381" s="138"/>
      <c r="BC381" s="138"/>
      <c r="BD381" s="138"/>
      <c r="BE381" s="138"/>
      <c r="BF381" s="138"/>
      <c r="BG381" s="138"/>
      <c r="BH381" s="138"/>
      <c r="BI381" s="138"/>
      <c r="BJ381" s="138"/>
      <c r="BK381" s="138"/>
      <c r="BL381" s="138"/>
      <c r="BM381" s="138"/>
      <c r="BN381" s="138"/>
      <c r="BO381" s="138"/>
    </row>
    <row r="382" spans="1:67" x14ac:dyDescent="0.2">
      <c r="A382" s="189"/>
      <c r="B382" s="190"/>
      <c r="C382" s="191"/>
      <c r="D382" s="192"/>
      <c r="E382" s="192"/>
      <c r="F382" s="192"/>
      <c r="G382" s="192"/>
      <c r="H382" s="192"/>
      <c r="I382" s="203"/>
      <c r="J382" s="194"/>
      <c r="K382" s="195">
        <f>SUM(K377:K381)</f>
        <v>8000</v>
      </c>
      <c r="L382" s="196"/>
      <c r="M382" s="197"/>
      <c r="AV382" s="138"/>
      <c r="AW382" s="138"/>
      <c r="AX382" s="138"/>
      <c r="AY382" s="138"/>
      <c r="AZ382" s="138"/>
      <c r="BA382" s="138"/>
      <c r="BB382" s="138"/>
      <c r="BC382" s="138"/>
      <c r="BD382" s="138"/>
      <c r="BE382" s="138"/>
      <c r="BF382" s="138"/>
      <c r="BG382" s="138"/>
      <c r="BH382" s="138"/>
      <c r="BI382" s="138"/>
      <c r="BJ382" s="138"/>
      <c r="BK382" s="138"/>
      <c r="BL382" s="138"/>
      <c r="BM382" s="138"/>
      <c r="BN382" s="138"/>
      <c r="BO382" s="138"/>
    </row>
    <row r="383" spans="1:67" ht="68.25" customHeight="1" x14ac:dyDescent="0.2">
      <c r="A383" s="292">
        <v>107</v>
      </c>
      <c r="B383" s="168" t="s">
        <v>624</v>
      </c>
      <c r="C383" s="169"/>
      <c r="D383" s="295" t="s">
        <v>163</v>
      </c>
      <c r="E383" s="295"/>
      <c r="F383" s="295"/>
      <c r="G383" s="295"/>
      <c r="H383" s="326"/>
      <c r="I383" s="280" t="s">
        <v>625</v>
      </c>
      <c r="J383" s="318" t="s">
        <v>390</v>
      </c>
      <c r="K383" s="206">
        <f>100000*100%</f>
        <v>100000</v>
      </c>
      <c r="L383" s="297" t="s">
        <v>166</v>
      </c>
      <c r="M383" s="259" t="s">
        <v>626</v>
      </c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8"/>
      <c r="BM383" s="138"/>
      <c r="BN383" s="138"/>
      <c r="BO383" s="138"/>
    </row>
    <row r="384" spans="1:67" ht="51" customHeight="1" x14ac:dyDescent="0.2">
      <c r="A384" s="292">
        <v>108</v>
      </c>
      <c r="B384" s="168" t="s">
        <v>627</v>
      </c>
      <c r="C384" s="169"/>
      <c r="D384" s="295" t="s">
        <v>163</v>
      </c>
      <c r="E384" s="295"/>
      <c r="F384" s="295"/>
      <c r="G384" s="295"/>
      <c r="H384" s="295"/>
      <c r="I384" s="280" t="s">
        <v>628</v>
      </c>
      <c r="J384" s="172" t="s">
        <v>390</v>
      </c>
      <c r="K384" s="173">
        <f>200000*100%</f>
        <v>200000</v>
      </c>
      <c r="L384" s="297" t="s">
        <v>166</v>
      </c>
      <c r="M384" s="259" t="s">
        <v>629</v>
      </c>
      <c r="AV384" s="138"/>
      <c r="AW384" s="138"/>
      <c r="AX384" s="138"/>
      <c r="AY384" s="138"/>
      <c r="AZ384" s="138"/>
      <c r="BA384" s="138"/>
      <c r="BB384" s="138"/>
      <c r="BC384" s="138"/>
      <c r="BD384" s="138"/>
      <c r="BE384" s="138"/>
      <c r="BF384" s="138"/>
      <c r="BG384" s="138"/>
      <c r="BH384" s="138"/>
      <c r="BI384" s="138"/>
      <c r="BJ384" s="138"/>
      <c r="BK384" s="138"/>
      <c r="BL384" s="138"/>
      <c r="BM384" s="138"/>
      <c r="BN384" s="138"/>
      <c r="BO384" s="138"/>
    </row>
    <row r="385" spans="1:67" x14ac:dyDescent="0.2">
      <c r="A385" s="167">
        <v>109</v>
      </c>
      <c r="B385" s="168" t="s">
        <v>630</v>
      </c>
      <c r="C385" s="169"/>
      <c r="D385" s="170" t="s">
        <v>163</v>
      </c>
      <c r="E385" s="170"/>
      <c r="F385" s="170"/>
      <c r="G385" s="170"/>
      <c r="H385" s="170"/>
      <c r="I385" s="171" t="s">
        <v>631</v>
      </c>
      <c r="J385" s="198" t="s">
        <v>390</v>
      </c>
      <c r="K385" s="173">
        <f>88132*55%</f>
        <v>48472.600000000006</v>
      </c>
      <c r="L385" s="174" t="s">
        <v>166</v>
      </c>
      <c r="M385" s="175" t="s">
        <v>632</v>
      </c>
      <c r="AV385" s="138"/>
      <c r="AW385" s="138"/>
      <c r="AX385" s="138"/>
      <c r="AY385" s="138"/>
      <c r="AZ385" s="138"/>
      <c r="BA385" s="138"/>
      <c r="BB385" s="138"/>
      <c r="BC385" s="138"/>
      <c r="BD385" s="138"/>
      <c r="BE385" s="138"/>
      <c r="BF385" s="138"/>
      <c r="BG385" s="138"/>
      <c r="BH385" s="138"/>
      <c r="BI385" s="138"/>
      <c r="BJ385" s="138"/>
      <c r="BK385" s="138"/>
      <c r="BL385" s="138"/>
      <c r="BM385" s="138"/>
      <c r="BN385" s="138"/>
      <c r="BO385" s="138"/>
    </row>
    <row r="386" spans="1:67" ht="48" x14ac:dyDescent="0.2">
      <c r="A386" s="177"/>
      <c r="B386" s="178"/>
      <c r="C386" s="179"/>
      <c r="D386" s="180"/>
      <c r="E386" s="180"/>
      <c r="F386" s="180"/>
      <c r="G386" s="180"/>
      <c r="H386" s="180"/>
      <c r="I386" s="188" t="s">
        <v>633</v>
      </c>
      <c r="J386" s="172" t="s">
        <v>390</v>
      </c>
      <c r="K386" s="229">
        <f>88132*15%</f>
        <v>13219.8</v>
      </c>
      <c r="L386" s="184"/>
      <c r="M386" s="185"/>
      <c r="AV386" s="138"/>
      <c r="AW386" s="138"/>
      <c r="AX386" s="138"/>
      <c r="AY386" s="138"/>
      <c r="AZ386" s="138"/>
      <c r="BA386" s="138"/>
      <c r="BB386" s="138"/>
      <c r="BC386" s="138"/>
      <c r="BD386" s="138"/>
      <c r="BE386" s="138"/>
      <c r="BF386" s="138"/>
      <c r="BG386" s="138"/>
      <c r="BH386" s="138"/>
      <c r="BI386" s="138"/>
      <c r="BJ386" s="138"/>
      <c r="BK386" s="138"/>
      <c r="BL386" s="138"/>
      <c r="BM386" s="138"/>
      <c r="BN386" s="138"/>
      <c r="BO386" s="138"/>
    </row>
    <row r="387" spans="1:67" x14ac:dyDescent="0.2">
      <c r="A387" s="177"/>
      <c r="B387" s="178"/>
      <c r="C387" s="179"/>
      <c r="D387" s="180"/>
      <c r="E387" s="180"/>
      <c r="F387" s="180"/>
      <c r="G387" s="180"/>
      <c r="H387" s="180"/>
      <c r="I387" s="181" t="s">
        <v>634</v>
      </c>
      <c r="J387" s="182" t="s">
        <v>594</v>
      </c>
      <c r="K387" s="202">
        <f>88132*15%</f>
        <v>13219.8</v>
      </c>
      <c r="L387" s="184"/>
      <c r="M387" s="185"/>
      <c r="AV387" s="138"/>
      <c r="AW387" s="138"/>
      <c r="AX387" s="138"/>
      <c r="AY387" s="138"/>
      <c r="AZ387" s="138"/>
      <c r="BA387" s="138"/>
      <c r="BB387" s="138"/>
      <c r="BC387" s="138"/>
      <c r="BD387" s="138"/>
      <c r="BE387" s="138"/>
      <c r="BF387" s="138"/>
      <c r="BG387" s="138"/>
      <c r="BH387" s="138"/>
      <c r="BI387" s="138"/>
      <c r="BJ387" s="138"/>
      <c r="BK387" s="138"/>
      <c r="BL387" s="138"/>
      <c r="BM387" s="138"/>
      <c r="BN387" s="138"/>
      <c r="BO387" s="138"/>
    </row>
    <row r="388" spans="1:67" x14ac:dyDescent="0.2">
      <c r="A388" s="177"/>
      <c r="B388" s="178"/>
      <c r="C388" s="179"/>
      <c r="D388" s="180"/>
      <c r="E388" s="180"/>
      <c r="F388" s="180"/>
      <c r="G388" s="180"/>
      <c r="H388" s="180"/>
      <c r="I388" s="188" t="s">
        <v>635</v>
      </c>
      <c r="J388" s="172" t="s">
        <v>636</v>
      </c>
      <c r="K388" s="186">
        <f>88132*15%</f>
        <v>13219.8</v>
      </c>
      <c r="L388" s="184"/>
      <c r="M388" s="185"/>
      <c r="N388" s="176"/>
      <c r="AV388" s="138"/>
      <c r="AW388" s="138"/>
      <c r="AX388" s="138"/>
      <c r="AY388" s="138"/>
      <c r="AZ388" s="138"/>
      <c r="BA388" s="138"/>
      <c r="BB388" s="138"/>
      <c r="BC388" s="138"/>
      <c r="BD388" s="138"/>
      <c r="BE388" s="138"/>
      <c r="BF388" s="138"/>
      <c r="BG388" s="138"/>
      <c r="BH388" s="138"/>
      <c r="BI388" s="138"/>
      <c r="BJ388" s="138"/>
      <c r="BK388" s="138"/>
      <c r="BL388" s="138"/>
      <c r="BM388" s="138"/>
      <c r="BN388" s="138"/>
      <c r="BO388" s="138"/>
    </row>
    <row r="389" spans="1:67" x14ac:dyDescent="0.2">
      <c r="A389" s="189"/>
      <c r="B389" s="190"/>
      <c r="C389" s="191"/>
      <c r="D389" s="192"/>
      <c r="E389" s="192"/>
      <c r="F389" s="192"/>
      <c r="G389" s="192"/>
      <c r="H389" s="192"/>
      <c r="I389" s="203"/>
      <c r="J389" s="194"/>
      <c r="K389" s="195">
        <f>SUM(K385:K388)</f>
        <v>88132.000000000015</v>
      </c>
      <c r="L389" s="196"/>
      <c r="M389" s="197"/>
      <c r="AV389" s="138"/>
      <c r="AW389" s="138"/>
      <c r="AX389" s="138"/>
      <c r="AY389" s="138"/>
      <c r="AZ389" s="138"/>
      <c r="BA389" s="138"/>
      <c r="BB389" s="138"/>
      <c r="BC389" s="138"/>
      <c r="BD389" s="138"/>
      <c r="BE389" s="138"/>
      <c r="BF389" s="138"/>
      <c r="BG389" s="138"/>
      <c r="BH389" s="138"/>
      <c r="BI389" s="138"/>
      <c r="BJ389" s="138"/>
      <c r="BK389" s="138"/>
      <c r="BL389" s="138"/>
      <c r="BM389" s="138"/>
      <c r="BN389" s="138"/>
      <c r="BO389" s="138"/>
    </row>
    <row r="390" spans="1:67" ht="75.75" customHeight="1" x14ac:dyDescent="0.2">
      <c r="A390" s="292">
        <v>110</v>
      </c>
      <c r="B390" s="168" t="s">
        <v>637</v>
      </c>
      <c r="C390" s="169"/>
      <c r="D390" s="295" t="s">
        <v>163</v>
      </c>
      <c r="E390" s="295"/>
      <c r="F390" s="295"/>
      <c r="G390" s="295"/>
      <c r="H390" s="295"/>
      <c r="I390" s="280" t="s">
        <v>638</v>
      </c>
      <c r="J390" s="318" t="s">
        <v>390</v>
      </c>
      <c r="K390" s="173">
        <f>278721*100%</f>
        <v>278721</v>
      </c>
      <c r="L390" s="297" t="s">
        <v>166</v>
      </c>
      <c r="M390" s="259" t="s">
        <v>639</v>
      </c>
      <c r="AV390" s="138"/>
      <c r="AW390" s="138"/>
      <c r="AX390" s="138"/>
      <c r="AY390" s="138"/>
      <c r="AZ390" s="138"/>
      <c r="BA390" s="138"/>
      <c r="BB390" s="138"/>
      <c r="BC390" s="138"/>
      <c r="BD390" s="138"/>
      <c r="BE390" s="138"/>
      <c r="BF390" s="138"/>
      <c r="BG390" s="138"/>
      <c r="BH390" s="138"/>
      <c r="BI390" s="138"/>
      <c r="BJ390" s="138"/>
      <c r="BK390" s="138"/>
      <c r="BL390" s="138"/>
      <c r="BM390" s="138"/>
      <c r="BN390" s="138"/>
      <c r="BO390" s="138"/>
    </row>
    <row r="391" spans="1:67" ht="48" x14ac:dyDescent="0.2">
      <c r="A391" s="167">
        <v>111</v>
      </c>
      <c r="B391" s="168" t="s">
        <v>640</v>
      </c>
      <c r="C391" s="169"/>
      <c r="D391" s="170" t="s">
        <v>163</v>
      </c>
      <c r="E391" s="170"/>
      <c r="F391" s="170"/>
      <c r="G391" s="170"/>
      <c r="H391" s="170"/>
      <c r="I391" s="171" t="s">
        <v>641</v>
      </c>
      <c r="J391" s="172" t="s">
        <v>390</v>
      </c>
      <c r="K391" s="173">
        <f>255975*85%</f>
        <v>217578.75</v>
      </c>
      <c r="L391" s="174" t="s">
        <v>166</v>
      </c>
      <c r="M391" s="175" t="s">
        <v>642</v>
      </c>
      <c r="AV391" s="138"/>
      <c r="AW391" s="138"/>
      <c r="AX391" s="138"/>
      <c r="AY391" s="138"/>
      <c r="AZ391" s="138"/>
      <c r="BA391" s="138"/>
      <c r="BB391" s="138"/>
      <c r="BC391" s="138"/>
      <c r="BD391" s="138"/>
      <c r="BE391" s="138"/>
      <c r="BF391" s="138"/>
      <c r="BG391" s="138"/>
      <c r="BH391" s="138"/>
      <c r="BI391" s="138"/>
      <c r="BJ391" s="138"/>
      <c r="BK391" s="138"/>
      <c r="BL391" s="138"/>
      <c r="BM391" s="138"/>
      <c r="BN391" s="138"/>
      <c r="BO391" s="138"/>
    </row>
    <row r="392" spans="1:67" x14ac:dyDescent="0.2">
      <c r="A392" s="177"/>
      <c r="B392" s="178"/>
      <c r="C392" s="179"/>
      <c r="D392" s="180"/>
      <c r="E392" s="180"/>
      <c r="F392" s="180"/>
      <c r="G392" s="180"/>
      <c r="H392" s="180"/>
      <c r="I392" s="181" t="s">
        <v>643</v>
      </c>
      <c r="J392" s="182" t="s">
        <v>390</v>
      </c>
      <c r="K392" s="183">
        <f>255975*5%</f>
        <v>12798.75</v>
      </c>
      <c r="L392" s="184"/>
      <c r="M392" s="185"/>
      <c r="AV392" s="138"/>
      <c r="AW392" s="138"/>
      <c r="AX392" s="138"/>
      <c r="AY392" s="138"/>
      <c r="AZ392" s="138"/>
      <c r="BA392" s="138"/>
      <c r="BB392" s="138"/>
      <c r="BC392" s="138"/>
      <c r="BD392" s="138"/>
      <c r="BE392" s="138"/>
      <c r="BF392" s="138"/>
      <c r="BG392" s="138"/>
      <c r="BH392" s="138"/>
      <c r="BI392" s="138"/>
      <c r="BJ392" s="138"/>
      <c r="BK392" s="138"/>
      <c r="BL392" s="138"/>
      <c r="BM392" s="138"/>
      <c r="BN392" s="138"/>
      <c r="BO392" s="138"/>
    </row>
    <row r="393" spans="1:67" x14ac:dyDescent="0.2">
      <c r="A393" s="177"/>
      <c r="B393" s="178"/>
      <c r="C393" s="179"/>
      <c r="D393" s="180"/>
      <c r="E393" s="180"/>
      <c r="F393" s="180"/>
      <c r="G393" s="180"/>
      <c r="H393" s="180"/>
      <c r="I393" s="181" t="s">
        <v>644</v>
      </c>
      <c r="J393" s="182" t="s">
        <v>390</v>
      </c>
      <c r="K393" s="183">
        <f>255975*5%</f>
        <v>12798.75</v>
      </c>
      <c r="L393" s="184"/>
      <c r="M393" s="185"/>
      <c r="AV393" s="138"/>
      <c r="AW393" s="138"/>
      <c r="AX393" s="138"/>
      <c r="AY393" s="138"/>
      <c r="AZ393" s="138"/>
      <c r="BA393" s="138"/>
      <c r="BB393" s="138"/>
      <c r="BC393" s="138"/>
      <c r="BD393" s="138"/>
      <c r="BE393" s="138"/>
      <c r="BF393" s="138"/>
      <c r="BG393" s="138"/>
      <c r="BH393" s="138"/>
      <c r="BI393" s="138"/>
      <c r="BJ393" s="138"/>
      <c r="BK393" s="138"/>
      <c r="BL393" s="138"/>
      <c r="BM393" s="138"/>
      <c r="BN393" s="138"/>
      <c r="BO393" s="138"/>
    </row>
    <row r="394" spans="1:67" x14ac:dyDescent="0.2">
      <c r="A394" s="177"/>
      <c r="B394" s="178"/>
      <c r="C394" s="179"/>
      <c r="D394" s="180"/>
      <c r="E394" s="180"/>
      <c r="F394" s="180"/>
      <c r="G394" s="180"/>
      <c r="H394" s="180"/>
      <c r="I394" s="188" t="s">
        <v>645</v>
      </c>
      <c r="J394" s="172" t="s">
        <v>594</v>
      </c>
      <c r="K394" s="229">
        <f>255975*5%</f>
        <v>12798.75</v>
      </c>
      <c r="L394" s="184"/>
      <c r="M394" s="185"/>
      <c r="AV394" s="138"/>
      <c r="AW394" s="138"/>
      <c r="AX394" s="138"/>
      <c r="AY394" s="138"/>
      <c r="AZ394" s="138"/>
      <c r="BA394" s="138"/>
      <c r="BB394" s="138"/>
      <c r="BC394" s="138"/>
      <c r="BD394" s="138"/>
      <c r="BE394" s="138"/>
      <c r="BF394" s="138"/>
      <c r="BG394" s="138"/>
      <c r="BH394" s="138"/>
      <c r="BI394" s="138"/>
      <c r="BJ394" s="138"/>
      <c r="BK394" s="138"/>
      <c r="BL394" s="138"/>
      <c r="BM394" s="138"/>
      <c r="BN394" s="138"/>
      <c r="BO394" s="138"/>
    </row>
    <row r="395" spans="1:67" x14ac:dyDescent="0.2">
      <c r="A395" s="189"/>
      <c r="B395" s="190"/>
      <c r="C395" s="191"/>
      <c r="D395" s="192"/>
      <c r="E395" s="192"/>
      <c r="F395" s="192"/>
      <c r="G395" s="192"/>
      <c r="H395" s="192"/>
      <c r="I395" s="193"/>
      <c r="J395" s="194"/>
      <c r="K395" s="209">
        <f>SUM(K391:K394)</f>
        <v>255975</v>
      </c>
      <c r="L395" s="196"/>
      <c r="M395" s="197"/>
      <c r="AV395" s="138"/>
      <c r="AW395" s="138"/>
      <c r="AX395" s="138"/>
      <c r="AY395" s="138"/>
      <c r="AZ395" s="138"/>
      <c r="BA395" s="138"/>
      <c r="BB395" s="138"/>
      <c r="BC395" s="138"/>
      <c r="BD395" s="138"/>
      <c r="BE395" s="138"/>
      <c r="BF395" s="138"/>
      <c r="BG395" s="138"/>
      <c r="BH395" s="138"/>
      <c r="BI395" s="138"/>
      <c r="BJ395" s="138"/>
      <c r="BK395" s="138"/>
      <c r="BL395" s="138"/>
      <c r="BM395" s="138"/>
      <c r="BN395" s="138"/>
      <c r="BO395" s="138"/>
    </row>
    <row r="396" spans="1:67" s="267" customFormat="1" x14ac:dyDescent="0.2">
      <c r="A396" s="167">
        <v>112</v>
      </c>
      <c r="B396" s="301" t="s">
        <v>565</v>
      </c>
      <c r="C396" s="302"/>
      <c r="D396" s="170" t="s">
        <v>107</v>
      </c>
      <c r="E396" s="170"/>
      <c r="F396" s="170"/>
      <c r="G396" s="170"/>
      <c r="H396" s="170" t="s">
        <v>164</v>
      </c>
      <c r="I396" s="217" t="s">
        <v>646</v>
      </c>
      <c r="J396" s="265" t="s">
        <v>390</v>
      </c>
      <c r="K396" s="266">
        <f>25000*90%</f>
        <v>22500</v>
      </c>
      <c r="L396" s="175" t="s">
        <v>111</v>
      </c>
      <c r="M396" s="175" t="s">
        <v>567</v>
      </c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  <c r="AC396" s="138"/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38"/>
      <c r="AX396" s="138"/>
      <c r="AY396" s="138"/>
      <c r="AZ396" s="138"/>
      <c r="BA396" s="138"/>
      <c r="BB396" s="138"/>
      <c r="BC396" s="138"/>
      <c r="BD396" s="138"/>
      <c r="BE396" s="138"/>
      <c r="BF396" s="138"/>
      <c r="BG396" s="138"/>
      <c r="BH396" s="138"/>
      <c r="BI396" s="138"/>
      <c r="BJ396" s="138"/>
      <c r="BK396" s="138"/>
      <c r="BL396" s="138"/>
      <c r="BM396" s="138"/>
      <c r="BN396" s="138"/>
      <c r="BO396" s="138"/>
    </row>
    <row r="397" spans="1:67" s="267" customFormat="1" x14ac:dyDescent="0.2">
      <c r="A397" s="177"/>
      <c r="B397" s="286"/>
      <c r="C397" s="287"/>
      <c r="D397" s="180"/>
      <c r="E397" s="180"/>
      <c r="F397" s="180"/>
      <c r="G397" s="180"/>
      <c r="H397" s="180"/>
      <c r="I397" s="188" t="s">
        <v>647</v>
      </c>
      <c r="J397" s="270" t="s">
        <v>117</v>
      </c>
      <c r="K397" s="214">
        <f>25000*10%</f>
        <v>2500</v>
      </c>
      <c r="L397" s="185"/>
      <c r="M397" s="185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8"/>
      <c r="BA397" s="138"/>
      <c r="BB397" s="138"/>
      <c r="BC397" s="138"/>
      <c r="BD397" s="138"/>
      <c r="BE397" s="138"/>
      <c r="BF397" s="138"/>
      <c r="BG397" s="138"/>
      <c r="BH397" s="138"/>
      <c r="BI397" s="138"/>
      <c r="BJ397" s="138"/>
      <c r="BK397" s="138"/>
      <c r="BL397" s="138"/>
      <c r="BM397" s="138"/>
      <c r="BN397" s="138"/>
      <c r="BO397" s="138"/>
    </row>
    <row r="398" spans="1:67" s="267" customFormat="1" x14ac:dyDescent="0.2">
      <c r="A398" s="189"/>
      <c r="B398" s="303"/>
      <c r="C398" s="304"/>
      <c r="D398" s="192"/>
      <c r="E398" s="192"/>
      <c r="F398" s="192"/>
      <c r="G398" s="192"/>
      <c r="H398" s="192"/>
      <c r="I398" s="203"/>
      <c r="J398" s="273"/>
      <c r="K398" s="245">
        <f>SUM(K396:K397)</f>
        <v>25000</v>
      </c>
      <c r="L398" s="197"/>
      <c r="M398" s="197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  <c r="AA398" s="138"/>
      <c r="AB398" s="138"/>
      <c r="AC398" s="138"/>
      <c r="AD398" s="138"/>
      <c r="AE398" s="138"/>
      <c r="AF398" s="138"/>
      <c r="AG398" s="138"/>
      <c r="AH398" s="138"/>
      <c r="AI398" s="138"/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38"/>
      <c r="AX398" s="138"/>
      <c r="AY398" s="138"/>
      <c r="AZ398" s="138"/>
      <c r="BA398" s="138"/>
      <c r="BB398" s="138"/>
      <c r="BC398" s="138"/>
      <c r="BD398" s="138"/>
      <c r="BE398" s="138"/>
      <c r="BF398" s="138"/>
      <c r="BG398" s="138"/>
      <c r="BH398" s="138"/>
      <c r="BI398" s="138"/>
      <c r="BJ398" s="138"/>
      <c r="BK398" s="138"/>
      <c r="BL398" s="138"/>
      <c r="BM398" s="138"/>
      <c r="BN398" s="138"/>
      <c r="BO398" s="138"/>
    </row>
    <row r="399" spans="1:67" s="267" customFormat="1" x14ac:dyDescent="0.2">
      <c r="A399" s="167">
        <v>113</v>
      </c>
      <c r="B399" s="301" t="s">
        <v>648</v>
      </c>
      <c r="C399" s="302"/>
      <c r="D399" s="170" t="s">
        <v>25</v>
      </c>
      <c r="E399" s="170"/>
      <c r="F399" s="170"/>
      <c r="G399" s="170" t="s">
        <v>649</v>
      </c>
      <c r="H399" s="170"/>
      <c r="I399" s="217" t="s">
        <v>650</v>
      </c>
      <c r="J399" s="327" t="s">
        <v>390</v>
      </c>
      <c r="K399" s="266">
        <f>450000*50%</f>
        <v>225000</v>
      </c>
      <c r="L399" s="175" t="s">
        <v>649</v>
      </c>
      <c r="M399" s="175" t="s">
        <v>651</v>
      </c>
      <c r="N399" s="176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38"/>
      <c r="AX399" s="138"/>
      <c r="AY399" s="138"/>
      <c r="AZ399" s="138"/>
      <c r="BA399" s="138"/>
      <c r="BB399" s="138"/>
      <c r="BC399" s="138"/>
      <c r="BD399" s="138"/>
      <c r="BE399" s="138"/>
      <c r="BF399" s="138"/>
      <c r="BG399" s="138"/>
      <c r="BH399" s="138"/>
      <c r="BI399" s="138"/>
      <c r="BJ399" s="138"/>
      <c r="BK399" s="138"/>
      <c r="BL399" s="138"/>
      <c r="BM399" s="138"/>
      <c r="BN399" s="138"/>
      <c r="BO399" s="138"/>
    </row>
    <row r="400" spans="1:67" s="267" customFormat="1" x14ac:dyDescent="0.2">
      <c r="A400" s="177"/>
      <c r="B400" s="286"/>
      <c r="C400" s="287"/>
      <c r="D400" s="180"/>
      <c r="E400" s="180"/>
      <c r="F400" s="180"/>
      <c r="G400" s="180"/>
      <c r="H400" s="180"/>
      <c r="I400" s="171" t="s">
        <v>652</v>
      </c>
      <c r="J400" s="207" t="s">
        <v>390</v>
      </c>
      <c r="K400" s="214">
        <f>450000*20%</f>
        <v>90000</v>
      </c>
      <c r="L400" s="185"/>
      <c r="M400" s="185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  <c r="AC400" s="138"/>
      <c r="AD400" s="138"/>
      <c r="AE400" s="138"/>
      <c r="AF400" s="138"/>
      <c r="AG400" s="138"/>
      <c r="AH400" s="138"/>
      <c r="AI400" s="138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38"/>
      <c r="AX400" s="138"/>
      <c r="AY400" s="138"/>
      <c r="AZ400" s="138"/>
      <c r="BA400" s="138"/>
      <c r="BB400" s="138"/>
      <c r="BC400" s="138"/>
      <c r="BD400" s="138"/>
      <c r="BE400" s="138"/>
      <c r="BF400" s="138"/>
      <c r="BG400" s="138"/>
      <c r="BH400" s="138"/>
      <c r="BI400" s="138"/>
      <c r="BJ400" s="138"/>
      <c r="BK400" s="138"/>
      <c r="BL400" s="138"/>
      <c r="BM400" s="138"/>
      <c r="BN400" s="138"/>
      <c r="BO400" s="138"/>
    </row>
    <row r="401" spans="1:67" s="267" customFormat="1" x14ac:dyDescent="0.2">
      <c r="A401" s="177"/>
      <c r="B401" s="286"/>
      <c r="C401" s="287"/>
      <c r="D401" s="180"/>
      <c r="E401" s="180"/>
      <c r="F401" s="180"/>
      <c r="G401" s="180"/>
      <c r="H401" s="180"/>
      <c r="I401" s="181" t="s">
        <v>653</v>
      </c>
      <c r="J401" s="172" t="s">
        <v>117</v>
      </c>
      <c r="K401" s="214">
        <f>450000*20%</f>
        <v>90000</v>
      </c>
      <c r="L401" s="185"/>
      <c r="M401" s="185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8"/>
      <c r="AY401" s="138"/>
      <c r="AZ401" s="138"/>
      <c r="BA401" s="138"/>
      <c r="BB401" s="138"/>
      <c r="BC401" s="138"/>
      <c r="BD401" s="138"/>
      <c r="BE401" s="138"/>
      <c r="BF401" s="138"/>
      <c r="BG401" s="138"/>
      <c r="BH401" s="138"/>
      <c r="BI401" s="138"/>
      <c r="BJ401" s="138"/>
      <c r="BK401" s="138"/>
      <c r="BL401" s="138"/>
      <c r="BM401" s="138"/>
      <c r="BN401" s="138"/>
      <c r="BO401" s="138"/>
    </row>
    <row r="402" spans="1:67" s="267" customFormat="1" x14ac:dyDescent="0.2">
      <c r="A402" s="177"/>
      <c r="B402" s="286"/>
      <c r="C402" s="287"/>
      <c r="D402" s="180"/>
      <c r="E402" s="180"/>
      <c r="F402" s="180"/>
      <c r="G402" s="180"/>
      <c r="H402" s="180"/>
      <c r="I402" s="181" t="s">
        <v>654</v>
      </c>
      <c r="J402" s="207" t="s">
        <v>655</v>
      </c>
      <c r="K402" s="214">
        <f>450000*10%</f>
        <v>45000</v>
      </c>
      <c r="L402" s="185"/>
      <c r="M402" s="185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38"/>
      <c r="AX402" s="138"/>
      <c r="AY402" s="138"/>
      <c r="AZ402" s="138"/>
      <c r="BA402" s="138"/>
      <c r="BB402" s="138"/>
      <c r="BC402" s="138"/>
      <c r="BD402" s="138"/>
      <c r="BE402" s="138"/>
      <c r="BF402" s="138"/>
      <c r="BG402" s="138"/>
      <c r="BH402" s="138"/>
      <c r="BI402" s="138"/>
      <c r="BJ402" s="138"/>
      <c r="BK402" s="138"/>
      <c r="BL402" s="138"/>
      <c r="BM402" s="138"/>
      <c r="BN402" s="138"/>
      <c r="BO402" s="138"/>
    </row>
    <row r="403" spans="1:67" s="267" customFormat="1" x14ac:dyDescent="0.2">
      <c r="A403" s="189"/>
      <c r="B403" s="288"/>
      <c r="C403" s="289"/>
      <c r="D403" s="192"/>
      <c r="E403" s="192"/>
      <c r="F403" s="192"/>
      <c r="G403" s="192"/>
      <c r="H403" s="192"/>
      <c r="I403" s="181"/>
      <c r="J403" s="215"/>
      <c r="K403" s="328">
        <f>SUM(K399:K402)</f>
        <v>450000</v>
      </c>
      <c r="L403" s="197"/>
      <c r="M403" s="197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8"/>
      <c r="AZ403" s="138"/>
      <c r="BA403" s="138"/>
      <c r="BB403" s="138"/>
      <c r="BC403" s="138"/>
      <c r="BD403" s="138"/>
      <c r="BE403" s="138"/>
      <c r="BF403" s="138"/>
      <c r="BG403" s="138"/>
      <c r="BH403" s="138"/>
      <c r="BI403" s="138"/>
      <c r="BJ403" s="138"/>
      <c r="BK403" s="138"/>
      <c r="BL403" s="138"/>
      <c r="BM403" s="138"/>
      <c r="BN403" s="138"/>
      <c r="BO403" s="138"/>
    </row>
    <row r="404" spans="1:67" x14ac:dyDescent="0.2">
      <c r="A404" s="167">
        <v>114</v>
      </c>
      <c r="B404" s="168" t="s">
        <v>656</v>
      </c>
      <c r="C404" s="169"/>
      <c r="D404" s="170" t="s">
        <v>107</v>
      </c>
      <c r="E404" s="170"/>
      <c r="F404" s="170"/>
      <c r="G404" s="170"/>
      <c r="H404" s="170"/>
      <c r="I404" s="217" t="s">
        <v>657</v>
      </c>
      <c r="J404" s="198" t="s">
        <v>274</v>
      </c>
      <c r="K404" s="206">
        <f>6300*75%</f>
        <v>4725</v>
      </c>
      <c r="L404" s="174" t="s">
        <v>111</v>
      </c>
      <c r="M404" s="175" t="s">
        <v>658</v>
      </c>
      <c r="N404" s="176"/>
      <c r="AV404" s="138"/>
      <c r="AW404" s="138"/>
      <c r="AX404" s="138"/>
      <c r="AY404" s="138"/>
      <c r="AZ404" s="138"/>
      <c r="BA404" s="138"/>
      <c r="BB404" s="138"/>
      <c r="BC404" s="138"/>
      <c r="BD404" s="138"/>
      <c r="BE404" s="138"/>
      <c r="BF404" s="138"/>
      <c r="BG404" s="138"/>
      <c r="BH404" s="138"/>
      <c r="BI404" s="138"/>
      <c r="BJ404" s="138"/>
      <c r="BK404" s="138"/>
      <c r="BL404" s="138"/>
      <c r="BM404" s="138"/>
      <c r="BN404" s="138"/>
      <c r="BO404" s="138"/>
    </row>
    <row r="405" spans="1:67" x14ac:dyDescent="0.2">
      <c r="A405" s="177"/>
      <c r="B405" s="178"/>
      <c r="C405" s="179"/>
      <c r="D405" s="180"/>
      <c r="E405" s="180"/>
      <c r="F405" s="180"/>
      <c r="G405" s="180"/>
      <c r="H405" s="180"/>
      <c r="I405" s="181" t="s">
        <v>659</v>
      </c>
      <c r="J405" s="291" t="s">
        <v>274</v>
      </c>
      <c r="K405" s="202">
        <f>6300*5%</f>
        <v>315</v>
      </c>
      <c r="L405" s="184"/>
      <c r="M405" s="185"/>
      <c r="N405" s="176"/>
      <c r="AV405" s="138"/>
      <c r="AW405" s="138"/>
      <c r="AX405" s="138"/>
      <c r="AY405" s="138"/>
      <c r="AZ405" s="138"/>
      <c r="BA405" s="138"/>
      <c r="BB405" s="138"/>
      <c r="BC405" s="138"/>
      <c r="BD405" s="138"/>
      <c r="BE405" s="138"/>
      <c r="BF405" s="138"/>
      <c r="BG405" s="138"/>
      <c r="BH405" s="138"/>
      <c r="BI405" s="138"/>
      <c r="BJ405" s="138"/>
      <c r="BK405" s="138"/>
      <c r="BL405" s="138"/>
      <c r="BM405" s="138"/>
      <c r="BN405" s="138"/>
      <c r="BO405" s="138"/>
    </row>
    <row r="406" spans="1:67" x14ac:dyDescent="0.2">
      <c r="A406" s="177"/>
      <c r="B406" s="178"/>
      <c r="C406" s="179"/>
      <c r="D406" s="180"/>
      <c r="E406" s="180"/>
      <c r="F406" s="180"/>
      <c r="G406" s="180"/>
      <c r="H406" s="180"/>
      <c r="I406" s="188" t="s">
        <v>660</v>
      </c>
      <c r="J406" s="291" t="s">
        <v>274</v>
      </c>
      <c r="K406" s="208">
        <f>6300*5%</f>
        <v>315</v>
      </c>
      <c r="L406" s="184"/>
      <c r="M406" s="185"/>
      <c r="AV406" s="138"/>
      <c r="AW406" s="138"/>
      <c r="AX406" s="138"/>
      <c r="AY406" s="138"/>
      <c r="AZ406" s="138"/>
      <c r="BA406" s="138"/>
      <c r="BB406" s="138"/>
      <c r="BC406" s="138"/>
      <c r="BD406" s="138"/>
      <c r="BE406" s="138"/>
      <c r="BF406" s="138"/>
      <c r="BG406" s="138"/>
      <c r="BH406" s="138"/>
      <c r="BI406" s="138"/>
      <c r="BJ406" s="138"/>
      <c r="BK406" s="138"/>
      <c r="BL406" s="138"/>
      <c r="BM406" s="138"/>
      <c r="BN406" s="138"/>
      <c r="BO406" s="138"/>
    </row>
    <row r="407" spans="1:67" x14ac:dyDescent="0.2">
      <c r="A407" s="177"/>
      <c r="B407" s="178"/>
      <c r="C407" s="179"/>
      <c r="D407" s="180"/>
      <c r="E407" s="180"/>
      <c r="F407" s="180"/>
      <c r="G407" s="180"/>
      <c r="H407" s="180"/>
      <c r="I407" s="171" t="s">
        <v>661</v>
      </c>
      <c r="J407" s="172" t="s">
        <v>274</v>
      </c>
      <c r="K407" s="229">
        <f>6300*5%</f>
        <v>315</v>
      </c>
      <c r="L407" s="184"/>
      <c r="M407" s="185"/>
      <c r="AV407" s="138"/>
      <c r="AW407" s="138"/>
      <c r="AX407" s="138"/>
      <c r="AY407" s="138"/>
      <c r="AZ407" s="138"/>
      <c r="BA407" s="138"/>
      <c r="BB407" s="138"/>
      <c r="BC407" s="138"/>
      <c r="BD407" s="138"/>
      <c r="BE407" s="138"/>
      <c r="BF407" s="138"/>
      <c r="BG407" s="138"/>
      <c r="BH407" s="138"/>
      <c r="BI407" s="138"/>
      <c r="BJ407" s="138"/>
      <c r="BK407" s="138"/>
      <c r="BL407" s="138"/>
      <c r="BM407" s="138"/>
      <c r="BN407" s="138"/>
      <c r="BO407" s="138"/>
    </row>
    <row r="408" spans="1:67" x14ac:dyDescent="0.2">
      <c r="A408" s="177"/>
      <c r="B408" s="178"/>
      <c r="C408" s="179"/>
      <c r="D408" s="180"/>
      <c r="E408" s="180"/>
      <c r="F408" s="180"/>
      <c r="G408" s="180"/>
      <c r="H408" s="180"/>
      <c r="I408" s="181" t="s">
        <v>662</v>
      </c>
      <c r="J408" s="182" t="s">
        <v>274</v>
      </c>
      <c r="K408" s="208">
        <f>6300*5%</f>
        <v>315</v>
      </c>
      <c r="L408" s="184"/>
      <c r="M408" s="185"/>
      <c r="AV408" s="138"/>
      <c r="AW408" s="138"/>
      <c r="AX408" s="138"/>
      <c r="AY408" s="138"/>
      <c r="AZ408" s="138"/>
      <c r="BA408" s="138"/>
      <c r="BB408" s="138"/>
      <c r="BC408" s="138"/>
      <c r="BD408" s="138"/>
      <c r="BE408" s="138"/>
      <c r="BF408" s="138"/>
      <c r="BG408" s="138"/>
      <c r="BH408" s="138"/>
      <c r="BI408" s="138"/>
      <c r="BJ408" s="138"/>
      <c r="BK408" s="138"/>
      <c r="BL408" s="138"/>
      <c r="BM408" s="138"/>
      <c r="BN408" s="138"/>
      <c r="BO408" s="138"/>
    </row>
    <row r="409" spans="1:67" x14ac:dyDescent="0.2">
      <c r="A409" s="177"/>
      <c r="B409" s="178"/>
      <c r="C409" s="179"/>
      <c r="D409" s="180"/>
      <c r="E409" s="180"/>
      <c r="F409" s="180"/>
      <c r="G409" s="180"/>
      <c r="H409" s="180"/>
      <c r="I409" s="188" t="s">
        <v>663</v>
      </c>
      <c r="J409" s="172" t="s">
        <v>664</v>
      </c>
      <c r="K409" s="202">
        <f>6300*5%</f>
        <v>315</v>
      </c>
      <c r="L409" s="184"/>
      <c r="M409" s="185"/>
      <c r="N409" s="176"/>
      <c r="AV409" s="138"/>
      <c r="AW409" s="138"/>
      <c r="AX409" s="138"/>
      <c r="AY409" s="138"/>
      <c r="AZ409" s="138"/>
      <c r="BA409" s="138"/>
      <c r="BB409" s="138"/>
      <c r="BC409" s="138"/>
      <c r="BD409" s="138"/>
      <c r="BE409" s="138"/>
      <c r="BF409" s="138"/>
      <c r="BG409" s="138"/>
      <c r="BH409" s="138"/>
      <c r="BI409" s="138"/>
      <c r="BJ409" s="138"/>
      <c r="BK409" s="138"/>
      <c r="BL409" s="138"/>
      <c r="BM409" s="138"/>
      <c r="BN409" s="138"/>
      <c r="BO409" s="138"/>
    </row>
    <row r="410" spans="1:67" x14ac:dyDescent="0.2">
      <c r="A410" s="189"/>
      <c r="B410" s="190"/>
      <c r="C410" s="191"/>
      <c r="D410" s="192"/>
      <c r="E410" s="192"/>
      <c r="F410" s="192"/>
      <c r="G410" s="192"/>
      <c r="H410" s="192"/>
      <c r="I410" s="193"/>
      <c r="J410" s="194"/>
      <c r="K410" s="195">
        <f>SUM(K404:K409)</f>
        <v>6300</v>
      </c>
      <c r="L410" s="196"/>
      <c r="M410" s="197"/>
      <c r="AV410" s="138"/>
      <c r="AW410" s="138"/>
      <c r="AX410" s="138"/>
      <c r="AY410" s="138"/>
      <c r="AZ410" s="138"/>
      <c r="BA410" s="138"/>
      <c r="BB410" s="138"/>
      <c r="BC410" s="138"/>
      <c r="BD410" s="138"/>
      <c r="BE410" s="138"/>
      <c r="BF410" s="138"/>
      <c r="BG410" s="138"/>
      <c r="BH410" s="138"/>
      <c r="BI410" s="138"/>
      <c r="BJ410" s="138"/>
      <c r="BK410" s="138"/>
      <c r="BL410" s="138"/>
      <c r="BM410" s="138"/>
      <c r="BN410" s="138"/>
      <c r="BO410" s="138"/>
    </row>
    <row r="411" spans="1:67" x14ac:dyDescent="0.2">
      <c r="A411" s="167">
        <v>115</v>
      </c>
      <c r="B411" s="168" t="s">
        <v>665</v>
      </c>
      <c r="C411" s="169"/>
      <c r="D411" s="170" t="s">
        <v>107</v>
      </c>
      <c r="E411" s="170"/>
      <c r="F411" s="170"/>
      <c r="G411" s="170"/>
      <c r="H411" s="170"/>
      <c r="I411" s="171" t="s">
        <v>666</v>
      </c>
      <c r="J411" s="172" t="s">
        <v>353</v>
      </c>
      <c r="K411" s="173">
        <f>6300*5%</f>
        <v>315</v>
      </c>
      <c r="L411" s="174" t="s">
        <v>111</v>
      </c>
      <c r="M411" s="175" t="s">
        <v>667</v>
      </c>
      <c r="AV411" s="138"/>
      <c r="AW411" s="138"/>
      <c r="AX411" s="138"/>
      <c r="AY411" s="138"/>
      <c r="AZ411" s="138"/>
      <c r="BA411" s="138"/>
      <c r="BB411" s="138"/>
      <c r="BC411" s="138"/>
      <c r="BD411" s="138"/>
      <c r="BE411" s="138"/>
      <c r="BF411" s="138"/>
      <c r="BG411" s="138"/>
      <c r="BH411" s="138"/>
      <c r="BI411" s="138"/>
      <c r="BJ411" s="138"/>
      <c r="BK411" s="138"/>
      <c r="BL411" s="138"/>
      <c r="BM411" s="138"/>
      <c r="BN411" s="138"/>
      <c r="BO411" s="138"/>
    </row>
    <row r="412" spans="1:67" x14ac:dyDescent="0.2">
      <c r="A412" s="177"/>
      <c r="B412" s="178"/>
      <c r="C412" s="179"/>
      <c r="D412" s="180"/>
      <c r="E412" s="180"/>
      <c r="F412" s="180"/>
      <c r="G412" s="180"/>
      <c r="H412" s="180"/>
      <c r="I412" s="181" t="s">
        <v>668</v>
      </c>
      <c r="J412" s="182" t="s">
        <v>274</v>
      </c>
      <c r="K412" s="183">
        <f>6300*5%</f>
        <v>315</v>
      </c>
      <c r="L412" s="184"/>
      <c r="M412" s="185"/>
      <c r="AV412" s="138"/>
      <c r="AW412" s="138"/>
      <c r="AX412" s="138"/>
      <c r="AY412" s="138"/>
      <c r="AZ412" s="138"/>
      <c r="BA412" s="138"/>
      <c r="BB412" s="138"/>
      <c r="BC412" s="138"/>
      <c r="BD412" s="138"/>
      <c r="BE412" s="138"/>
      <c r="BF412" s="138"/>
      <c r="BG412" s="138"/>
      <c r="BH412" s="138"/>
      <c r="BI412" s="138"/>
      <c r="BJ412" s="138"/>
      <c r="BK412" s="138"/>
      <c r="BL412" s="138"/>
      <c r="BM412" s="138"/>
      <c r="BN412" s="138"/>
      <c r="BO412" s="138"/>
    </row>
    <row r="413" spans="1:67" x14ac:dyDescent="0.2">
      <c r="A413" s="177"/>
      <c r="B413" s="178"/>
      <c r="C413" s="179"/>
      <c r="D413" s="180"/>
      <c r="E413" s="180"/>
      <c r="F413" s="180"/>
      <c r="G413" s="180"/>
      <c r="H413" s="180"/>
      <c r="I413" s="181" t="s">
        <v>659</v>
      </c>
      <c r="J413" s="182" t="s">
        <v>274</v>
      </c>
      <c r="K413" s="183">
        <f>6300*5%</f>
        <v>315</v>
      </c>
      <c r="L413" s="184"/>
      <c r="M413" s="185"/>
      <c r="AV413" s="138"/>
      <c r="AW413" s="138"/>
      <c r="AX413" s="138"/>
      <c r="AY413" s="138"/>
      <c r="AZ413" s="138"/>
      <c r="BA413" s="138"/>
      <c r="BB413" s="138"/>
      <c r="BC413" s="138"/>
      <c r="BD413" s="138"/>
      <c r="BE413" s="138"/>
      <c r="BF413" s="138"/>
      <c r="BG413" s="138"/>
      <c r="BH413" s="138"/>
      <c r="BI413" s="138"/>
      <c r="BJ413" s="138"/>
      <c r="BK413" s="138"/>
      <c r="BL413" s="138"/>
      <c r="BM413" s="138"/>
      <c r="BN413" s="138"/>
      <c r="BO413" s="138"/>
    </row>
    <row r="414" spans="1:67" x14ac:dyDescent="0.2">
      <c r="A414" s="177"/>
      <c r="B414" s="178"/>
      <c r="C414" s="179"/>
      <c r="D414" s="180"/>
      <c r="E414" s="180"/>
      <c r="F414" s="180"/>
      <c r="G414" s="180"/>
      <c r="H414" s="180"/>
      <c r="I414" s="181" t="s">
        <v>669</v>
      </c>
      <c r="J414" s="182" t="s">
        <v>274</v>
      </c>
      <c r="K414" s="183">
        <f>6300*70%</f>
        <v>4410</v>
      </c>
      <c r="L414" s="184"/>
      <c r="M414" s="185"/>
      <c r="AV414" s="138"/>
      <c r="AW414" s="138"/>
      <c r="AX414" s="138"/>
      <c r="AY414" s="138"/>
      <c r="AZ414" s="138"/>
      <c r="BA414" s="138"/>
      <c r="BB414" s="138"/>
      <c r="BC414" s="138"/>
      <c r="BD414" s="138"/>
      <c r="BE414" s="138"/>
      <c r="BF414" s="138"/>
      <c r="BG414" s="138"/>
      <c r="BH414" s="138"/>
      <c r="BI414" s="138"/>
      <c r="BJ414" s="138"/>
      <c r="BK414" s="138"/>
      <c r="BL414" s="138"/>
      <c r="BM414" s="138"/>
      <c r="BN414" s="138"/>
      <c r="BO414" s="138"/>
    </row>
    <row r="415" spans="1:67" x14ac:dyDescent="0.2">
      <c r="A415" s="177"/>
      <c r="B415" s="178"/>
      <c r="C415" s="179"/>
      <c r="D415" s="180"/>
      <c r="E415" s="180"/>
      <c r="F415" s="180"/>
      <c r="G415" s="180"/>
      <c r="H415" s="180"/>
      <c r="I415" s="181" t="s">
        <v>662</v>
      </c>
      <c r="J415" s="172" t="s">
        <v>274</v>
      </c>
      <c r="K415" s="229">
        <f>6300*5%</f>
        <v>315</v>
      </c>
      <c r="L415" s="184"/>
      <c r="M415" s="185"/>
      <c r="AV415" s="138"/>
      <c r="AW415" s="138"/>
      <c r="AX415" s="138"/>
      <c r="AY415" s="138"/>
      <c r="AZ415" s="138"/>
      <c r="BA415" s="138"/>
      <c r="BB415" s="138"/>
      <c r="BC415" s="138"/>
      <c r="BD415" s="138"/>
      <c r="BE415" s="138"/>
      <c r="BF415" s="138"/>
      <c r="BG415" s="138"/>
      <c r="BH415" s="138"/>
      <c r="BI415" s="138"/>
      <c r="BJ415" s="138"/>
      <c r="BK415" s="138"/>
      <c r="BL415" s="138"/>
      <c r="BM415" s="138"/>
      <c r="BN415" s="138"/>
      <c r="BO415" s="138"/>
    </row>
    <row r="416" spans="1:67" x14ac:dyDescent="0.2">
      <c r="A416" s="177"/>
      <c r="B416" s="178"/>
      <c r="C416" s="179"/>
      <c r="D416" s="180"/>
      <c r="E416" s="180"/>
      <c r="F416" s="180"/>
      <c r="G416" s="180"/>
      <c r="H416" s="180"/>
      <c r="I416" s="188" t="s">
        <v>670</v>
      </c>
      <c r="J416" s="182" t="s">
        <v>274</v>
      </c>
      <c r="K416" s="208">
        <f>6300*5%</f>
        <v>315</v>
      </c>
      <c r="L416" s="184"/>
      <c r="M416" s="185"/>
      <c r="AV416" s="138"/>
      <c r="AW416" s="138"/>
      <c r="AX416" s="138"/>
      <c r="AY416" s="138"/>
      <c r="AZ416" s="138"/>
      <c r="BA416" s="138"/>
      <c r="BB416" s="138"/>
      <c r="BC416" s="138"/>
      <c r="BD416" s="138"/>
      <c r="BE416" s="138"/>
      <c r="BF416" s="138"/>
      <c r="BG416" s="138"/>
      <c r="BH416" s="138"/>
      <c r="BI416" s="138"/>
      <c r="BJ416" s="138"/>
      <c r="BK416" s="138"/>
      <c r="BL416" s="138"/>
      <c r="BM416" s="138"/>
      <c r="BN416" s="138"/>
      <c r="BO416" s="138"/>
    </row>
    <row r="417" spans="1:67" x14ac:dyDescent="0.2">
      <c r="A417" s="177"/>
      <c r="B417" s="178"/>
      <c r="C417" s="179"/>
      <c r="D417" s="180"/>
      <c r="E417" s="180"/>
      <c r="F417" s="180"/>
      <c r="G417" s="180"/>
      <c r="H417" s="180"/>
      <c r="I417" s="171" t="s">
        <v>661</v>
      </c>
      <c r="J417" s="182" t="s">
        <v>274</v>
      </c>
      <c r="K417" s="202">
        <f>6300*5%</f>
        <v>315</v>
      </c>
      <c r="L417" s="184"/>
      <c r="M417" s="185"/>
      <c r="AV417" s="138"/>
      <c r="AW417" s="138"/>
      <c r="AX417" s="138"/>
      <c r="AY417" s="138"/>
      <c r="AZ417" s="138"/>
      <c r="BA417" s="138"/>
      <c r="BB417" s="138"/>
      <c r="BC417" s="138"/>
      <c r="BD417" s="138"/>
      <c r="BE417" s="138"/>
      <c r="BF417" s="138"/>
      <c r="BG417" s="138"/>
      <c r="BH417" s="138"/>
      <c r="BI417" s="138"/>
      <c r="BJ417" s="138"/>
      <c r="BK417" s="138"/>
      <c r="BL417" s="138"/>
      <c r="BM417" s="138"/>
      <c r="BN417" s="138"/>
      <c r="BO417" s="138"/>
    </row>
    <row r="418" spans="1:67" x14ac:dyDescent="0.2">
      <c r="A418" s="189"/>
      <c r="B418" s="190"/>
      <c r="C418" s="191"/>
      <c r="D418" s="192"/>
      <c r="E418" s="192"/>
      <c r="F418" s="192"/>
      <c r="G418" s="192"/>
      <c r="H418" s="192"/>
      <c r="I418" s="329"/>
      <c r="J418" s="215"/>
      <c r="K418" s="216">
        <f>SUM(K411:K417)</f>
        <v>6300</v>
      </c>
      <c r="L418" s="196"/>
      <c r="M418" s="197"/>
      <c r="AV418" s="138"/>
      <c r="AW418" s="138"/>
      <c r="AX418" s="138"/>
      <c r="AY418" s="138"/>
      <c r="AZ418" s="138"/>
      <c r="BA418" s="138"/>
      <c r="BB418" s="138"/>
      <c r="BC418" s="138"/>
      <c r="BD418" s="138"/>
      <c r="BE418" s="138"/>
      <c r="BF418" s="138"/>
      <c r="BG418" s="138"/>
      <c r="BH418" s="138"/>
      <c r="BI418" s="138"/>
      <c r="BJ418" s="138"/>
      <c r="BK418" s="138"/>
      <c r="BL418" s="138"/>
      <c r="BM418" s="138"/>
      <c r="BN418" s="138"/>
      <c r="BO418" s="138"/>
    </row>
    <row r="419" spans="1:67" x14ac:dyDescent="0.2">
      <c r="A419" s="167">
        <v>116</v>
      </c>
      <c r="B419" s="168" t="s">
        <v>671</v>
      </c>
      <c r="C419" s="169"/>
      <c r="D419" s="170" t="s">
        <v>107</v>
      </c>
      <c r="E419" s="170"/>
      <c r="F419" s="170"/>
      <c r="G419" s="170"/>
      <c r="H419" s="170"/>
      <c r="I419" s="171" t="s">
        <v>672</v>
      </c>
      <c r="J419" s="198" t="s">
        <v>274</v>
      </c>
      <c r="K419" s="206">
        <f>6300*30%</f>
        <v>1890</v>
      </c>
      <c r="L419" s="174" t="s">
        <v>111</v>
      </c>
      <c r="M419" s="175" t="s">
        <v>673</v>
      </c>
      <c r="AV419" s="138"/>
      <c r="AW419" s="138"/>
      <c r="AX419" s="138"/>
      <c r="AY419" s="138"/>
      <c r="AZ419" s="138"/>
      <c r="BA419" s="138"/>
      <c r="BB419" s="138"/>
      <c r="BC419" s="138"/>
      <c r="BD419" s="138"/>
      <c r="BE419" s="138"/>
      <c r="BF419" s="138"/>
      <c r="BG419" s="138"/>
      <c r="BH419" s="138"/>
      <c r="BI419" s="138"/>
      <c r="BJ419" s="138"/>
      <c r="BK419" s="138"/>
      <c r="BL419" s="138"/>
      <c r="BM419" s="138"/>
      <c r="BN419" s="138"/>
      <c r="BO419" s="138"/>
    </row>
    <row r="420" spans="1:67" x14ac:dyDescent="0.2">
      <c r="A420" s="177"/>
      <c r="B420" s="178"/>
      <c r="C420" s="179"/>
      <c r="D420" s="180"/>
      <c r="E420" s="180"/>
      <c r="F420" s="180"/>
      <c r="G420" s="180"/>
      <c r="H420" s="180"/>
      <c r="I420" s="181" t="s">
        <v>674</v>
      </c>
      <c r="J420" s="172" t="s">
        <v>274</v>
      </c>
      <c r="K420" s="202">
        <f>6300*5%</f>
        <v>315</v>
      </c>
      <c r="L420" s="184"/>
      <c r="M420" s="185"/>
      <c r="AV420" s="138"/>
      <c r="AW420" s="138"/>
      <c r="AX420" s="138"/>
      <c r="AY420" s="138"/>
      <c r="AZ420" s="138"/>
      <c r="BA420" s="138"/>
      <c r="BB420" s="138"/>
      <c r="BC420" s="138"/>
      <c r="BD420" s="138"/>
      <c r="BE420" s="138"/>
      <c r="BF420" s="138"/>
      <c r="BG420" s="138"/>
      <c r="BH420" s="138"/>
      <c r="BI420" s="138"/>
      <c r="BJ420" s="138"/>
      <c r="BK420" s="138"/>
      <c r="BL420" s="138"/>
      <c r="BM420" s="138"/>
      <c r="BN420" s="138"/>
      <c r="BO420" s="138"/>
    </row>
    <row r="421" spans="1:67" x14ac:dyDescent="0.2">
      <c r="A421" s="177"/>
      <c r="B421" s="178"/>
      <c r="C421" s="179"/>
      <c r="D421" s="180"/>
      <c r="E421" s="180"/>
      <c r="F421" s="180"/>
      <c r="G421" s="180"/>
      <c r="H421" s="180"/>
      <c r="I421" s="188" t="s">
        <v>675</v>
      </c>
      <c r="J421" s="182" t="s">
        <v>274</v>
      </c>
      <c r="K421" s="208">
        <f>6300*5%</f>
        <v>315</v>
      </c>
      <c r="L421" s="184"/>
      <c r="M421" s="185"/>
      <c r="AV421" s="138"/>
      <c r="AW421" s="138"/>
      <c r="AX421" s="138"/>
      <c r="AY421" s="138"/>
      <c r="AZ421" s="138"/>
      <c r="BA421" s="138"/>
      <c r="BB421" s="138"/>
      <c r="BC421" s="138"/>
      <c r="BD421" s="138"/>
      <c r="BE421" s="138"/>
      <c r="BF421" s="138"/>
      <c r="BG421" s="138"/>
      <c r="BH421" s="138"/>
      <c r="BI421" s="138"/>
      <c r="BJ421" s="138"/>
      <c r="BK421" s="138"/>
      <c r="BL421" s="138"/>
      <c r="BM421" s="138"/>
      <c r="BN421" s="138"/>
      <c r="BO421" s="138"/>
    </row>
    <row r="422" spans="1:67" x14ac:dyDescent="0.2">
      <c r="A422" s="177"/>
      <c r="B422" s="178"/>
      <c r="C422" s="179"/>
      <c r="D422" s="180"/>
      <c r="E422" s="180"/>
      <c r="F422" s="180"/>
      <c r="G422" s="180"/>
      <c r="H422" s="180"/>
      <c r="I422" s="188" t="s">
        <v>676</v>
      </c>
      <c r="J422" s="182" t="s">
        <v>274</v>
      </c>
      <c r="K422" s="208">
        <f>6300*5%</f>
        <v>315</v>
      </c>
      <c r="L422" s="184"/>
      <c r="M422" s="185"/>
      <c r="AV422" s="138"/>
      <c r="AW422" s="138"/>
      <c r="AX422" s="138"/>
      <c r="AY422" s="138"/>
      <c r="AZ422" s="138"/>
      <c r="BA422" s="138"/>
      <c r="BB422" s="138"/>
      <c r="BC422" s="138"/>
      <c r="BD422" s="138"/>
      <c r="BE422" s="138"/>
      <c r="BF422" s="138"/>
      <c r="BG422" s="138"/>
      <c r="BH422" s="138"/>
      <c r="BI422" s="138"/>
      <c r="BJ422" s="138"/>
      <c r="BK422" s="138"/>
      <c r="BL422" s="138"/>
      <c r="BM422" s="138"/>
      <c r="BN422" s="138"/>
      <c r="BO422" s="138"/>
    </row>
    <row r="423" spans="1:67" x14ac:dyDescent="0.2">
      <c r="A423" s="177"/>
      <c r="B423" s="178"/>
      <c r="C423" s="179"/>
      <c r="D423" s="180"/>
      <c r="E423" s="180"/>
      <c r="F423" s="180"/>
      <c r="G423" s="180"/>
      <c r="H423" s="180"/>
      <c r="I423" s="188" t="s">
        <v>677</v>
      </c>
      <c r="J423" s="182" t="s">
        <v>274</v>
      </c>
      <c r="K423" s="208">
        <f>6300*50%</f>
        <v>3150</v>
      </c>
      <c r="L423" s="184"/>
      <c r="M423" s="185"/>
      <c r="AV423" s="138"/>
      <c r="AW423" s="138"/>
      <c r="AX423" s="138"/>
      <c r="AY423" s="138"/>
      <c r="AZ423" s="138"/>
      <c r="BA423" s="138"/>
      <c r="BB423" s="138"/>
      <c r="BC423" s="138"/>
      <c r="BD423" s="138"/>
      <c r="BE423" s="138"/>
      <c r="BF423" s="138"/>
      <c r="BG423" s="138"/>
      <c r="BH423" s="138"/>
      <c r="BI423" s="138"/>
      <c r="BJ423" s="138"/>
      <c r="BK423" s="138"/>
      <c r="BL423" s="138"/>
      <c r="BM423" s="138"/>
      <c r="BN423" s="138"/>
      <c r="BO423" s="138"/>
    </row>
    <row r="424" spans="1:67" x14ac:dyDescent="0.2">
      <c r="A424" s="177"/>
      <c r="B424" s="178"/>
      <c r="C424" s="179"/>
      <c r="D424" s="180"/>
      <c r="E424" s="180"/>
      <c r="F424" s="180"/>
      <c r="G424" s="180"/>
      <c r="H424" s="180"/>
      <c r="I424" s="171" t="s">
        <v>678</v>
      </c>
      <c r="J424" s="182" t="s">
        <v>274</v>
      </c>
      <c r="K424" s="202">
        <f>6300*5%</f>
        <v>315</v>
      </c>
      <c r="L424" s="184"/>
      <c r="M424" s="185"/>
      <c r="AV424" s="138"/>
      <c r="AW424" s="138"/>
      <c r="AX424" s="138"/>
      <c r="AY424" s="138"/>
      <c r="AZ424" s="138"/>
      <c r="BA424" s="138"/>
      <c r="BB424" s="138"/>
      <c r="BC424" s="138"/>
      <c r="BD424" s="138"/>
      <c r="BE424" s="138"/>
      <c r="BF424" s="138"/>
      <c r="BG424" s="138"/>
      <c r="BH424" s="138"/>
      <c r="BI424" s="138"/>
      <c r="BJ424" s="138"/>
      <c r="BK424" s="138"/>
      <c r="BL424" s="138"/>
      <c r="BM424" s="138"/>
      <c r="BN424" s="138"/>
      <c r="BO424" s="138"/>
    </row>
    <row r="425" spans="1:67" x14ac:dyDescent="0.2">
      <c r="A425" s="189"/>
      <c r="B425" s="190"/>
      <c r="C425" s="191"/>
      <c r="D425" s="192"/>
      <c r="E425" s="192"/>
      <c r="F425" s="192"/>
      <c r="G425" s="192"/>
      <c r="H425" s="192"/>
      <c r="I425" s="203"/>
      <c r="J425" s="215"/>
      <c r="K425" s="216">
        <f>SUM(K419:K424)</f>
        <v>6300</v>
      </c>
      <c r="L425" s="196"/>
      <c r="M425" s="197"/>
      <c r="AV425" s="138"/>
      <c r="AW425" s="138"/>
      <c r="AX425" s="138"/>
      <c r="AY425" s="138"/>
      <c r="AZ425" s="138"/>
      <c r="BA425" s="138"/>
      <c r="BB425" s="138"/>
      <c r="BC425" s="138"/>
      <c r="BD425" s="138"/>
      <c r="BE425" s="138"/>
      <c r="BF425" s="138"/>
      <c r="BG425" s="138"/>
      <c r="BH425" s="138"/>
      <c r="BI425" s="138"/>
      <c r="BJ425" s="138"/>
      <c r="BK425" s="138"/>
      <c r="BL425" s="138"/>
      <c r="BM425" s="138"/>
      <c r="BN425" s="138"/>
      <c r="BO425" s="138"/>
    </row>
    <row r="426" spans="1:67" x14ac:dyDescent="0.2">
      <c r="A426" s="167">
        <v>117</v>
      </c>
      <c r="B426" s="168" t="s">
        <v>679</v>
      </c>
      <c r="C426" s="169"/>
      <c r="D426" s="170" t="s">
        <v>107</v>
      </c>
      <c r="E426" s="170"/>
      <c r="F426" s="170"/>
      <c r="G426" s="170"/>
      <c r="H426" s="170"/>
      <c r="I426" s="171" t="s">
        <v>680</v>
      </c>
      <c r="J426" s="172" t="s">
        <v>274</v>
      </c>
      <c r="K426" s="173">
        <f>6300*70%</f>
        <v>4410</v>
      </c>
      <c r="L426" s="174" t="s">
        <v>111</v>
      </c>
      <c r="M426" s="175" t="s">
        <v>681</v>
      </c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8"/>
      <c r="BF426" s="138"/>
      <c r="BG426" s="138"/>
      <c r="BH426" s="138"/>
      <c r="BI426" s="138"/>
      <c r="BJ426" s="138"/>
      <c r="BK426" s="138"/>
      <c r="BL426" s="138"/>
      <c r="BM426" s="138"/>
      <c r="BN426" s="138"/>
      <c r="BO426" s="138"/>
    </row>
    <row r="427" spans="1:67" x14ac:dyDescent="0.2">
      <c r="A427" s="177"/>
      <c r="B427" s="178"/>
      <c r="C427" s="179"/>
      <c r="D427" s="180"/>
      <c r="E427" s="180"/>
      <c r="F427" s="180"/>
      <c r="G427" s="180"/>
      <c r="H427" s="180"/>
      <c r="I427" s="188" t="s">
        <v>668</v>
      </c>
      <c r="J427" s="182" t="s">
        <v>274</v>
      </c>
      <c r="K427" s="183">
        <f t="shared" ref="K427:K432" si="6">6300*5%</f>
        <v>315</v>
      </c>
      <c r="L427" s="184"/>
      <c r="M427" s="185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8"/>
      <c r="BM427" s="138"/>
      <c r="BN427" s="138"/>
      <c r="BO427" s="138"/>
    </row>
    <row r="428" spans="1:67" x14ac:dyDescent="0.2">
      <c r="A428" s="177"/>
      <c r="B428" s="178"/>
      <c r="C428" s="179"/>
      <c r="D428" s="180"/>
      <c r="E428" s="180"/>
      <c r="F428" s="180"/>
      <c r="G428" s="180"/>
      <c r="H428" s="180"/>
      <c r="I428" s="188" t="s">
        <v>682</v>
      </c>
      <c r="J428" s="182" t="s">
        <v>274</v>
      </c>
      <c r="K428" s="208">
        <f t="shared" si="6"/>
        <v>315</v>
      </c>
      <c r="L428" s="184"/>
      <c r="M428" s="185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8"/>
      <c r="BF428" s="138"/>
      <c r="BG428" s="138"/>
      <c r="BH428" s="138"/>
      <c r="BI428" s="138"/>
      <c r="BJ428" s="138"/>
      <c r="BK428" s="138"/>
      <c r="BL428" s="138"/>
      <c r="BM428" s="138"/>
      <c r="BN428" s="138"/>
      <c r="BO428" s="138"/>
    </row>
    <row r="429" spans="1:67" x14ac:dyDescent="0.2">
      <c r="A429" s="177"/>
      <c r="B429" s="178"/>
      <c r="C429" s="179"/>
      <c r="D429" s="180"/>
      <c r="E429" s="180"/>
      <c r="F429" s="180"/>
      <c r="G429" s="180"/>
      <c r="H429" s="180"/>
      <c r="I429" s="188" t="s">
        <v>683</v>
      </c>
      <c r="J429" s="172" t="s">
        <v>274</v>
      </c>
      <c r="K429" s="229">
        <f t="shared" si="6"/>
        <v>315</v>
      </c>
      <c r="L429" s="184"/>
      <c r="M429" s="185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8"/>
      <c r="BF429" s="138"/>
      <c r="BG429" s="138"/>
      <c r="BH429" s="138"/>
      <c r="BI429" s="138"/>
      <c r="BJ429" s="138"/>
      <c r="BK429" s="138"/>
      <c r="BL429" s="138"/>
      <c r="BM429" s="138"/>
      <c r="BN429" s="138"/>
      <c r="BO429" s="138"/>
    </row>
    <row r="430" spans="1:67" x14ac:dyDescent="0.2">
      <c r="A430" s="177"/>
      <c r="B430" s="178"/>
      <c r="C430" s="179"/>
      <c r="D430" s="180"/>
      <c r="E430" s="180"/>
      <c r="F430" s="180"/>
      <c r="G430" s="180"/>
      <c r="H430" s="180"/>
      <c r="I430" s="188" t="s">
        <v>684</v>
      </c>
      <c r="J430" s="182" t="s">
        <v>594</v>
      </c>
      <c r="K430" s="202">
        <f t="shared" si="6"/>
        <v>315</v>
      </c>
      <c r="L430" s="184"/>
      <c r="M430" s="185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8"/>
      <c r="BL430" s="138"/>
      <c r="BM430" s="138"/>
      <c r="BN430" s="138"/>
      <c r="BO430" s="138"/>
    </row>
    <row r="431" spans="1:67" x14ac:dyDescent="0.2">
      <c r="A431" s="177"/>
      <c r="B431" s="178"/>
      <c r="C431" s="179"/>
      <c r="D431" s="180"/>
      <c r="E431" s="180"/>
      <c r="F431" s="180"/>
      <c r="G431" s="180"/>
      <c r="H431" s="180"/>
      <c r="I431" s="188" t="s">
        <v>685</v>
      </c>
      <c r="J431" s="182" t="s">
        <v>664</v>
      </c>
      <c r="K431" s="183">
        <f t="shared" si="6"/>
        <v>315</v>
      </c>
      <c r="L431" s="184"/>
      <c r="M431" s="185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138"/>
      <c r="BF431" s="138"/>
      <c r="BG431" s="138"/>
      <c r="BH431" s="138"/>
      <c r="BI431" s="138"/>
      <c r="BJ431" s="138"/>
      <c r="BK431" s="138"/>
      <c r="BL431" s="138"/>
      <c r="BM431" s="138"/>
      <c r="BN431" s="138"/>
      <c r="BO431" s="138"/>
    </row>
    <row r="432" spans="1:67" x14ac:dyDescent="0.2">
      <c r="A432" s="177"/>
      <c r="B432" s="178"/>
      <c r="C432" s="179"/>
      <c r="D432" s="180"/>
      <c r="E432" s="180"/>
      <c r="F432" s="180"/>
      <c r="G432" s="180"/>
      <c r="H432" s="180"/>
      <c r="I432" s="171" t="s">
        <v>666</v>
      </c>
      <c r="J432" s="172" t="s">
        <v>353</v>
      </c>
      <c r="K432" s="229">
        <f t="shared" si="6"/>
        <v>315</v>
      </c>
      <c r="L432" s="184"/>
      <c r="M432" s="185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138"/>
      <c r="BF432" s="138"/>
      <c r="BG432" s="138"/>
      <c r="BH432" s="138"/>
      <c r="BI432" s="138"/>
      <c r="BJ432" s="138"/>
      <c r="BK432" s="138"/>
      <c r="BL432" s="138"/>
      <c r="BM432" s="138"/>
      <c r="BN432" s="138"/>
      <c r="BO432" s="138"/>
    </row>
    <row r="433" spans="1:67" x14ac:dyDescent="0.2">
      <c r="A433" s="189"/>
      <c r="B433" s="190"/>
      <c r="C433" s="191"/>
      <c r="D433" s="192"/>
      <c r="E433" s="192"/>
      <c r="F433" s="192"/>
      <c r="G433" s="192"/>
      <c r="H433" s="192"/>
      <c r="I433" s="203"/>
      <c r="J433" s="194"/>
      <c r="K433" s="209">
        <f>SUM(K426:K432)</f>
        <v>6300</v>
      </c>
      <c r="L433" s="196"/>
      <c r="M433" s="197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138"/>
      <c r="BF433" s="138"/>
      <c r="BG433" s="138"/>
      <c r="BH433" s="138"/>
      <c r="BI433" s="138"/>
      <c r="BJ433" s="138"/>
      <c r="BK433" s="138"/>
      <c r="BL433" s="138"/>
      <c r="BM433" s="138"/>
      <c r="BN433" s="138"/>
      <c r="BO433" s="138"/>
    </row>
    <row r="434" spans="1:67" x14ac:dyDescent="0.2">
      <c r="A434" s="167">
        <v>118</v>
      </c>
      <c r="B434" s="168" t="s">
        <v>686</v>
      </c>
      <c r="C434" s="169"/>
      <c r="D434" s="170" t="s">
        <v>107</v>
      </c>
      <c r="E434" s="170"/>
      <c r="F434" s="170"/>
      <c r="G434" s="170"/>
      <c r="H434" s="170"/>
      <c r="I434" s="171" t="s">
        <v>687</v>
      </c>
      <c r="J434" s="172" t="s">
        <v>274</v>
      </c>
      <c r="K434" s="212">
        <f>6300*60%</f>
        <v>3780</v>
      </c>
      <c r="L434" s="174" t="s">
        <v>111</v>
      </c>
      <c r="M434" s="175" t="s">
        <v>688</v>
      </c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138"/>
      <c r="BF434" s="138"/>
      <c r="BG434" s="138"/>
      <c r="BH434" s="138"/>
      <c r="BI434" s="138"/>
      <c r="BJ434" s="138"/>
      <c r="BK434" s="138"/>
      <c r="BL434" s="138"/>
      <c r="BM434" s="138"/>
      <c r="BN434" s="138"/>
      <c r="BO434" s="138"/>
    </row>
    <row r="435" spans="1:67" x14ac:dyDescent="0.2">
      <c r="A435" s="177"/>
      <c r="B435" s="178"/>
      <c r="C435" s="179"/>
      <c r="D435" s="180"/>
      <c r="E435" s="180"/>
      <c r="F435" s="180"/>
      <c r="G435" s="180"/>
      <c r="H435" s="180"/>
      <c r="I435" s="188" t="s">
        <v>689</v>
      </c>
      <c r="J435" s="182" t="s">
        <v>274</v>
      </c>
      <c r="K435" s="202">
        <f t="shared" ref="K435:K442" si="7">6300*5%</f>
        <v>315</v>
      </c>
      <c r="L435" s="184"/>
      <c r="M435" s="185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138"/>
      <c r="BF435" s="138"/>
      <c r="BG435" s="138"/>
      <c r="BH435" s="138"/>
      <c r="BI435" s="138"/>
      <c r="BJ435" s="138"/>
      <c r="BK435" s="138"/>
      <c r="BL435" s="138"/>
      <c r="BM435" s="138"/>
      <c r="BN435" s="138"/>
      <c r="BO435" s="138"/>
    </row>
    <row r="436" spans="1:67" x14ac:dyDescent="0.2">
      <c r="A436" s="177"/>
      <c r="B436" s="178"/>
      <c r="C436" s="179"/>
      <c r="D436" s="180"/>
      <c r="E436" s="180"/>
      <c r="F436" s="180"/>
      <c r="G436" s="180"/>
      <c r="H436" s="180"/>
      <c r="I436" s="171" t="s">
        <v>690</v>
      </c>
      <c r="J436" s="182" t="s">
        <v>274</v>
      </c>
      <c r="K436" s="183">
        <f t="shared" si="7"/>
        <v>315</v>
      </c>
      <c r="L436" s="184"/>
      <c r="M436" s="185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8"/>
      <c r="BM436" s="138"/>
      <c r="BN436" s="138"/>
      <c r="BO436" s="138"/>
    </row>
    <row r="437" spans="1:67" x14ac:dyDescent="0.2">
      <c r="A437" s="177"/>
      <c r="B437" s="178"/>
      <c r="C437" s="179"/>
      <c r="D437" s="180"/>
      <c r="E437" s="180"/>
      <c r="F437" s="180"/>
      <c r="G437" s="180"/>
      <c r="H437" s="180"/>
      <c r="I437" s="188" t="s">
        <v>691</v>
      </c>
      <c r="J437" s="182" t="s">
        <v>274</v>
      </c>
      <c r="K437" s="183">
        <f t="shared" si="7"/>
        <v>315</v>
      </c>
      <c r="L437" s="184"/>
      <c r="M437" s="185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8"/>
      <c r="BM437" s="138"/>
      <c r="BN437" s="138"/>
      <c r="BO437" s="138"/>
    </row>
    <row r="438" spans="1:67" x14ac:dyDescent="0.2">
      <c r="A438" s="177"/>
      <c r="B438" s="178"/>
      <c r="C438" s="179"/>
      <c r="D438" s="180"/>
      <c r="E438" s="180"/>
      <c r="F438" s="180"/>
      <c r="G438" s="180"/>
      <c r="H438" s="180"/>
      <c r="I438" s="188" t="s">
        <v>692</v>
      </c>
      <c r="J438" s="291" t="s">
        <v>274</v>
      </c>
      <c r="K438" s="183">
        <f t="shared" si="7"/>
        <v>315</v>
      </c>
      <c r="L438" s="184"/>
      <c r="M438" s="185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8"/>
      <c r="BF438" s="138"/>
      <c r="BG438" s="138"/>
      <c r="BH438" s="138"/>
      <c r="BI438" s="138"/>
      <c r="BJ438" s="138"/>
      <c r="BK438" s="138"/>
      <c r="BL438" s="138"/>
      <c r="BM438" s="138"/>
      <c r="BN438" s="138"/>
      <c r="BO438" s="138"/>
    </row>
    <row r="439" spans="1:67" x14ac:dyDescent="0.2">
      <c r="A439" s="177"/>
      <c r="B439" s="178"/>
      <c r="C439" s="179"/>
      <c r="D439" s="180"/>
      <c r="E439" s="180"/>
      <c r="F439" s="180"/>
      <c r="G439" s="180"/>
      <c r="H439" s="180"/>
      <c r="I439" s="188" t="s">
        <v>693</v>
      </c>
      <c r="J439" s="172" t="s">
        <v>274</v>
      </c>
      <c r="K439" s="229">
        <f t="shared" si="7"/>
        <v>315</v>
      </c>
      <c r="L439" s="184"/>
      <c r="M439" s="185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138"/>
      <c r="BF439" s="138"/>
      <c r="BG439" s="138"/>
      <c r="BH439" s="138"/>
      <c r="BI439" s="138"/>
      <c r="BJ439" s="138"/>
      <c r="BK439" s="138"/>
      <c r="BL439" s="138"/>
      <c r="BM439" s="138"/>
      <c r="BN439" s="138"/>
      <c r="BO439" s="138"/>
    </row>
    <row r="440" spans="1:67" x14ac:dyDescent="0.2">
      <c r="A440" s="177"/>
      <c r="B440" s="178"/>
      <c r="C440" s="179"/>
      <c r="D440" s="180"/>
      <c r="E440" s="180"/>
      <c r="F440" s="180"/>
      <c r="G440" s="180"/>
      <c r="H440" s="180"/>
      <c r="I440" s="171" t="s">
        <v>675</v>
      </c>
      <c r="J440" s="182" t="s">
        <v>274</v>
      </c>
      <c r="K440" s="202">
        <f t="shared" si="7"/>
        <v>315</v>
      </c>
      <c r="L440" s="184"/>
      <c r="M440" s="185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138"/>
      <c r="BF440" s="138"/>
      <c r="BG440" s="138"/>
      <c r="BH440" s="138"/>
      <c r="BI440" s="138"/>
      <c r="BJ440" s="138"/>
      <c r="BK440" s="138"/>
      <c r="BL440" s="138"/>
      <c r="BM440" s="138"/>
      <c r="BN440" s="138"/>
      <c r="BO440" s="138"/>
    </row>
    <row r="441" spans="1:67" x14ac:dyDescent="0.2">
      <c r="A441" s="177"/>
      <c r="B441" s="178"/>
      <c r="C441" s="179"/>
      <c r="D441" s="180"/>
      <c r="E441" s="180"/>
      <c r="F441" s="180"/>
      <c r="G441" s="180"/>
      <c r="H441" s="180"/>
      <c r="I441" s="188" t="s">
        <v>694</v>
      </c>
      <c r="J441" s="182" t="s">
        <v>274</v>
      </c>
      <c r="K441" s="208">
        <f t="shared" si="7"/>
        <v>315</v>
      </c>
      <c r="L441" s="184"/>
      <c r="M441" s="185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138"/>
      <c r="BF441" s="138"/>
      <c r="BG441" s="138"/>
      <c r="BH441" s="138"/>
      <c r="BI441" s="138"/>
      <c r="BJ441" s="138"/>
      <c r="BK441" s="138"/>
      <c r="BL441" s="138"/>
      <c r="BM441" s="138"/>
      <c r="BN441" s="138"/>
      <c r="BO441" s="138"/>
    </row>
    <row r="442" spans="1:67" x14ac:dyDescent="0.2">
      <c r="A442" s="177"/>
      <c r="B442" s="178"/>
      <c r="C442" s="179"/>
      <c r="D442" s="180"/>
      <c r="E442" s="180"/>
      <c r="F442" s="180"/>
      <c r="G442" s="180"/>
      <c r="H442" s="180"/>
      <c r="I442" s="188" t="s">
        <v>695</v>
      </c>
      <c r="J442" s="182" t="s">
        <v>274</v>
      </c>
      <c r="K442" s="202">
        <f t="shared" si="7"/>
        <v>315</v>
      </c>
      <c r="L442" s="184"/>
      <c r="M442" s="185"/>
      <c r="AV442" s="138"/>
      <c r="AW442" s="138"/>
      <c r="AX442" s="138"/>
      <c r="AY442" s="138"/>
      <c r="AZ442" s="138"/>
      <c r="BA442" s="138"/>
      <c r="BB442" s="138"/>
      <c r="BC442" s="138"/>
      <c r="BD442" s="138"/>
      <c r="BE442" s="138"/>
      <c r="BF442" s="138"/>
      <c r="BG442" s="138"/>
      <c r="BH442" s="138"/>
      <c r="BI442" s="138"/>
      <c r="BJ442" s="138"/>
      <c r="BK442" s="138"/>
      <c r="BL442" s="138"/>
      <c r="BM442" s="138"/>
      <c r="BN442" s="138"/>
      <c r="BO442" s="138"/>
    </row>
    <row r="443" spans="1:67" x14ac:dyDescent="0.2">
      <c r="A443" s="189"/>
      <c r="B443" s="190"/>
      <c r="C443" s="191"/>
      <c r="D443" s="192"/>
      <c r="E443" s="192"/>
      <c r="F443" s="192"/>
      <c r="G443" s="192"/>
      <c r="H443" s="192"/>
      <c r="I443" s="193"/>
      <c r="J443" s="215"/>
      <c r="K443" s="216">
        <f>SUM(K434:K442)</f>
        <v>6300</v>
      </c>
      <c r="L443" s="196"/>
      <c r="M443" s="197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8"/>
      <c r="BF443" s="138"/>
      <c r="BG443" s="138"/>
      <c r="BH443" s="138"/>
      <c r="BI443" s="138"/>
      <c r="BJ443" s="138"/>
      <c r="BK443" s="138"/>
      <c r="BL443" s="138"/>
      <c r="BM443" s="138"/>
      <c r="BN443" s="138"/>
      <c r="BO443" s="138"/>
    </row>
    <row r="444" spans="1:67" x14ac:dyDescent="0.2">
      <c r="A444" s="167">
        <v>119</v>
      </c>
      <c r="B444" s="168" t="s">
        <v>696</v>
      </c>
      <c r="C444" s="169"/>
      <c r="D444" s="170" t="s">
        <v>107</v>
      </c>
      <c r="E444" s="170"/>
      <c r="F444" s="170"/>
      <c r="G444" s="170"/>
      <c r="H444" s="170"/>
      <c r="I444" s="171" t="s">
        <v>697</v>
      </c>
      <c r="J444" s="198" t="s">
        <v>274</v>
      </c>
      <c r="K444" s="206">
        <f>6300*15%</f>
        <v>945</v>
      </c>
      <c r="L444" s="174" t="s">
        <v>111</v>
      </c>
      <c r="M444" s="175" t="s">
        <v>698</v>
      </c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8"/>
      <c r="BF444" s="138"/>
      <c r="BG444" s="138"/>
      <c r="BH444" s="138"/>
      <c r="BI444" s="138"/>
      <c r="BJ444" s="138"/>
      <c r="BK444" s="138"/>
      <c r="BL444" s="138"/>
      <c r="BM444" s="138"/>
      <c r="BN444" s="138"/>
      <c r="BO444" s="138"/>
    </row>
    <row r="445" spans="1:67" x14ac:dyDescent="0.2">
      <c r="A445" s="177"/>
      <c r="B445" s="178"/>
      <c r="C445" s="179"/>
      <c r="D445" s="180"/>
      <c r="E445" s="180"/>
      <c r="F445" s="180"/>
      <c r="G445" s="180"/>
      <c r="H445" s="180"/>
      <c r="I445" s="181" t="s">
        <v>699</v>
      </c>
      <c r="J445" s="172" t="s">
        <v>274</v>
      </c>
      <c r="K445" s="202">
        <f>6300*55%</f>
        <v>3465.0000000000005</v>
      </c>
      <c r="L445" s="184"/>
      <c r="M445" s="185"/>
      <c r="AV445" s="138"/>
      <c r="AW445" s="138"/>
      <c r="AX445" s="138"/>
      <c r="AY445" s="138"/>
      <c r="AZ445" s="138"/>
      <c r="BA445" s="138"/>
      <c r="BB445" s="138"/>
      <c r="BC445" s="138"/>
      <c r="BD445" s="138"/>
      <c r="BE445" s="138"/>
      <c r="BF445" s="138"/>
      <c r="BG445" s="138"/>
      <c r="BH445" s="138"/>
      <c r="BI445" s="138"/>
      <c r="BJ445" s="138"/>
      <c r="BK445" s="138"/>
      <c r="BL445" s="138"/>
      <c r="BM445" s="138"/>
      <c r="BN445" s="138"/>
      <c r="BO445" s="138"/>
    </row>
    <row r="446" spans="1:67" x14ac:dyDescent="0.2">
      <c r="A446" s="177"/>
      <c r="B446" s="178"/>
      <c r="C446" s="179"/>
      <c r="D446" s="180"/>
      <c r="E446" s="180"/>
      <c r="F446" s="180"/>
      <c r="G446" s="180"/>
      <c r="H446" s="180"/>
      <c r="I446" s="188" t="s">
        <v>700</v>
      </c>
      <c r="J446" s="182" t="s">
        <v>274</v>
      </c>
      <c r="K446" s="183">
        <f t="shared" ref="K446:K451" si="8">6300*5%</f>
        <v>315</v>
      </c>
      <c r="L446" s="184"/>
      <c r="M446" s="185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8"/>
      <c r="BF446" s="138"/>
      <c r="BG446" s="138"/>
      <c r="BH446" s="138"/>
      <c r="BI446" s="138"/>
      <c r="BJ446" s="138"/>
      <c r="BK446" s="138"/>
      <c r="BL446" s="138"/>
      <c r="BM446" s="138"/>
      <c r="BN446" s="138"/>
      <c r="BO446" s="138"/>
    </row>
    <row r="447" spans="1:67" x14ac:dyDescent="0.2">
      <c r="A447" s="177"/>
      <c r="B447" s="178"/>
      <c r="C447" s="179"/>
      <c r="D447" s="180"/>
      <c r="E447" s="180"/>
      <c r="F447" s="180"/>
      <c r="G447" s="180"/>
      <c r="H447" s="180"/>
      <c r="I447" s="171" t="s">
        <v>701</v>
      </c>
      <c r="J447" s="172" t="s">
        <v>274</v>
      </c>
      <c r="K447" s="186">
        <f t="shared" si="8"/>
        <v>315</v>
      </c>
      <c r="L447" s="184"/>
      <c r="M447" s="185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8"/>
      <c r="BF447" s="138"/>
      <c r="BG447" s="138"/>
      <c r="BH447" s="138"/>
      <c r="BI447" s="138"/>
      <c r="BJ447" s="138"/>
      <c r="BK447" s="138"/>
      <c r="BL447" s="138"/>
      <c r="BM447" s="138"/>
      <c r="BN447" s="138"/>
      <c r="BO447" s="138"/>
    </row>
    <row r="448" spans="1:67" x14ac:dyDescent="0.2">
      <c r="A448" s="177"/>
      <c r="B448" s="178"/>
      <c r="C448" s="179"/>
      <c r="D448" s="180"/>
      <c r="E448" s="180"/>
      <c r="F448" s="180"/>
      <c r="G448" s="180"/>
      <c r="H448" s="180"/>
      <c r="I448" s="181" t="s">
        <v>702</v>
      </c>
      <c r="J448" s="187" t="s">
        <v>274</v>
      </c>
      <c r="K448" s="208">
        <f t="shared" si="8"/>
        <v>315</v>
      </c>
      <c r="L448" s="184"/>
      <c r="M448" s="185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8"/>
      <c r="BM448" s="138"/>
      <c r="BN448" s="138"/>
      <c r="BO448" s="138"/>
    </row>
    <row r="449" spans="1:67" x14ac:dyDescent="0.2">
      <c r="A449" s="177"/>
      <c r="B449" s="178"/>
      <c r="C449" s="179"/>
      <c r="D449" s="180"/>
      <c r="E449" s="180"/>
      <c r="F449" s="180"/>
      <c r="G449" s="180"/>
      <c r="H449" s="180"/>
      <c r="I449" s="188" t="s">
        <v>703</v>
      </c>
      <c r="J449" s="182" t="s">
        <v>274</v>
      </c>
      <c r="K449" s="208">
        <f t="shared" si="8"/>
        <v>315</v>
      </c>
      <c r="L449" s="184"/>
      <c r="M449" s="185"/>
      <c r="AV449" s="138"/>
      <c r="AW449" s="138"/>
      <c r="AX449" s="138"/>
      <c r="AY449" s="138"/>
      <c r="AZ449" s="138"/>
      <c r="BA449" s="138"/>
      <c r="BB449" s="138"/>
      <c r="BC449" s="138"/>
      <c r="BD449" s="138"/>
      <c r="BE449" s="138"/>
      <c r="BF449" s="138"/>
      <c r="BG449" s="138"/>
      <c r="BH449" s="138"/>
      <c r="BI449" s="138"/>
      <c r="BJ449" s="138"/>
      <c r="BK449" s="138"/>
      <c r="BL449" s="138"/>
      <c r="BM449" s="138"/>
      <c r="BN449" s="138"/>
      <c r="BO449" s="138"/>
    </row>
    <row r="450" spans="1:67" x14ac:dyDescent="0.2">
      <c r="A450" s="177"/>
      <c r="B450" s="178"/>
      <c r="C450" s="179"/>
      <c r="D450" s="180"/>
      <c r="E450" s="180"/>
      <c r="F450" s="180"/>
      <c r="G450" s="180"/>
      <c r="H450" s="180"/>
      <c r="I450" s="188" t="s">
        <v>704</v>
      </c>
      <c r="J450" s="187" t="s">
        <v>274</v>
      </c>
      <c r="K450" s="208">
        <f t="shared" si="8"/>
        <v>315</v>
      </c>
      <c r="L450" s="184"/>
      <c r="M450" s="185"/>
      <c r="AV450" s="138"/>
      <c r="AW450" s="138"/>
      <c r="AX450" s="138"/>
      <c r="AY450" s="138"/>
      <c r="AZ450" s="138"/>
      <c r="BA450" s="138"/>
      <c r="BB450" s="138"/>
      <c r="BC450" s="138"/>
      <c r="BD450" s="138"/>
      <c r="BE450" s="138"/>
      <c r="BF450" s="138"/>
      <c r="BG450" s="138"/>
      <c r="BH450" s="138"/>
      <c r="BI450" s="138"/>
      <c r="BJ450" s="138"/>
      <c r="BK450" s="138"/>
      <c r="BL450" s="138"/>
      <c r="BM450" s="138"/>
      <c r="BN450" s="138"/>
      <c r="BO450" s="138"/>
    </row>
    <row r="451" spans="1:67" x14ac:dyDescent="0.2">
      <c r="A451" s="177"/>
      <c r="B451" s="178"/>
      <c r="C451" s="179"/>
      <c r="D451" s="180"/>
      <c r="E451" s="180"/>
      <c r="F451" s="180"/>
      <c r="G451" s="180"/>
      <c r="H451" s="180"/>
      <c r="I451" s="188" t="s">
        <v>705</v>
      </c>
      <c r="J451" s="182" t="s">
        <v>274</v>
      </c>
      <c r="K451" s="202">
        <f t="shared" si="8"/>
        <v>315</v>
      </c>
      <c r="L451" s="184"/>
      <c r="M451" s="185"/>
      <c r="AV451" s="138"/>
      <c r="AW451" s="138"/>
      <c r="AX451" s="138"/>
      <c r="AY451" s="138"/>
      <c r="AZ451" s="138"/>
      <c r="BA451" s="138"/>
      <c r="BB451" s="138"/>
      <c r="BC451" s="138"/>
      <c r="BD451" s="138"/>
      <c r="BE451" s="138"/>
      <c r="BF451" s="138"/>
      <c r="BG451" s="138"/>
      <c r="BH451" s="138"/>
      <c r="BI451" s="138"/>
      <c r="BJ451" s="138"/>
      <c r="BK451" s="138"/>
      <c r="BL451" s="138"/>
      <c r="BM451" s="138"/>
      <c r="BN451" s="138"/>
      <c r="BO451" s="138"/>
    </row>
    <row r="452" spans="1:67" x14ac:dyDescent="0.2">
      <c r="A452" s="189"/>
      <c r="B452" s="190"/>
      <c r="C452" s="191"/>
      <c r="D452" s="192"/>
      <c r="E452" s="192"/>
      <c r="F452" s="192"/>
      <c r="G452" s="192"/>
      <c r="H452" s="192"/>
      <c r="I452" s="193"/>
      <c r="J452" s="194"/>
      <c r="K452" s="195">
        <f>SUM(K444:K451)</f>
        <v>6300</v>
      </c>
      <c r="L452" s="196"/>
      <c r="M452" s="197"/>
      <c r="AV452" s="138"/>
      <c r="AW452" s="138"/>
      <c r="AX452" s="138"/>
      <c r="AY452" s="138"/>
      <c r="AZ452" s="138"/>
      <c r="BA452" s="138"/>
      <c r="BB452" s="138"/>
      <c r="BC452" s="138"/>
      <c r="BD452" s="138"/>
      <c r="BE452" s="138"/>
      <c r="BF452" s="138"/>
      <c r="BG452" s="138"/>
      <c r="BH452" s="138"/>
      <c r="BI452" s="138"/>
      <c r="BJ452" s="138"/>
      <c r="BK452" s="138"/>
      <c r="BL452" s="138"/>
      <c r="BM452" s="138"/>
      <c r="BN452" s="138"/>
      <c r="BO452" s="138"/>
    </row>
    <row r="453" spans="1:67" ht="51.75" customHeight="1" x14ac:dyDescent="0.2">
      <c r="A453" s="292">
        <v>120</v>
      </c>
      <c r="B453" s="168" t="s">
        <v>706</v>
      </c>
      <c r="C453" s="169"/>
      <c r="D453" s="295" t="s">
        <v>107</v>
      </c>
      <c r="E453" s="295"/>
      <c r="F453" s="295"/>
      <c r="G453" s="295"/>
      <c r="H453" s="295"/>
      <c r="I453" s="280" t="s">
        <v>707</v>
      </c>
      <c r="J453" s="318" t="s">
        <v>274</v>
      </c>
      <c r="K453" s="173">
        <f>6300*100%</f>
        <v>6300</v>
      </c>
      <c r="L453" s="297" t="s">
        <v>111</v>
      </c>
      <c r="M453" s="259" t="s">
        <v>708</v>
      </c>
      <c r="AV453" s="138"/>
      <c r="AW453" s="138"/>
      <c r="AX453" s="138"/>
      <c r="AY453" s="138"/>
      <c r="AZ453" s="138"/>
      <c r="BA453" s="138"/>
      <c r="BB453" s="138"/>
      <c r="BC453" s="138"/>
      <c r="BD453" s="138"/>
      <c r="BE453" s="138"/>
      <c r="BF453" s="138"/>
      <c r="BG453" s="138"/>
      <c r="BH453" s="138"/>
      <c r="BI453" s="138"/>
      <c r="BJ453" s="138"/>
      <c r="BK453" s="138"/>
      <c r="BL453" s="138"/>
      <c r="BM453" s="138"/>
      <c r="BN453" s="138"/>
      <c r="BO453" s="138"/>
    </row>
    <row r="454" spans="1:67" ht="68.25" customHeight="1" x14ac:dyDescent="0.2">
      <c r="A454" s="292">
        <v>121</v>
      </c>
      <c r="B454" s="168" t="s">
        <v>709</v>
      </c>
      <c r="C454" s="169"/>
      <c r="D454" s="295" t="s">
        <v>107</v>
      </c>
      <c r="E454" s="295"/>
      <c r="F454" s="295"/>
      <c r="G454" s="295"/>
      <c r="H454" s="295"/>
      <c r="I454" s="280" t="s">
        <v>707</v>
      </c>
      <c r="J454" s="172" t="s">
        <v>274</v>
      </c>
      <c r="K454" s="173">
        <f>6300*100%</f>
        <v>6300</v>
      </c>
      <c r="L454" s="297" t="s">
        <v>111</v>
      </c>
      <c r="M454" s="259" t="s">
        <v>710</v>
      </c>
      <c r="AV454" s="138"/>
      <c r="AW454" s="138"/>
      <c r="AX454" s="138"/>
      <c r="AY454" s="138"/>
      <c r="AZ454" s="138"/>
      <c r="BA454" s="138"/>
      <c r="BB454" s="138"/>
      <c r="BC454" s="138"/>
      <c r="BD454" s="138"/>
      <c r="BE454" s="138"/>
      <c r="BF454" s="138"/>
      <c r="BG454" s="138"/>
      <c r="BH454" s="138"/>
      <c r="BI454" s="138"/>
      <c r="BJ454" s="138"/>
      <c r="BK454" s="138"/>
      <c r="BL454" s="138"/>
      <c r="BM454" s="138"/>
      <c r="BN454" s="138"/>
      <c r="BO454" s="138"/>
    </row>
    <row r="455" spans="1:67" x14ac:dyDescent="0.2">
      <c r="A455" s="167">
        <v>122</v>
      </c>
      <c r="B455" s="168" t="s">
        <v>711</v>
      </c>
      <c r="C455" s="169"/>
      <c r="D455" s="170" t="s">
        <v>107</v>
      </c>
      <c r="E455" s="170"/>
      <c r="F455" s="170"/>
      <c r="G455" s="170"/>
      <c r="H455" s="170"/>
      <c r="I455" s="171" t="s">
        <v>712</v>
      </c>
      <c r="J455" s="198" t="s">
        <v>274</v>
      </c>
      <c r="K455" s="173">
        <f>6300*80%</f>
        <v>5040</v>
      </c>
      <c r="L455" s="169" t="s">
        <v>111</v>
      </c>
      <c r="M455" s="175" t="s">
        <v>713</v>
      </c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8"/>
      <c r="BF455" s="138"/>
      <c r="BG455" s="138"/>
      <c r="BH455" s="138"/>
      <c r="BI455" s="138"/>
      <c r="BJ455" s="138"/>
      <c r="BK455" s="138"/>
      <c r="BL455" s="138"/>
      <c r="BM455" s="138"/>
      <c r="BN455" s="138"/>
      <c r="BO455" s="138"/>
    </row>
    <row r="456" spans="1:67" ht="48" x14ac:dyDescent="0.2">
      <c r="A456" s="177"/>
      <c r="B456" s="178"/>
      <c r="C456" s="179"/>
      <c r="D456" s="180"/>
      <c r="E456" s="180"/>
      <c r="F456" s="180"/>
      <c r="G456" s="180"/>
      <c r="H456" s="180"/>
      <c r="I456" s="181" t="s">
        <v>714</v>
      </c>
      <c r="J456" s="291" t="s">
        <v>274</v>
      </c>
      <c r="K456" s="201">
        <f>6300*5%</f>
        <v>315</v>
      </c>
      <c r="L456" s="179"/>
      <c r="M456" s="185"/>
      <c r="AV456" s="138"/>
      <c r="AW456" s="138"/>
      <c r="AX456" s="138"/>
      <c r="AY456" s="138"/>
      <c r="AZ456" s="138"/>
      <c r="BA456" s="138"/>
      <c r="BB456" s="138"/>
      <c r="BC456" s="138"/>
      <c r="BD456" s="138"/>
      <c r="BE456" s="138"/>
      <c r="BF456" s="138"/>
      <c r="BG456" s="138"/>
      <c r="BH456" s="138"/>
      <c r="BI456" s="138"/>
      <c r="BJ456" s="138"/>
      <c r="BK456" s="138"/>
      <c r="BL456" s="138"/>
      <c r="BM456" s="138"/>
      <c r="BN456" s="138"/>
      <c r="BO456" s="138"/>
    </row>
    <row r="457" spans="1:67" x14ac:dyDescent="0.2">
      <c r="A457" s="177"/>
      <c r="B457" s="178"/>
      <c r="C457" s="179"/>
      <c r="D457" s="180"/>
      <c r="E457" s="180"/>
      <c r="F457" s="180"/>
      <c r="G457" s="180"/>
      <c r="H457" s="180"/>
      <c r="I457" s="181" t="s">
        <v>715</v>
      </c>
      <c r="J457" s="172" t="s">
        <v>274</v>
      </c>
      <c r="K457" s="202">
        <f>6300*5%</f>
        <v>315</v>
      </c>
      <c r="L457" s="179"/>
      <c r="M457" s="185"/>
      <c r="AV457" s="138"/>
      <c r="AW457" s="138"/>
      <c r="AX457" s="138"/>
      <c r="AY457" s="138"/>
      <c r="AZ457" s="138"/>
      <c r="BA457" s="138"/>
      <c r="BB457" s="138"/>
      <c r="BC457" s="138"/>
      <c r="BD457" s="138"/>
      <c r="BE457" s="138"/>
      <c r="BF457" s="138"/>
      <c r="BG457" s="138"/>
      <c r="BH457" s="138"/>
      <c r="BI457" s="138"/>
      <c r="BJ457" s="138"/>
      <c r="BK457" s="138"/>
      <c r="BL457" s="138"/>
      <c r="BM457" s="138"/>
      <c r="BN457" s="138"/>
      <c r="BO457" s="138"/>
    </row>
    <row r="458" spans="1:67" x14ac:dyDescent="0.2">
      <c r="A458" s="177"/>
      <c r="B458" s="178"/>
      <c r="C458" s="179"/>
      <c r="D458" s="180"/>
      <c r="E458" s="180"/>
      <c r="F458" s="180"/>
      <c r="G458" s="180"/>
      <c r="H458" s="180"/>
      <c r="I458" s="188" t="s">
        <v>689</v>
      </c>
      <c r="J458" s="182" t="s">
        <v>274</v>
      </c>
      <c r="K458" s="200">
        <f>6300*5%</f>
        <v>315</v>
      </c>
      <c r="L458" s="179"/>
      <c r="M458" s="185"/>
      <c r="AV458" s="138"/>
      <c r="AW458" s="138"/>
      <c r="AX458" s="138"/>
      <c r="AY458" s="138"/>
      <c r="AZ458" s="138"/>
      <c r="BA458" s="138"/>
      <c r="BB458" s="138"/>
      <c r="BC458" s="138"/>
      <c r="BD458" s="138"/>
      <c r="BE458" s="138"/>
      <c r="BF458" s="138"/>
      <c r="BG458" s="138"/>
      <c r="BH458" s="138"/>
      <c r="BI458" s="138"/>
      <c r="BJ458" s="138"/>
      <c r="BK458" s="138"/>
      <c r="BL458" s="138"/>
      <c r="BM458" s="138"/>
      <c r="BN458" s="138"/>
      <c r="BO458" s="138"/>
    </row>
    <row r="459" spans="1:67" x14ac:dyDescent="0.2">
      <c r="A459" s="177"/>
      <c r="B459" s="178"/>
      <c r="C459" s="179"/>
      <c r="D459" s="180"/>
      <c r="E459" s="180"/>
      <c r="F459" s="180"/>
      <c r="G459" s="180"/>
      <c r="H459" s="180"/>
      <c r="I459" s="171" t="s">
        <v>690</v>
      </c>
      <c r="J459" s="182" t="s">
        <v>274</v>
      </c>
      <c r="K459" s="201">
        <f>6300*5%</f>
        <v>315</v>
      </c>
      <c r="L459" s="179"/>
      <c r="M459" s="185"/>
      <c r="AV459" s="138"/>
      <c r="AW459" s="138"/>
      <c r="AX459" s="138"/>
      <c r="AY459" s="138"/>
      <c r="AZ459" s="138"/>
      <c r="BA459" s="138"/>
      <c r="BB459" s="138"/>
      <c r="BC459" s="138"/>
      <c r="BD459" s="138"/>
      <c r="BE459" s="138"/>
      <c r="BF459" s="138"/>
      <c r="BG459" s="138"/>
      <c r="BH459" s="138"/>
      <c r="BI459" s="138"/>
      <c r="BJ459" s="138"/>
      <c r="BK459" s="138"/>
      <c r="BL459" s="138"/>
      <c r="BM459" s="138"/>
      <c r="BN459" s="138"/>
      <c r="BO459" s="138"/>
    </row>
    <row r="460" spans="1:67" x14ac:dyDescent="0.2">
      <c r="A460" s="189"/>
      <c r="B460" s="190"/>
      <c r="C460" s="191"/>
      <c r="D460" s="192"/>
      <c r="E460" s="192"/>
      <c r="F460" s="192"/>
      <c r="G460" s="192"/>
      <c r="H460" s="192"/>
      <c r="I460" s="203"/>
      <c r="J460" s="215"/>
      <c r="K460" s="209">
        <f>SUM(K455:K459)</f>
        <v>6300</v>
      </c>
      <c r="L460" s="191"/>
      <c r="M460" s="197"/>
      <c r="AV460" s="138"/>
      <c r="AW460" s="138"/>
      <c r="AX460" s="138"/>
      <c r="AY460" s="138"/>
      <c r="AZ460" s="138"/>
      <c r="BA460" s="138"/>
      <c r="BB460" s="138"/>
      <c r="BC460" s="138"/>
      <c r="BD460" s="138"/>
      <c r="BE460" s="138"/>
      <c r="BF460" s="138"/>
      <c r="BG460" s="138"/>
      <c r="BH460" s="138"/>
      <c r="BI460" s="138"/>
      <c r="BJ460" s="138"/>
      <c r="BK460" s="138"/>
      <c r="BL460" s="138"/>
      <c r="BM460" s="138"/>
      <c r="BN460" s="138"/>
      <c r="BO460" s="138"/>
    </row>
    <row r="461" spans="1:67" x14ac:dyDescent="0.2">
      <c r="A461" s="167">
        <v>123</v>
      </c>
      <c r="B461" s="168" t="s">
        <v>716</v>
      </c>
      <c r="C461" s="169"/>
      <c r="D461" s="170" t="s">
        <v>107</v>
      </c>
      <c r="E461" s="170"/>
      <c r="F461" s="170"/>
      <c r="G461" s="170"/>
      <c r="H461" s="170"/>
      <c r="I461" s="171" t="s">
        <v>717</v>
      </c>
      <c r="J461" s="172" t="s">
        <v>274</v>
      </c>
      <c r="K461" s="212">
        <f>6300*60%</f>
        <v>3780</v>
      </c>
      <c r="L461" s="174" t="s">
        <v>111</v>
      </c>
      <c r="M461" s="175" t="s">
        <v>718</v>
      </c>
      <c r="AV461" s="138"/>
      <c r="AW461" s="138"/>
      <c r="AX461" s="138"/>
      <c r="AY461" s="138"/>
      <c r="AZ461" s="138"/>
      <c r="BA461" s="138"/>
      <c r="BB461" s="138"/>
      <c r="BC461" s="138"/>
      <c r="BD461" s="138"/>
      <c r="BE461" s="138"/>
      <c r="BF461" s="138"/>
      <c r="BG461" s="138"/>
      <c r="BH461" s="138"/>
      <c r="BI461" s="138"/>
      <c r="BJ461" s="138"/>
      <c r="BK461" s="138"/>
      <c r="BL461" s="138"/>
      <c r="BM461" s="138"/>
      <c r="BN461" s="138"/>
      <c r="BO461" s="138"/>
    </row>
    <row r="462" spans="1:67" ht="48" x14ac:dyDescent="0.2">
      <c r="A462" s="177"/>
      <c r="B462" s="178"/>
      <c r="C462" s="179"/>
      <c r="D462" s="180"/>
      <c r="E462" s="180"/>
      <c r="F462" s="180"/>
      <c r="G462" s="180"/>
      <c r="H462" s="180"/>
      <c r="I462" s="188" t="s">
        <v>719</v>
      </c>
      <c r="J462" s="187" t="s">
        <v>274</v>
      </c>
      <c r="K462" s="202">
        <f>6300*10%</f>
        <v>630</v>
      </c>
      <c r="L462" s="184"/>
      <c r="M462" s="185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8"/>
      <c r="BF462" s="138"/>
      <c r="BG462" s="138"/>
      <c r="BH462" s="138"/>
      <c r="BI462" s="138"/>
      <c r="BJ462" s="138"/>
      <c r="BK462" s="138"/>
      <c r="BL462" s="138"/>
      <c r="BM462" s="138"/>
      <c r="BN462" s="138"/>
      <c r="BO462" s="138"/>
    </row>
    <row r="463" spans="1:67" x14ac:dyDescent="0.2">
      <c r="A463" s="177"/>
      <c r="B463" s="178"/>
      <c r="C463" s="179"/>
      <c r="D463" s="180"/>
      <c r="E463" s="180"/>
      <c r="F463" s="180"/>
      <c r="G463" s="180"/>
      <c r="H463" s="180"/>
      <c r="I463" s="171" t="s">
        <v>720</v>
      </c>
      <c r="J463" s="182" t="s">
        <v>274</v>
      </c>
      <c r="K463" s="208">
        <f>6300*10%</f>
        <v>630</v>
      </c>
      <c r="L463" s="184"/>
      <c r="M463" s="185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</row>
    <row r="464" spans="1:67" x14ac:dyDescent="0.2">
      <c r="A464" s="177"/>
      <c r="B464" s="178"/>
      <c r="C464" s="179"/>
      <c r="D464" s="180"/>
      <c r="E464" s="180"/>
      <c r="F464" s="180"/>
      <c r="G464" s="180"/>
      <c r="H464" s="180"/>
      <c r="I464" s="188" t="s">
        <v>721</v>
      </c>
      <c r="J464" s="172" t="s">
        <v>274</v>
      </c>
      <c r="K464" s="229">
        <f>6300*10%</f>
        <v>630</v>
      </c>
      <c r="L464" s="184"/>
      <c r="M464" s="185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</row>
    <row r="465" spans="1:67" ht="48" x14ac:dyDescent="0.2">
      <c r="A465" s="177"/>
      <c r="B465" s="178"/>
      <c r="C465" s="179"/>
      <c r="D465" s="180"/>
      <c r="E465" s="180"/>
      <c r="F465" s="180"/>
      <c r="G465" s="180"/>
      <c r="H465" s="180"/>
      <c r="I465" s="171" t="s">
        <v>722</v>
      </c>
      <c r="J465" s="187" t="s">
        <v>664</v>
      </c>
      <c r="K465" s="208">
        <f>6300*10%</f>
        <v>630</v>
      </c>
      <c r="L465" s="184"/>
      <c r="M465" s="185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8"/>
      <c r="BM465" s="138"/>
      <c r="BN465" s="138"/>
      <c r="BO465" s="138"/>
    </row>
    <row r="466" spans="1:67" x14ac:dyDescent="0.2">
      <c r="A466" s="189"/>
      <c r="B466" s="190"/>
      <c r="C466" s="191"/>
      <c r="D466" s="192"/>
      <c r="E466" s="192"/>
      <c r="F466" s="192"/>
      <c r="G466" s="192"/>
      <c r="H466" s="192"/>
      <c r="I466" s="203"/>
      <c r="J466" s="194"/>
      <c r="K466" s="209">
        <f>SUM(K461:K465)</f>
        <v>6300</v>
      </c>
      <c r="L466" s="196"/>
      <c r="M466" s="197"/>
      <c r="AV466" s="138"/>
      <c r="AW466" s="138"/>
      <c r="AX466" s="138"/>
      <c r="AY466" s="138"/>
      <c r="AZ466" s="138"/>
      <c r="BA466" s="138"/>
      <c r="BB466" s="138"/>
      <c r="BC466" s="138"/>
      <c r="BD466" s="138"/>
      <c r="BE466" s="138"/>
      <c r="BF466" s="138"/>
      <c r="BG466" s="138"/>
      <c r="BH466" s="138"/>
      <c r="BI466" s="138"/>
      <c r="BJ466" s="138"/>
      <c r="BK466" s="138"/>
      <c r="BL466" s="138"/>
      <c r="BM466" s="138"/>
      <c r="BN466" s="138"/>
      <c r="BO466" s="138"/>
    </row>
    <row r="467" spans="1:67" ht="48" x14ac:dyDescent="0.2">
      <c r="A467" s="167">
        <v>124</v>
      </c>
      <c r="B467" s="168" t="s">
        <v>723</v>
      </c>
      <c r="C467" s="169"/>
      <c r="D467" s="170" t="s">
        <v>107</v>
      </c>
      <c r="E467" s="170"/>
      <c r="F467" s="170"/>
      <c r="G467" s="170"/>
      <c r="H467" s="170"/>
      <c r="I467" s="217" t="s">
        <v>724</v>
      </c>
      <c r="J467" s="172" t="s">
        <v>274</v>
      </c>
      <c r="K467" s="173">
        <f>6300*90%</f>
        <v>5670</v>
      </c>
      <c r="L467" s="169" t="s">
        <v>111</v>
      </c>
      <c r="M467" s="175" t="s">
        <v>725</v>
      </c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8"/>
      <c r="BF467" s="138"/>
      <c r="BG467" s="138"/>
      <c r="BH467" s="138"/>
      <c r="BI467" s="138"/>
      <c r="BJ467" s="138"/>
      <c r="BK467" s="138"/>
      <c r="BL467" s="138"/>
      <c r="BM467" s="138"/>
      <c r="BN467" s="138"/>
      <c r="BO467" s="138"/>
    </row>
    <row r="468" spans="1:67" x14ac:dyDescent="0.2">
      <c r="A468" s="177"/>
      <c r="B468" s="178"/>
      <c r="C468" s="179"/>
      <c r="D468" s="180"/>
      <c r="E468" s="180"/>
      <c r="F468" s="180"/>
      <c r="G468" s="180"/>
      <c r="H468" s="180"/>
      <c r="I468" s="171" t="s">
        <v>726</v>
      </c>
      <c r="J468" s="187" t="s">
        <v>274</v>
      </c>
      <c r="K468" s="201">
        <f>6300*10%</f>
        <v>630</v>
      </c>
      <c r="L468" s="179"/>
      <c r="M468" s="185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8"/>
      <c r="BF468" s="138"/>
      <c r="BG468" s="138"/>
      <c r="BH468" s="138"/>
      <c r="BI468" s="138"/>
      <c r="BJ468" s="138"/>
      <c r="BK468" s="138"/>
      <c r="BL468" s="138"/>
      <c r="BM468" s="138"/>
      <c r="BN468" s="138"/>
      <c r="BO468" s="138"/>
    </row>
    <row r="469" spans="1:67" x14ac:dyDescent="0.2">
      <c r="A469" s="189"/>
      <c r="B469" s="190"/>
      <c r="C469" s="191"/>
      <c r="D469" s="192"/>
      <c r="E469" s="192"/>
      <c r="F469" s="192"/>
      <c r="G469" s="192"/>
      <c r="H469" s="192"/>
      <c r="I469" s="203"/>
      <c r="J469" s="194"/>
      <c r="K469" s="209">
        <f>SUM(K467:K468)</f>
        <v>6300</v>
      </c>
      <c r="L469" s="191"/>
      <c r="M469" s="197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138"/>
      <c r="BN469" s="138"/>
      <c r="BO469" s="138"/>
    </row>
    <row r="470" spans="1:67" ht="48" x14ac:dyDescent="0.2">
      <c r="A470" s="167">
        <v>125</v>
      </c>
      <c r="B470" s="168" t="s">
        <v>727</v>
      </c>
      <c r="C470" s="169"/>
      <c r="D470" s="170" t="s">
        <v>107</v>
      </c>
      <c r="E470" s="170"/>
      <c r="F470" s="170"/>
      <c r="G470" s="170"/>
      <c r="H470" s="170"/>
      <c r="I470" s="171" t="s">
        <v>728</v>
      </c>
      <c r="J470" s="198" t="s">
        <v>274</v>
      </c>
      <c r="K470" s="206">
        <f>6300*70%</f>
        <v>4410</v>
      </c>
      <c r="L470" s="174" t="s">
        <v>111</v>
      </c>
      <c r="M470" s="175" t="s">
        <v>729</v>
      </c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8"/>
      <c r="BF470" s="138"/>
      <c r="BG470" s="138"/>
      <c r="BH470" s="138"/>
      <c r="BI470" s="138"/>
      <c r="BJ470" s="138"/>
      <c r="BK470" s="138"/>
      <c r="BL470" s="138"/>
      <c r="BM470" s="138"/>
      <c r="BN470" s="138"/>
      <c r="BO470" s="138"/>
    </row>
    <row r="471" spans="1:67" x14ac:dyDescent="0.2">
      <c r="A471" s="177"/>
      <c r="B471" s="178"/>
      <c r="C471" s="179"/>
      <c r="D471" s="180"/>
      <c r="E471" s="180"/>
      <c r="F471" s="180"/>
      <c r="G471" s="180"/>
      <c r="H471" s="180"/>
      <c r="I471" s="181" t="s">
        <v>726</v>
      </c>
      <c r="J471" s="172" t="s">
        <v>274</v>
      </c>
      <c r="K471" s="202">
        <f>6300*10%</f>
        <v>630</v>
      </c>
      <c r="L471" s="184"/>
      <c r="M471" s="185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</row>
    <row r="472" spans="1:67" x14ac:dyDescent="0.2">
      <c r="A472" s="177"/>
      <c r="B472" s="178"/>
      <c r="C472" s="179"/>
      <c r="D472" s="180"/>
      <c r="E472" s="180"/>
      <c r="F472" s="180"/>
      <c r="G472" s="180"/>
      <c r="H472" s="180"/>
      <c r="I472" s="188" t="s">
        <v>730</v>
      </c>
      <c r="J472" s="182" t="s">
        <v>274</v>
      </c>
      <c r="K472" s="183">
        <f>6300*10%</f>
        <v>630</v>
      </c>
      <c r="L472" s="184"/>
      <c r="M472" s="185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</row>
    <row r="473" spans="1:67" x14ac:dyDescent="0.2">
      <c r="A473" s="177"/>
      <c r="B473" s="178"/>
      <c r="C473" s="179"/>
      <c r="D473" s="180"/>
      <c r="E473" s="180"/>
      <c r="F473" s="180"/>
      <c r="G473" s="180"/>
      <c r="H473" s="180"/>
      <c r="I473" s="171" t="s">
        <v>731</v>
      </c>
      <c r="J473" s="182" t="s">
        <v>274</v>
      </c>
      <c r="K473" s="183">
        <f>6300*10%</f>
        <v>630</v>
      </c>
      <c r="L473" s="184"/>
      <c r="M473" s="185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/>
      <c r="BM473" s="138"/>
      <c r="BN473" s="138"/>
      <c r="BO473" s="138"/>
    </row>
    <row r="474" spans="1:67" x14ac:dyDescent="0.2">
      <c r="A474" s="189"/>
      <c r="B474" s="190"/>
      <c r="C474" s="191"/>
      <c r="D474" s="192"/>
      <c r="E474" s="192"/>
      <c r="F474" s="192"/>
      <c r="G474" s="192"/>
      <c r="H474" s="192"/>
      <c r="I474" s="203"/>
      <c r="J474" s="194"/>
      <c r="K474" s="195">
        <f>SUM(K470:K473)</f>
        <v>6300</v>
      </c>
      <c r="L474" s="196"/>
      <c r="M474" s="197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8"/>
      <c r="BF474" s="138"/>
      <c r="BG474" s="138"/>
      <c r="BH474" s="138"/>
      <c r="BI474" s="138"/>
      <c r="BJ474" s="138"/>
      <c r="BK474" s="138"/>
      <c r="BL474" s="138"/>
      <c r="BM474" s="138"/>
      <c r="BN474" s="138"/>
      <c r="BO474" s="138"/>
    </row>
    <row r="475" spans="1:67" x14ac:dyDescent="0.2">
      <c r="A475" s="167">
        <v>126</v>
      </c>
      <c r="B475" s="168" t="s">
        <v>732</v>
      </c>
      <c r="C475" s="169"/>
      <c r="D475" s="170" t="s">
        <v>163</v>
      </c>
      <c r="E475" s="170"/>
      <c r="F475" s="170"/>
      <c r="G475" s="170"/>
      <c r="H475" s="170"/>
      <c r="I475" s="217" t="s">
        <v>733</v>
      </c>
      <c r="J475" s="198" t="s">
        <v>274</v>
      </c>
      <c r="K475" s="173">
        <f>100000*50%</f>
        <v>50000</v>
      </c>
      <c r="L475" s="174" t="s">
        <v>166</v>
      </c>
      <c r="M475" s="175" t="s">
        <v>734</v>
      </c>
      <c r="N475" s="176"/>
      <c r="AV475" s="138"/>
      <c r="AW475" s="138"/>
      <c r="AX475" s="138"/>
      <c r="AY475" s="138"/>
      <c r="AZ475" s="138"/>
      <c r="BA475" s="138"/>
      <c r="BB475" s="138"/>
      <c r="BC475" s="138"/>
      <c r="BD475" s="138"/>
      <c r="BE475" s="138"/>
      <c r="BF475" s="138"/>
      <c r="BG475" s="138"/>
      <c r="BH475" s="138"/>
      <c r="BI475" s="138"/>
      <c r="BJ475" s="138"/>
      <c r="BK475" s="138"/>
      <c r="BL475" s="138"/>
      <c r="BM475" s="138"/>
      <c r="BN475" s="138"/>
      <c r="BO475" s="138"/>
    </row>
    <row r="476" spans="1:67" x14ac:dyDescent="0.2">
      <c r="A476" s="177"/>
      <c r="B476" s="178"/>
      <c r="C476" s="179"/>
      <c r="D476" s="180"/>
      <c r="E476" s="180"/>
      <c r="F476" s="180"/>
      <c r="G476" s="180"/>
      <c r="H476" s="180"/>
      <c r="I476" s="188" t="s">
        <v>735</v>
      </c>
      <c r="J476" s="172" t="s">
        <v>664</v>
      </c>
      <c r="K476" s="229">
        <f>100000*10%</f>
        <v>10000</v>
      </c>
      <c r="L476" s="184"/>
      <c r="M476" s="185"/>
      <c r="AV476" s="138"/>
      <c r="AW476" s="138"/>
      <c r="AX476" s="138"/>
      <c r="AY476" s="138"/>
      <c r="AZ476" s="138"/>
      <c r="BA476" s="138"/>
      <c r="BB476" s="138"/>
      <c r="BC476" s="138"/>
      <c r="BD476" s="138"/>
      <c r="BE476" s="138"/>
      <c r="BF476" s="138"/>
      <c r="BG476" s="138"/>
      <c r="BH476" s="138"/>
      <c r="BI476" s="138"/>
      <c r="BJ476" s="138"/>
      <c r="BK476" s="138"/>
      <c r="BL476" s="138"/>
      <c r="BM476" s="138"/>
      <c r="BN476" s="138"/>
      <c r="BO476" s="138"/>
    </row>
    <row r="477" spans="1:67" x14ac:dyDescent="0.2">
      <c r="A477" s="177"/>
      <c r="B477" s="178"/>
      <c r="C477" s="179"/>
      <c r="D477" s="180"/>
      <c r="E477" s="180"/>
      <c r="F477" s="180"/>
      <c r="G477" s="180"/>
      <c r="H477" s="180"/>
      <c r="I477" s="171" t="s">
        <v>736</v>
      </c>
      <c r="J477" s="182" t="s">
        <v>664</v>
      </c>
      <c r="K477" s="202">
        <f>100000*10%</f>
        <v>10000</v>
      </c>
      <c r="L477" s="184"/>
      <c r="M477" s="185"/>
      <c r="AV477" s="138"/>
      <c r="AW477" s="138"/>
      <c r="AX477" s="138"/>
      <c r="AY477" s="138"/>
      <c r="AZ477" s="138"/>
      <c r="BA477" s="138"/>
      <c r="BB477" s="138"/>
      <c r="BC477" s="138"/>
      <c r="BD477" s="138"/>
      <c r="BE477" s="138"/>
      <c r="BF477" s="138"/>
      <c r="BG477" s="138"/>
      <c r="BH477" s="138"/>
      <c r="BI477" s="138"/>
      <c r="BJ477" s="138"/>
      <c r="BK477" s="138"/>
      <c r="BL477" s="138"/>
      <c r="BM477" s="138"/>
      <c r="BN477" s="138"/>
      <c r="BO477" s="138"/>
    </row>
    <row r="478" spans="1:67" x14ac:dyDescent="0.2">
      <c r="A478" s="177"/>
      <c r="B478" s="178"/>
      <c r="C478" s="179"/>
      <c r="D478" s="180"/>
      <c r="E478" s="180"/>
      <c r="F478" s="180"/>
      <c r="G478" s="180"/>
      <c r="H478" s="180"/>
      <c r="I478" s="181" t="s">
        <v>737</v>
      </c>
      <c r="J478" s="172" t="s">
        <v>664</v>
      </c>
      <c r="K478" s="186">
        <f>100000*10%</f>
        <v>10000</v>
      </c>
      <c r="L478" s="184"/>
      <c r="M478" s="185"/>
      <c r="AV478" s="138"/>
      <c r="AW478" s="138"/>
      <c r="AX478" s="138"/>
      <c r="AY478" s="138"/>
      <c r="AZ478" s="138"/>
      <c r="BA478" s="138"/>
      <c r="BB478" s="138"/>
      <c r="BC478" s="138"/>
      <c r="BD478" s="138"/>
      <c r="BE478" s="138"/>
      <c r="BF478" s="138"/>
      <c r="BG478" s="138"/>
      <c r="BH478" s="138"/>
      <c r="BI478" s="138"/>
      <c r="BJ478" s="138"/>
      <c r="BK478" s="138"/>
      <c r="BL478" s="138"/>
      <c r="BM478" s="138"/>
      <c r="BN478" s="138"/>
      <c r="BO478" s="138"/>
    </row>
    <row r="479" spans="1:67" x14ac:dyDescent="0.2">
      <c r="A479" s="177"/>
      <c r="B479" s="178"/>
      <c r="C479" s="179"/>
      <c r="D479" s="180"/>
      <c r="E479" s="180"/>
      <c r="F479" s="180"/>
      <c r="G479" s="180"/>
      <c r="H479" s="180"/>
      <c r="I479" s="181" t="s">
        <v>738</v>
      </c>
      <c r="J479" s="182" t="s">
        <v>664</v>
      </c>
      <c r="K479" s="183">
        <f>100000*10%</f>
        <v>10000</v>
      </c>
      <c r="L479" s="184"/>
      <c r="M479" s="185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8"/>
      <c r="BF479" s="138"/>
      <c r="BG479" s="138"/>
      <c r="BH479" s="138"/>
      <c r="BI479" s="138"/>
      <c r="BJ479" s="138"/>
      <c r="BK479" s="138"/>
      <c r="BL479" s="138"/>
      <c r="BM479" s="138"/>
      <c r="BN479" s="138"/>
      <c r="BO479" s="138"/>
    </row>
    <row r="480" spans="1:67" ht="48" x14ac:dyDescent="0.2">
      <c r="A480" s="177"/>
      <c r="B480" s="178"/>
      <c r="C480" s="179"/>
      <c r="D480" s="180"/>
      <c r="E480" s="180"/>
      <c r="F480" s="180"/>
      <c r="G480" s="180"/>
      <c r="H480" s="180"/>
      <c r="I480" s="188" t="s">
        <v>739</v>
      </c>
      <c r="J480" s="172" t="s">
        <v>547</v>
      </c>
      <c r="K480" s="186">
        <f>100000*5%</f>
        <v>5000</v>
      </c>
      <c r="L480" s="184"/>
      <c r="M480" s="185"/>
      <c r="N480" s="176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</row>
    <row r="481" spans="1:67" ht="48" x14ac:dyDescent="0.2">
      <c r="A481" s="177"/>
      <c r="B481" s="178"/>
      <c r="C481" s="179"/>
      <c r="D481" s="180"/>
      <c r="E481" s="180"/>
      <c r="F481" s="180"/>
      <c r="G481" s="180"/>
      <c r="H481" s="180"/>
      <c r="I481" s="188" t="s">
        <v>740</v>
      </c>
      <c r="J481" s="182" t="s">
        <v>547</v>
      </c>
      <c r="K481" s="208">
        <f>100000*5%</f>
        <v>5000</v>
      </c>
      <c r="L481" s="184"/>
      <c r="M481" s="185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</row>
    <row r="482" spans="1:67" x14ac:dyDescent="0.2">
      <c r="A482" s="189"/>
      <c r="B482" s="190"/>
      <c r="C482" s="191"/>
      <c r="D482" s="192"/>
      <c r="E482" s="192"/>
      <c r="F482" s="192"/>
      <c r="G482" s="192"/>
      <c r="H482" s="192"/>
      <c r="I482" s="193"/>
      <c r="J482" s="194"/>
      <c r="K482" s="209">
        <f>SUM(K475:K481)</f>
        <v>100000</v>
      </c>
      <c r="L482" s="196"/>
      <c r="M482" s="197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8"/>
      <c r="BF482" s="138"/>
      <c r="BG482" s="138"/>
      <c r="BH482" s="138"/>
      <c r="BI482" s="138"/>
      <c r="BJ482" s="138"/>
      <c r="BK482" s="138"/>
      <c r="BL482" s="138"/>
      <c r="BM482" s="138"/>
      <c r="BN482" s="138"/>
      <c r="BO482" s="138"/>
    </row>
    <row r="483" spans="1:67" x14ac:dyDescent="0.2">
      <c r="A483" s="167">
        <v>127</v>
      </c>
      <c r="B483" s="168" t="s">
        <v>741</v>
      </c>
      <c r="C483" s="169"/>
      <c r="D483" s="170" t="s">
        <v>163</v>
      </c>
      <c r="E483" s="170"/>
      <c r="F483" s="170"/>
      <c r="G483" s="170"/>
      <c r="H483" s="170"/>
      <c r="I483" s="217" t="s">
        <v>742</v>
      </c>
      <c r="J483" s="172" t="s">
        <v>274</v>
      </c>
      <c r="K483" s="212">
        <f>154000*80%</f>
        <v>123200</v>
      </c>
      <c r="L483" s="174" t="s">
        <v>166</v>
      </c>
      <c r="M483" s="175" t="s">
        <v>743</v>
      </c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8"/>
      <c r="BM483" s="138"/>
      <c r="BN483" s="138"/>
      <c r="BO483" s="138"/>
    </row>
    <row r="484" spans="1:67" x14ac:dyDescent="0.2">
      <c r="A484" s="177"/>
      <c r="B484" s="178"/>
      <c r="C484" s="179"/>
      <c r="D484" s="180"/>
      <c r="E484" s="180"/>
      <c r="F484" s="180"/>
      <c r="G484" s="180"/>
      <c r="H484" s="180"/>
      <c r="I484" s="171" t="s">
        <v>744</v>
      </c>
      <c r="J484" s="182" t="s">
        <v>664</v>
      </c>
      <c r="K484" s="208">
        <f>154000*5%</f>
        <v>7700</v>
      </c>
      <c r="L484" s="184"/>
      <c r="M484" s="185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8"/>
      <c r="BF484" s="138"/>
      <c r="BG484" s="138"/>
      <c r="BH484" s="138"/>
      <c r="BI484" s="138"/>
      <c r="BJ484" s="138"/>
      <c r="BK484" s="138"/>
      <c r="BL484" s="138"/>
      <c r="BM484" s="138"/>
      <c r="BN484" s="138"/>
      <c r="BO484" s="138"/>
    </row>
    <row r="485" spans="1:67" x14ac:dyDescent="0.2">
      <c r="A485" s="177"/>
      <c r="B485" s="178"/>
      <c r="C485" s="179"/>
      <c r="D485" s="180"/>
      <c r="E485" s="180"/>
      <c r="F485" s="180"/>
      <c r="G485" s="180"/>
      <c r="H485" s="180"/>
      <c r="I485" s="188" t="s">
        <v>745</v>
      </c>
      <c r="J485" s="172" t="s">
        <v>664</v>
      </c>
      <c r="K485" s="202">
        <f>154000*5%</f>
        <v>7700</v>
      </c>
      <c r="L485" s="184"/>
      <c r="M485" s="185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8"/>
      <c r="BF485" s="138"/>
      <c r="BG485" s="138"/>
      <c r="BH485" s="138"/>
      <c r="BI485" s="138"/>
      <c r="BJ485" s="138"/>
      <c r="BK485" s="138"/>
      <c r="BL485" s="138"/>
      <c r="BM485" s="138"/>
      <c r="BN485" s="138"/>
      <c r="BO485" s="138"/>
    </row>
    <row r="486" spans="1:67" ht="48" x14ac:dyDescent="0.2">
      <c r="A486" s="177"/>
      <c r="B486" s="178"/>
      <c r="C486" s="179"/>
      <c r="D486" s="180"/>
      <c r="E486" s="180"/>
      <c r="F486" s="180"/>
      <c r="G486" s="180"/>
      <c r="H486" s="180"/>
      <c r="I486" s="188" t="s">
        <v>746</v>
      </c>
      <c r="J486" s="182" t="s">
        <v>664</v>
      </c>
      <c r="K486" s="208">
        <f>154000*5%</f>
        <v>7700</v>
      </c>
      <c r="L486" s="184"/>
      <c r="M486" s="185"/>
      <c r="AV486" s="138"/>
      <c r="AW486" s="138"/>
      <c r="AX486" s="138"/>
      <c r="AY486" s="138"/>
      <c r="AZ486" s="138"/>
      <c r="BA486" s="138"/>
      <c r="BB486" s="138"/>
      <c r="BC486" s="138"/>
      <c r="BD486" s="138"/>
      <c r="BE486" s="138"/>
      <c r="BF486" s="138"/>
      <c r="BG486" s="138"/>
      <c r="BH486" s="138"/>
      <c r="BI486" s="138"/>
      <c r="BJ486" s="138"/>
      <c r="BK486" s="138"/>
      <c r="BL486" s="138"/>
      <c r="BM486" s="138"/>
      <c r="BN486" s="138"/>
      <c r="BO486" s="138"/>
    </row>
    <row r="487" spans="1:67" x14ac:dyDescent="0.2">
      <c r="A487" s="177"/>
      <c r="B487" s="178"/>
      <c r="C487" s="179"/>
      <c r="D487" s="180"/>
      <c r="E487" s="180"/>
      <c r="F487" s="180"/>
      <c r="G487" s="180"/>
      <c r="H487" s="180"/>
      <c r="I487" s="171" t="s">
        <v>747</v>
      </c>
      <c r="J487" s="182" t="s">
        <v>664</v>
      </c>
      <c r="K487" s="202">
        <f>154000*5%</f>
        <v>7700</v>
      </c>
      <c r="L487" s="184"/>
      <c r="M487" s="185"/>
      <c r="AV487" s="138"/>
      <c r="AW487" s="138"/>
      <c r="AX487" s="138"/>
      <c r="AY487" s="138"/>
      <c r="AZ487" s="138"/>
      <c r="BA487" s="138"/>
      <c r="BB487" s="138"/>
      <c r="BC487" s="138"/>
      <c r="BD487" s="138"/>
      <c r="BE487" s="138"/>
      <c r="BF487" s="138"/>
      <c r="BG487" s="138"/>
      <c r="BH487" s="138"/>
      <c r="BI487" s="138"/>
      <c r="BJ487" s="138"/>
      <c r="BK487" s="138"/>
      <c r="BL487" s="138"/>
      <c r="BM487" s="138"/>
      <c r="BN487" s="138"/>
      <c r="BO487" s="138"/>
    </row>
    <row r="488" spans="1:67" x14ac:dyDescent="0.2">
      <c r="A488" s="189"/>
      <c r="B488" s="190"/>
      <c r="C488" s="191"/>
      <c r="D488" s="192"/>
      <c r="E488" s="192"/>
      <c r="F488" s="192"/>
      <c r="G488" s="192"/>
      <c r="H488" s="192"/>
      <c r="I488" s="203"/>
      <c r="J488" s="215"/>
      <c r="K488" s="216">
        <f>SUM(K483:K487)</f>
        <v>154000</v>
      </c>
      <c r="L488" s="196"/>
      <c r="M488" s="197"/>
      <c r="AV488" s="138"/>
      <c r="AW488" s="138"/>
      <c r="AX488" s="138"/>
      <c r="AY488" s="138"/>
      <c r="AZ488" s="138"/>
      <c r="BA488" s="138"/>
      <c r="BB488" s="138"/>
      <c r="BC488" s="138"/>
      <c r="BD488" s="138"/>
      <c r="BE488" s="138"/>
      <c r="BF488" s="138"/>
      <c r="BG488" s="138"/>
      <c r="BH488" s="138"/>
      <c r="BI488" s="138"/>
      <c r="BJ488" s="138"/>
      <c r="BK488" s="138"/>
      <c r="BL488" s="138"/>
      <c r="BM488" s="138"/>
      <c r="BN488" s="138"/>
      <c r="BO488" s="138"/>
    </row>
    <row r="489" spans="1:67" ht="21.75" customHeight="1" x14ac:dyDescent="0.2">
      <c r="A489" s="167">
        <v>128</v>
      </c>
      <c r="B489" s="168" t="s">
        <v>748</v>
      </c>
      <c r="C489" s="169"/>
      <c r="D489" s="170" t="s">
        <v>25</v>
      </c>
      <c r="E489" s="170"/>
      <c r="F489" s="170"/>
      <c r="G489" s="170" t="s">
        <v>749</v>
      </c>
      <c r="H489" s="170" t="s">
        <v>750</v>
      </c>
      <c r="I489" s="330" t="s">
        <v>751</v>
      </c>
      <c r="J489" s="223" t="s">
        <v>752</v>
      </c>
      <c r="K489" s="276">
        <f>2068000*80%</f>
        <v>1654400</v>
      </c>
      <c r="L489" s="175" t="s">
        <v>753</v>
      </c>
      <c r="M489" s="175" t="s">
        <v>754</v>
      </c>
      <c r="AV489" s="138"/>
      <c r="AW489" s="138"/>
      <c r="AX489" s="138"/>
      <c r="AY489" s="138"/>
      <c r="AZ489" s="138"/>
      <c r="BA489" s="138"/>
      <c r="BB489" s="138"/>
      <c r="BC489" s="138"/>
      <c r="BD489" s="138"/>
      <c r="BE489" s="138"/>
      <c r="BF489" s="138"/>
      <c r="BG489" s="138"/>
      <c r="BH489" s="138"/>
      <c r="BI489" s="138"/>
      <c r="BJ489" s="138"/>
      <c r="BK489" s="138"/>
      <c r="BL489" s="138"/>
      <c r="BM489" s="138"/>
      <c r="BN489" s="138"/>
      <c r="BO489" s="138"/>
    </row>
    <row r="490" spans="1:67" x14ac:dyDescent="0.2">
      <c r="A490" s="177"/>
      <c r="B490" s="178"/>
      <c r="C490" s="179"/>
      <c r="D490" s="180"/>
      <c r="E490" s="180"/>
      <c r="F490" s="180"/>
      <c r="G490" s="180"/>
      <c r="H490" s="180"/>
      <c r="I490" s="331" t="s">
        <v>755</v>
      </c>
      <c r="J490" s="207" t="s">
        <v>655</v>
      </c>
      <c r="K490" s="276">
        <f>K492*10%</f>
        <v>206800</v>
      </c>
      <c r="L490" s="185"/>
      <c r="M490" s="185"/>
      <c r="N490" s="176"/>
      <c r="AV490" s="138"/>
      <c r="AW490" s="138"/>
      <c r="AX490" s="138"/>
      <c r="AY490" s="138"/>
      <c r="AZ490" s="138"/>
      <c r="BA490" s="138"/>
      <c r="BB490" s="138"/>
      <c r="BC490" s="138"/>
      <c r="BD490" s="138"/>
      <c r="BE490" s="138"/>
      <c r="BF490" s="138"/>
      <c r="BG490" s="138"/>
      <c r="BH490" s="138"/>
      <c r="BI490" s="138"/>
      <c r="BJ490" s="138"/>
      <c r="BK490" s="138"/>
      <c r="BL490" s="138"/>
      <c r="BM490" s="138"/>
      <c r="BN490" s="138"/>
      <c r="BO490" s="138"/>
    </row>
    <row r="491" spans="1:67" x14ac:dyDescent="0.2">
      <c r="A491" s="177"/>
      <c r="B491" s="178"/>
      <c r="C491" s="179"/>
      <c r="D491" s="180"/>
      <c r="E491" s="180"/>
      <c r="F491" s="180"/>
      <c r="G491" s="180"/>
      <c r="H491" s="180"/>
      <c r="I491" s="332" t="s">
        <v>756</v>
      </c>
      <c r="J491" s="172" t="s">
        <v>655</v>
      </c>
      <c r="K491" s="276">
        <f>K492*10%</f>
        <v>206800</v>
      </c>
      <c r="L491" s="185"/>
      <c r="M491" s="185"/>
      <c r="AV491" s="138"/>
      <c r="AW491" s="138"/>
      <c r="AX491" s="138"/>
      <c r="AY491" s="138"/>
      <c r="AZ491" s="138"/>
      <c r="BA491" s="138"/>
      <c r="BB491" s="138"/>
      <c r="BC491" s="138"/>
      <c r="BD491" s="138"/>
      <c r="BE491" s="138"/>
      <c r="BF491" s="138"/>
      <c r="BG491" s="138"/>
      <c r="BH491" s="138"/>
      <c r="BI491" s="138"/>
      <c r="BJ491" s="138"/>
      <c r="BK491" s="138"/>
      <c r="BL491" s="138"/>
      <c r="BM491" s="138"/>
      <c r="BN491" s="138"/>
      <c r="BO491" s="138"/>
    </row>
    <row r="492" spans="1:67" ht="25.5" customHeight="1" x14ac:dyDescent="0.2">
      <c r="A492" s="189"/>
      <c r="B492" s="190"/>
      <c r="C492" s="191"/>
      <c r="D492" s="192"/>
      <c r="E492" s="192"/>
      <c r="F492" s="192"/>
      <c r="G492" s="192"/>
      <c r="H492" s="192"/>
      <c r="I492" s="333"/>
      <c r="J492" s="204"/>
      <c r="K492" s="276">
        <v>2068000</v>
      </c>
      <c r="L492" s="197"/>
      <c r="M492" s="197"/>
      <c r="AV492" s="138"/>
      <c r="AW492" s="138"/>
      <c r="AX492" s="138"/>
      <c r="AY492" s="138"/>
      <c r="AZ492" s="138"/>
      <c r="BA492" s="138"/>
      <c r="BB492" s="138"/>
      <c r="BC492" s="138"/>
      <c r="BD492" s="138"/>
      <c r="BE492" s="138"/>
      <c r="BF492" s="138"/>
      <c r="BG492" s="138"/>
      <c r="BH492" s="138"/>
      <c r="BI492" s="138"/>
      <c r="BJ492" s="138"/>
      <c r="BK492" s="138"/>
      <c r="BL492" s="138"/>
      <c r="BM492" s="138"/>
      <c r="BN492" s="138"/>
      <c r="BO492" s="138"/>
    </row>
    <row r="493" spans="1:67" ht="25.5" customHeight="1" x14ac:dyDescent="0.2">
      <c r="A493" s="334">
        <v>129</v>
      </c>
      <c r="B493" s="168" t="s">
        <v>757</v>
      </c>
      <c r="C493" s="169"/>
      <c r="D493" s="250" t="s">
        <v>107</v>
      </c>
      <c r="E493" s="170"/>
      <c r="F493" s="170"/>
      <c r="G493" s="170"/>
      <c r="H493" s="170"/>
      <c r="I493" s="217" t="s">
        <v>758</v>
      </c>
      <c r="J493" s="172" t="s">
        <v>274</v>
      </c>
      <c r="K493" s="212">
        <f>6300*60%</f>
        <v>3780</v>
      </c>
      <c r="L493" s="174" t="s">
        <v>111</v>
      </c>
      <c r="M493" s="175" t="s">
        <v>759</v>
      </c>
      <c r="AV493" s="138"/>
      <c r="AW493" s="138"/>
      <c r="AX493" s="138"/>
      <c r="AY493" s="138"/>
      <c r="AZ493" s="138"/>
      <c r="BA493" s="138"/>
      <c r="BB493" s="138"/>
      <c r="BC493" s="138"/>
      <c r="BD493" s="138"/>
      <c r="BE493" s="138"/>
      <c r="BF493" s="138"/>
      <c r="BG493" s="138"/>
      <c r="BH493" s="138"/>
      <c r="BI493" s="138"/>
      <c r="BJ493" s="138"/>
      <c r="BK493" s="138"/>
      <c r="BL493" s="138"/>
      <c r="BM493" s="138"/>
      <c r="BN493" s="138"/>
      <c r="BO493" s="138"/>
    </row>
    <row r="494" spans="1:67" ht="25.5" customHeight="1" x14ac:dyDescent="0.2">
      <c r="A494" s="334"/>
      <c r="B494" s="178"/>
      <c r="C494" s="179"/>
      <c r="D494" s="243"/>
      <c r="E494" s="180"/>
      <c r="F494" s="180"/>
      <c r="G494" s="180"/>
      <c r="H494" s="180"/>
      <c r="I494" s="171" t="s">
        <v>760</v>
      </c>
      <c r="J494" s="182" t="s">
        <v>274</v>
      </c>
      <c r="K494" s="202">
        <f>6300*10%</f>
        <v>630</v>
      </c>
      <c r="L494" s="184"/>
      <c r="M494" s="185"/>
      <c r="AV494" s="138"/>
      <c r="AW494" s="138"/>
      <c r="AX494" s="138"/>
      <c r="AY494" s="138"/>
      <c r="AZ494" s="138"/>
      <c r="BA494" s="138"/>
      <c r="BB494" s="138"/>
      <c r="BC494" s="138"/>
      <c r="BD494" s="138"/>
      <c r="BE494" s="138"/>
      <c r="BF494" s="138"/>
      <c r="BG494" s="138"/>
      <c r="BH494" s="138"/>
      <c r="BI494" s="138"/>
      <c r="BJ494" s="138"/>
      <c r="BK494" s="138"/>
      <c r="BL494" s="138"/>
      <c r="BM494" s="138"/>
      <c r="BN494" s="138"/>
      <c r="BO494" s="138"/>
    </row>
    <row r="495" spans="1:67" ht="25.5" customHeight="1" x14ac:dyDescent="0.2">
      <c r="A495" s="334"/>
      <c r="B495" s="178"/>
      <c r="C495" s="179"/>
      <c r="D495" s="243"/>
      <c r="E495" s="180"/>
      <c r="F495" s="180"/>
      <c r="G495" s="180"/>
      <c r="H495" s="180"/>
      <c r="I495" s="188" t="s">
        <v>720</v>
      </c>
      <c r="J495" s="182" t="s">
        <v>274</v>
      </c>
      <c r="K495" s="183">
        <f>6300*10%</f>
        <v>630</v>
      </c>
      <c r="L495" s="184"/>
      <c r="M495" s="185"/>
      <c r="AV495" s="138"/>
      <c r="AW495" s="138"/>
      <c r="AX495" s="138"/>
      <c r="AY495" s="138"/>
      <c r="AZ495" s="138"/>
      <c r="BA495" s="138"/>
      <c r="BB495" s="138"/>
      <c r="BC495" s="138"/>
      <c r="BD495" s="138"/>
      <c r="BE495" s="138"/>
      <c r="BF495" s="138"/>
      <c r="BG495" s="138"/>
      <c r="BH495" s="138"/>
      <c r="BI495" s="138"/>
      <c r="BJ495" s="138"/>
      <c r="BK495" s="138"/>
      <c r="BL495" s="138"/>
      <c r="BM495" s="138"/>
      <c r="BN495" s="138"/>
      <c r="BO495" s="138"/>
    </row>
    <row r="496" spans="1:67" ht="25.5" customHeight="1" x14ac:dyDescent="0.2">
      <c r="A496" s="334"/>
      <c r="B496" s="178"/>
      <c r="C496" s="179"/>
      <c r="D496" s="243"/>
      <c r="E496" s="180"/>
      <c r="F496" s="180"/>
      <c r="G496" s="180"/>
      <c r="H496" s="180"/>
      <c r="I496" s="188" t="s">
        <v>761</v>
      </c>
      <c r="J496" s="182" t="s">
        <v>274</v>
      </c>
      <c r="K496" s="183">
        <f>6300*10%</f>
        <v>630</v>
      </c>
      <c r="L496" s="184"/>
      <c r="M496" s="185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8"/>
      <c r="BF496" s="138"/>
      <c r="BG496" s="138"/>
      <c r="BH496" s="138"/>
      <c r="BI496" s="138"/>
      <c r="BJ496" s="138"/>
      <c r="BK496" s="138"/>
      <c r="BL496" s="138"/>
      <c r="BM496" s="138"/>
      <c r="BN496" s="138"/>
      <c r="BO496" s="138"/>
    </row>
    <row r="497" spans="1:67" ht="25.5" customHeight="1" x14ac:dyDescent="0.2">
      <c r="A497" s="334"/>
      <c r="B497" s="178"/>
      <c r="C497" s="179"/>
      <c r="D497" s="243"/>
      <c r="E497" s="180"/>
      <c r="F497" s="180"/>
      <c r="G497" s="180"/>
      <c r="H497" s="180"/>
      <c r="I497" s="188" t="s">
        <v>762</v>
      </c>
      <c r="J497" s="291" t="s">
        <v>274</v>
      </c>
      <c r="K497" s="183">
        <f>6300*10%</f>
        <v>630</v>
      </c>
      <c r="L497" s="184"/>
      <c r="M497" s="185"/>
      <c r="AV497" s="138"/>
      <c r="AW497" s="138"/>
      <c r="AX497" s="138"/>
      <c r="AY497" s="138"/>
      <c r="AZ497" s="138"/>
      <c r="BA497" s="138"/>
      <c r="BB497" s="138"/>
      <c r="BC497" s="138"/>
      <c r="BD497" s="138"/>
      <c r="BE497" s="138"/>
      <c r="BF497" s="138"/>
      <c r="BG497" s="138"/>
      <c r="BH497" s="138"/>
      <c r="BI497" s="138"/>
      <c r="BJ497" s="138"/>
      <c r="BK497" s="138"/>
      <c r="BL497" s="138"/>
      <c r="BM497" s="138"/>
      <c r="BN497" s="138"/>
      <c r="BO497" s="138"/>
    </row>
    <row r="498" spans="1:67" ht="25.5" customHeight="1" x14ac:dyDescent="0.2">
      <c r="A498" s="334"/>
      <c r="B498" s="190"/>
      <c r="C498" s="191"/>
      <c r="D498" s="244"/>
      <c r="E498" s="192"/>
      <c r="F498" s="192"/>
      <c r="G498" s="192"/>
      <c r="H498" s="192"/>
      <c r="I498" s="193"/>
      <c r="J498" s="215"/>
      <c r="K498" s="216">
        <f>SUM(K493:K497)</f>
        <v>6300</v>
      </c>
      <c r="L498" s="196"/>
      <c r="M498" s="197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8"/>
      <c r="BF498" s="138"/>
      <c r="BG498" s="138"/>
      <c r="BH498" s="138"/>
      <c r="BI498" s="138"/>
      <c r="BJ498" s="138"/>
      <c r="BK498" s="138"/>
      <c r="BL498" s="138"/>
      <c r="BM498" s="138"/>
      <c r="BN498" s="138"/>
      <c r="BO498" s="138"/>
    </row>
    <row r="499" spans="1:67" ht="25.5" customHeight="1" x14ac:dyDescent="0.2">
      <c r="A499" s="334">
        <v>1.3</v>
      </c>
      <c r="B499" s="168" t="s">
        <v>763</v>
      </c>
      <c r="C499" s="169"/>
      <c r="D499" s="250" t="s">
        <v>107</v>
      </c>
      <c r="E499" s="170"/>
      <c r="F499" s="170"/>
      <c r="G499" s="170"/>
      <c r="H499" s="170"/>
      <c r="I499" s="217" t="s">
        <v>764</v>
      </c>
      <c r="J499" s="198" t="s">
        <v>274</v>
      </c>
      <c r="K499" s="173">
        <f>10500*80%</f>
        <v>8400</v>
      </c>
      <c r="L499" s="174" t="s">
        <v>111</v>
      </c>
      <c r="M499" s="175" t="s">
        <v>765</v>
      </c>
      <c r="AV499" s="138"/>
      <c r="AW499" s="138"/>
      <c r="AX499" s="138"/>
      <c r="AY499" s="138"/>
      <c r="AZ499" s="138"/>
      <c r="BA499" s="138"/>
      <c r="BB499" s="138"/>
      <c r="BC499" s="138"/>
      <c r="BD499" s="138"/>
      <c r="BE499" s="138"/>
      <c r="BF499" s="138"/>
      <c r="BG499" s="138"/>
      <c r="BH499" s="138"/>
      <c r="BI499" s="138"/>
      <c r="BJ499" s="138"/>
      <c r="BK499" s="138"/>
      <c r="BL499" s="138"/>
      <c r="BM499" s="138"/>
      <c r="BN499" s="138"/>
      <c r="BO499" s="138"/>
    </row>
    <row r="500" spans="1:67" ht="25.5" customHeight="1" x14ac:dyDescent="0.2">
      <c r="A500" s="334"/>
      <c r="B500" s="178"/>
      <c r="C500" s="179"/>
      <c r="D500" s="243"/>
      <c r="E500" s="180"/>
      <c r="F500" s="180"/>
      <c r="G500" s="180"/>
      <c r="H500" s="180"/>
      <c r="I500" s="188" t="s">
        <v>766</v>
      </c>
      <c r="J500" s="172" t="s">
        <v>571</v>
      </c>
      <c r="K500" s="186">
        <f>10500*20%</f>
        <v>2100</v>
      </c>
      <c r="L500" s="184"/>
      <c r="M500" s="185"/>
      <c r="AV500" s="138"/>
      <c r="AW500" s="138"/>
      <c r="AX500" s="138"/>
      <c r="AY500" s="138"/>
      <c r="AZ500" s="138"/>
      <c r="BA500" s="138"/>
      <c r="BB500" s="138"/>
      <c r="BC500" s="138"/>
      <c r="BD500" s="138"/>
      <c r="BE500" s="138"/>
      <c r="BF500" s="138"/>
      <c r="BG500" s="138"/>
      <c r="BH500" s="138"/>
      <c r="BI500" s="138"/>
      <c r="BJ500" s="138"/>
      <c r="BK500" s="138"/>
      <c r="BL500" s="138"/>
      <c r="BM500" s="138"/>
      <c r="BN500" s="138"/>
      <c r="BO500" s="138"/>
    </row>
    <row r="501" spans="1:67" ht="25.5" customHeight="1" x14ac:dyDescent="0.2">
      <c r="A501" s="334"/>
      <c r="B501" s="190"/>
      <c r="C501" s="191"/>
      <c r="D501" s="244"/>
      <c r="E501" s="192"/>
      <c r="F501" s="192"/>
      <c r="G501" s="192"/>
      <c r="H501" s="192"/>
      <c r="I501" s="193"/>
      <c r="J501" s="194"/>
      <c r="K501" s="195">
        <f>SUM(K499:K500)</f>
        <v>10500</v>
      </c>
      <c r="L501" s="196"/>
      <c r="M501" s="197"/>
      <c r="AV501" s="138"/>
      <c r="AW501" s="138"/>
      <c r="AX501" s="138"/>
      <c r="AY501" s="138"/>
      <c r="AZ501" s="138"/>
      <c r="BA501" s="138"/>
      <c r="BB501" s="138"/>
      <c r="BC501" s="138"/>
      <c r="BD501" s="138"/>
      <c r="BE501" s="138"/>
      <c r="BF501" s="138"/>
      <c r="BG501" s="138"/>
      <c r="BH501" s="138"/>
      <c r="BI501" s="138"/>
      <c r="BJ501" s="138"/>
      <c r="BK501" s="138"/>
      <c r="BL501" s="138"/>
      <c r="BM501" s="138"/>
      <c r="BN501" s="138"/>
      <c r="BO501" s="138"/>
    </row>
    <row r="502" spans="1:67" ht="25.5" customHeight="1" x14ac:dyDescent="0.2">
      <c r="A502" s="334">
        <v>131</v>
      </c>
      <c r="B502" s="168" t="s">
        <v>767</v>
      </c>
      <c r="C502" s="169"/>
      <c r="D502" s="250" t="s">
        <v>107</v>
      </c>
      <c r="E502" s="170"/>
      <c r="F502" s="170"/>
      <c r="G502" s="170"/>
      <c r="H502" s="170"/>
      <c r="I502" s="171" t="s">
        <v>768</v>
      </c>
      <c r="J502" s="198" t="s">
        <v>274</v>
      </c>
      <c r="K502" s="173">
        <f>18000*10%</f>
        <v>1800</v>
      </c>
      <c r="L502" s="174" t="s">
        <v>111</v>
      </c>
      <c r="M502" s="175" t="s">
        <v>769</v>
      </c>
      <c r="AV502" s="138"/>
      <c r="AW502" s="138"/>
      <c r="AX502" s="138"/>
      <c r="AY502" s="138"/>
      <c r="AZ502" s="138"/>
      <c r="BA502" s="138"/>
      <c r="BB502" s="138"/>
      <c r="BC502" s="138"/>
      <c r="BD502" s="138"/>
      <c r="BE502" s="138"/>
      <c r="BF502" s="138"/>
      <c r="BG502" s="138"/>
      <c r="BH502" s="138"/>
      <c r="BI502" s="138"/>
      <c r="BJ502" s="138"/>
      <c r="BK502" s="138"/>
      <c r="BL502" s="138"/>
      <c r="BM502" s="138"/>
      <c r="BN502" s="138"/>
      <c r="BO502" s="138"/>
    </row>
    <row r="503" spans="1:67" ht="25.5" customHeight="1" x14ac:dyDescent="0.2">
      <c r="A503" s="334"/>
      <c r="B503" s="178"/>
      <c r="C503" s="179"/>
      <c r="D503" s="243"/>
      <c r="E503" s="180"/>
      <c r="F503" s="180"/>
      <c r="G503" s="180"/>
      <c r="H503" s="180"/>
      <c r="I503" s="188" t="s">
        <v>770</v>
      </c>
      <c r="J503" s="291" t="s">
        <v>274</v>
      </c>
      <c r="K503" s="208">
        <f>18000*10%</f>
        <v>1800</v>
      </c>
      <c r="L503" s="184"/>
      <c r="M503" s="185"/>
      <c r="AV503" s="138"/>
      <c r="AW503" s="138"/>
      <c r="AX503" s="138"/>
      <c r="AY503" s="138"/>
      <c r="AZ503" s="138"/>
      <c r="BA503" s="138"/>
      <c r="BB503" s="138"/>
      <c r="BC503" s="138"/>
      <c r="BD503" s="138"/>
      <c r="BE503" s="138"/>
      <c r="BF503" s="138"/>
      <c r="BG503" s="138"/>
      <c r="BH503" s="138"/>
      <c r="BI503" s="138"/>
      <c r="BJ503" s="138"/>
      <c r="BK503" s="138"/>
      <c r="BL503" s="138"/>
      <c r="BM503" s="138"/>
      <c r="BN503" s="138"/>
      <c r="BO503" s="138"/>
    </row>
    <row r="504" spans="1:67" ht="25.5" customHeight="1" x14ac:dyDescent="0.2">
      <c r="A504" s="334"/>
      <c r="B504" s="178"/>
      <c r="C504" s="179"/>
      <c r="D504" s="243"/>
      <c r="E504" s="180"/>
      <c r="F504" s="180"/>
      <c r="G504" s="180"/>
      <c r="H504" s="180"/>
      <c r="I504" s="171" t="s">
        <v>771</v>
      </c>
      <c r="J504" s="172" t="s">
        <v>772</v>
      </c>
      <c r="K504" s="229">
        <f>18000*10%</f>
        <v>1800</v>
      </c>
      <c r="L504" s="184"/>
      <c r="M504" s="185"/>
      <c r="N504" s="176"/>
      <c r="AV504" s="138"/>
      <c r="AW504" s="138"/>
      <c r="AX504" s="138"/>
      <c r="AY504" s="138"/>
      <c r="AZ504" s="138"/>
      <c r="BA504" s="138"/>
      <c r="BB504" s="138"/>
      <c r="BC504" s="138"/>
      <c r="BD504" s="138"/>
      <c r="BE504" s="138"/>
      <c r="BF504" s="138"/>
      <c r="BG504" s="138"/>
      <c r="BH504" s="138"/>
      <c r="BI504" s="138"/>
      <c r="BJ504" s="138"/>
      <c r="BK504" s="138"/>
      <c r="BL504" s="138"/>
      <c r="BM504" s="138"/>
      <c r="BN504" s="138"/>
      <c r="BO504" s="138"/>
    </row>
    <row r="505" spans="1:67" ht="25.5" customHeight="1" x14ac:dyDescent="0.2">
      <c r="A505" s="334"/>
      <c r="B505" s="178"/>
      <c r="C505" s="179"/>
      <c r="D505" s="243"/>
      <c r="E505" s="180"/>
      <c r="F505" s="180"/>
      <c r="G505" s="180"/>
      <c r="H505" s="180"/>
      <c r="I505" s="188" t="s">
        <v>773</v>
      </c>
      <c r="J505" s="182" t="s">
        <v>772</v>
      </c>
      <c r="K505" s="202">
        <f>18000*10%</f>
        <v>1800</v>
      </c>
      <c r="L505" s="184"/>
      <c r="M505" s="185"/>
      <c r="AV505" s="138"/>
      <c r="AW505" s="138"/>
      <c r="AX505" s="138"/>
      <c r="AY505" s="138"/>
      <c r="AZ505" s="138"/>
      <c r="BA505" s="138"/>
      <c r="BB505" s="138"/>
      <c r="BC505" s="138"/>
      <c r="BD505" s="138"/>
      <c r="BE505" s="138"/>
      <c r="BF505" s="138"/>
      <c r="BG505" s="138"/>
      <c r="BH505" s="138"/>
      <c r="BI505" s="138"/>
      <c r="BJ505" s="138"/>
      <c r="BK505" s="138"/>
      <c r="BL505" s="138"/>
      <c r="BM505" s="138"/>
      <c r="BN505" s="138"/>
      <c r="BO505" s="138"/>
    </row>
    <row r="506" spans="1:67" ht="25.5" customHeight="1" x14ac:dyDescent="0.2">
      <c r="A506" s="334"/>
      <c r="B506" s="178"/>
      <c r="C506" s="179"/>
      <c r="D506" s="243"/>
      <c r="E506" s="180"/>
      <c r="F506" s="180"/>
      <c r="G506" s="180"/>
      <c r="H506" s="180"/>
      <c r="I506" s="171" t="s">
        <v>774</v>
      </c>
      <c r="J506" s="172" t="s">
        <v>274</v>
      </c>
      <c r="K506" s="186">
        <f>18000*50%</f>
        <v>9000</v>
      </c>
      <c r="L506" s="184"/>
      <c r="M506" s="185"/>
      <c r="AV506" s="138"/>
      <c r="AW506" s="138"/>
      <c r="AX506" s="138"/>
      <c r="AY506" s="138"/>
      <c r="AZ506" s="138"/>
      <c r="BA506" s="138"/>
      <c r="BB506" s="138"/>
      <c r="BC506" s="138"/>
      <c r="BD506" s="138"/>
      <c r="BE506" s="138"/>
      <c r="BF506" s="138"/>
      <c r="BG506" s="138"/>
      <c r="BH506" s="138"/>
      <c r="BI506" s="138"/>
      <c r="BJ506" s="138"/>
      <c r="BK506" s="138"/>
      <c r="BL506" s="138"/>
      <c r="BM506" s="138"/>
      <c r="BN506" s="138"/>
      <c r="BO506" s="138"/>
    </row>
    <row r="507" spans="1:67" ht="25.5" customHeight="1" x14ac:dyDescent="0.2">
      <c r="A507" s="334"/>
      <c r="B507" s="178"/>
      <c r="C507" s="179"/>
      <c r="D507" s="243"/>
      <c r="E507" s="180"/>
      <c r="F507" s="180"/>
      <c r="G507" s="180"/>
      <c r="H507" s="180"/>
      <c r="I507" s="181" t="s">
        <v>775</v>
      </c>
      <c r="J507" s="182" t="s">
        <v>772</v>
      </c>
      <c r="K507" s="183">
        <f>18000*10%</f>
        <v>1800</v>
      </c>
      <c r="L507" s="184"/>
      <c r="M507" s="185"/>
      <c r="AV507" s="138"/>
      <c r="AW507" s="138"/>
      <c r="AX507" s="138"/>
      <c r="AY507" s="138"/>
      <c r="AZ507" s="138"/>
      <c r="BA507" s="138"/>
      <c r="BB507" s="138"/>
      <c r="BC507" s="138"/>
      <c r="BD507" s="138"/>
      <c r="BE507" s="138"/>
      <c r="BF507" s="138"/>
      <c r="BG507" s="138"/>
      <c r="BH507" s="138"/>
      <c r="BI507" s="138"/>
      <c r="BJ507" s="138"/>
      <c r="BK507" s="138"/>
      <c r="BL507" s="138"/>
      <c r="BM507" s="138"/>
      <c r="BN507" s="138"/>
      <c r="BO507" s="138"/>
    </row>
    <row r="508" spans="1:67" ht="25.5" customHeight="1" x14ac:dyDescent="0.2">
      <c r="A508" s="334"/>
      <c r="B508" s="190"/>
      <c r="C508" s="191"/>
      <c r="D508" s="244"/>
      <c r="E508" s="192"/>
      <c r="F508" s="192"/>
      <c r="G508" s="192"/>
      <c r="H508" s="192"/>
      <c r="I508" s="203"/>
      <c r="J508" s="215"/>
      <c r="K508" s="216">
        <f>SUM(K502:K507)</f>
        <v>18000</v>
      </c>
      <c r="L508" s="196"/>
      <c r="M508" s="197"/>
      <c r="AV508" s="138"/>
      <c r="AW508" s="138"/>
      <c r="AX508" s="138"/>
      <c r="AY508" s="138"/>
      <c r="AZ508" s="138"/>
      <c r="BA508" s="138"/>
      <c r="BB508" s="138"/>
      <c r="BC508" s="138"/>
      <c r="BD508" s="138"/>
      <c r="BE508" s="138"/>
      <c r="BF508" s="138"/>
      <c r="BG508" s="138"/>
      <c r="BH508" s="138"/>
      <c r="BI508" s="138"/>
      <c r="BJ508" s="138"/>
      <c r="BK508" s="138"/>
      <c r="BL508" s="138"/>
      <c r="BM508" s="138"/>
      <c r="BN508" s="138"/>
      <c r="BO508" s="138"/>
    </row>
    <row r="509" spans="1:67" x14ac:dyDescent="0.2">
      <c r="A509" s="250">
        <v>132</v>
      </c>
      <c r="B509" s="335" t="s">
        <v>776</v>
      </c>
      <c r="C509" s="336"/>
      <c r="D509" s="170" t="s">
        <v>25</v>
      </c>
      <c r="E509" s="170"/>
      <c r="F509" s="170"/>
      <c r="G509" s="170" t="s">
        <v>777</v>
      </c>
      <c r="H509" s="170" t="s">
        <v>750</v>
      </c>
      <c r="I509" s="337" t="s">
        <v>778</v>
      </c>
      <c r="J509" s="337" t="s">
        <v>655</v>
      </c>
      <c r="K509" s="266">
        <v>60514999.999999993</v>
      </c>
      <c r="L509" s="315" t="s">
        <v>777</v>
      </c>
      <c r="M509" s="175" t="s">
        <v>779</v>
      </c>
      <c r="AV509" s="138"/>
      <c r="AW509" s="138"/>
      <c r="AX509" s="138"/>
      <c r="AY509" s="138"/>
      <c r="AZ509" s="138"/>
      <c r="BA509" s="138"/>
      <c r="BB509" s="138"/>
      <c r="BC509" s="138"/>
      <c r="BD509" s="138"/>
      <c r="BE509" s="138"/>
      <c r="BF509" s="138"/>
      <c r="BG509" s="138"/>
      <c r="BH509" s="138"/>
      <c r="BI509" s="138"/>
      <c r="BJ509" s="138"/>
      <c r="BK509" s="138"/>
      <c r="BL509" s="138"/>
      <c r="BM509" s="138"/>
      <c r="BN509" s="138"/>
      <c r="BO509" s="138"/>
    </row>
    <row r="510" spans="1:67" ht="48" x14ac:dyDescent="0.2">
      <c r="A510" s="243"/>
      <c r="B510" s="338"/>
      <c r="C510" s="339"/>
      <c r="D510" s="180"/>
      <c r="E510" s="180"/>
      <c r="F510" s="180"/>
      <c r="G510" s="180"/>
      <c r="H510" s="180"/>
      <c r="I510" s="340" t="s">
        <v>780</v>
      </c>
      <c r="J510" s="340" t="s">
        <v>196</v>
      </c>
      <c r="K510" s="214">
        <v>25935000</v>
      </c>
      <c r="L510" s="320"/>
      <c r="M510" s="185"/>
      <c r="AV510" s="138"/>
      <c r="AW510" s="138"/>
      <c r="AX510" s="138"/>
      <c r="AY510" s="138"/>
      <c r="AZ510" s="138"/>
      <c r="BA510" s="138"/>
      <c r="BB510" s="138"/>
      <c r="BC510" s="138"/>
      <c r="BD510" s="138"/>
      <c r="BE510" s="138"/>
      <c r="BF510" s="138"/>
      <c r="BG510" s="138"/>
      <c r="BH510" s="138"/>
      <c r="BI510" s="138"/>
      <c r="BJ510" s="138"/>
      <c r="BK510" s="138"/>
      <c r="BL510" s="138"/>
      <c r="BM510" s="138"/>
      <c r="BN510" s="138"/>
      <c r="BO510" s="138"/>
    </row>
    <row r="511" spans="1:67" x14ac:dyDescent="0.2">
      <c r="A511" s="243"/>
      <c r="B511" s="338"/>
      <c r="C511" s="339"/>
      <c r="D511" s="180"/>
      <c r="E511" s="180"/>
      <c r="F511" s="180"/>
      <c r="G511" s="180"/>
      <c r="H511" s="180"/>
      <c r="I511" s="333"/>
      <c r="J511" s="333"/>
      <c r="K511" s="199">
        <v>86450000</v>
      </c>
      <c r="L511" s="320"/>
      <c r="M511" s="185"/>
      <c r="AV511" s="138"/>
      <c r="AW511" s="138"/>
      <c r="AX511" s="138"/>
      <c r="AY511" s="138"/>
      <c r="AZ511" s="138"/>
      <c r="BA511" s="138"/>
      <c r="BB511" s="138"/>
      <c r="BC511" s="138"/>
      <c r="BD511" s="138"/>
      <c r="BE511" s="138"/>
      <c r="BF511" s="138"/>
      <c r="BG511" s="138"/>
      <c r="BH511" s="138"/>
      <c r="BI511" s="138"/>
      <c r="BJ511" s="138"/>
      <c r="BK511" s="138"/>
      <c r="BL511" s="138"/>
      <c r="BM511" s="138"/>
      <c r="BN511" s="138"/>
      <c r="BO511" s="138"/>
    </row>
    <row r="512" spans="1:67" x14ac:dyDescent="0.2">
      <c r="A512" s="167">
        <v>133</v>
      </c>
      <c r="B512" s="168" t="s">
        <v>781</v>
      </c>
      <c r="C512" s="169"/>
      <c r="D512" s="170" t="s">
        <v>107</v>
      </c>
      <c r="E512" s="170"/>
      <c r="F512" s="170"/>
      <c r="G512" s="170"/>
      <c r="H512" s="170"/>
      <c r="I512" s="171" t="s">
        <v>782</v>
      </c>
      <c r="J512" s="172" t="s">
        <v>594</v>
      </c>
      <c r="K512" s="173">
        <f>7500*25%</f>
        <v>1875</v>
      </c>
      <c r="L512" s="174" t="s">
        <v>111</v>
      </c>
      <c r="M512" s="175" t="s">
        <v>783</v>
      </c>
      <c r="AV512" s="138"/>
      <c r="AW512" s="138"/>
      <c r="AX512" s="138"/>
      <c r="AY512" s="138"/>
      <c r="AZ512" s="138"/>
      <c r="BA512" s="138"/>
      <c r="BB512" s="138"/>
      <c r="BC512" s="138"/>
      <c r="BD512" s="138"/>
      <c r="BE512" s="138"/>
      <c r="BF512" s="138"/>
      <c r="BG512" s="138"/>
      <c r="BH512" s="138"/>
      <c r="BI512" s="138"/>
      <c r="BJ512" s="138"/>
      <c r="BK512" s="138"/>
      <c r="BL512" s="138"/>
      <c r="BM512" s="138"/>
      <c r="BN512" s="138"/>
      <c r="BO512" s="138"/>
    </row>
    <row r="513" spans="1:67" x14ac:dyDescent="0.2">
      <c r="A513" s="177"/>
      <c r="B513" s="178"/>
      <c r="C513" s="179"/>
      <c r="D513" s="180"/>
      <c r="E513" s="180"/>
      <c r="F513" s="180"/>
      <c r="G513" s="180"/>
      <c r="H513" s="180"/>
      <c r="I513" s="188" t="s">
        <v>784</v>
      </c>
      <c r="J513" s="182" t="s">
        <v>594</v>
      </c>
      <c r="K513" s="183">
        <f>7500*25%</f>
        <v>1875</v>
      </c>
      <c r="L513" s="184"/>
      <c r="M513" s="185"/>
      <c r="AV513" s="138"/>
      <c r="AW513" s="138"/>
      <c r="AX513" s="138"/>
      <c r="AY513" s="138"/>
      <c r="AZ513" s="138"/>
      <c r="BA513" s="138"/>
      <c r="BB513" s="138"/>
      <c r="BC513" s="138"/>
      <c r="BD513" s="138"/>
      <c r="BE513" s="138"/>
      <c r="BF513" s="138"/>
      <c r="BG513" s="138"/>
      <c r="BH513" s="138"/>
      <c r="BI513" s="138"/>
      <c r="BJ513" s="138"/>
      <c r="BK513" s="138"/>
      <c r="BL513" s="138"/>
      <c r="BM513" s="138"/>
      <c r="BN513" s="138"/>
      <c r="BO513" s="138"/>
    </row>
    <row r="514" spans="1:67" x14ac:dyDescent="0.2">
      <c r="A514" s="177"/>
      <c r="B514" s="178"/>
      <c r="C514" s="179"/>
      <c r="D514" s="180"/>
      <c r="E514" s="180"/>
      <c r="F514" s="180"/>
      <c r="G514" s="180"/>
      <c r="H514" s="180"/>
      <c r="I514" s="188" t="s">
        <v>785</v>
      </c>
      <c r="J514" s="172" t="s">
        <v>571</v>
      </c>
      <c r="K514" s="186">
        <f>7500*25%</f>
        <v>1875</v>
      </c>
      <c r="L514" s="184"/>
      <c r="M514" s="185"/>
      <c r="AV514" s="138"/>
      <c r="AW514" s="138"/>
      <c r="AX514" s="138"/>
      <c r="AY514" s="138"/>
      <c r="AZ514" s="138"/>
      <c r="BA514" s="138"/>
      <c r="BB514" s="138"/>
      <c r="BC514" s="138"/>
      <c r="BD514" s="138"/>
      <c r="BE514" s="138"/>
      <c r="BF514" s="138"/>
      <c r="BG514" s="138"/>
      <c r="BH514" s="138"/>
      <c r="BI514" s="138"/>
      <c r="BJ514" s="138"/>
      <c r="BK514" s="138"/>
      <c r="BL514" s="138"/>
      <c r="BM514" s="138"/>
      <c r="BN514" s="138"/>
      <c r="BO514" s="138"/>
    </row>
    <row r="515" spans="1:67" x14ac:dyDescent="0.2">
      <c r="A515" s="177"/>
      <c r="B515" s="178"/>
      <c r="C515" s="179"/>
      <c r="D515" s="180"/>
      <c r="E515" s="180"/>
      <c r="F515" s="180"/>
      <c r="G515" s="180"/>
      <c r="H515" s="180"/>
      <c r="I515" s="171" t="s">
        <v>786</v>
      </c>
      <c r="J515" s="182" t="s">
        <v>571</v>
      </c>
      <c r="K515" s="208">
        <f>7500*15%</f>
        <v>1125</v>
      </c>
      <c r="L515" s="184"/>
      <c r="M515" s="185"/>
      <c r="AV515" s="138"/>
      <c r="AW515" s="138"/>
      <c r="AX515" s="138"/>
      <c r="AY515" s="138"/>
      <c r="AZ515" s="138"/>
      <c r="BA515" s="138"/>
      <c r="BB515" s="138"/>
      <c r="BC515" s="138"/>
      <c r="BD515" s="138"/>
      <c r="BE515" s="138"/>
      <c r="BF515" s="138"/>
      <c r="BG515" s="138"/>
      <c r="BH515" s="138"/>
      <c r="BI515" s="138"/>
      <c r="BJ515" s="138"/>
      <c r="BK515" s="138"/>
      <c r="BL515" s="138"/>
      <c r="BM515" s="138"/>
      <c r="BN515" s="138"/>
      <c r="BO515" s="138"/>
    </row>
    <row r="516" spans="1:67" x14ac:dyDescent="0.2">
      <c r="A516" s="177"/>
      <c r="B516" s="178"/>
      <c r="C516" s="179"/>
      <c r="D516" s="180"/>
      <c r="E516" s="180"/>
      <c r="F516" s="180"/>
      <c r="G516" s="180"/>
      <c r="H516" s="180"/>
      <c r="I516" s="188" t="s">
        <v>787</v>
      </c>
      <c r="J516" s="182" t="s">
        <v>571</v>
      </c>
      <c r="K516" s="202">
        <f>7500*10%</f>
        <v>750</v>
      </c>
      <c r="L516" s="184"/>
      <c r="M516" s="185"/>
      <c r="AV516" s="138"/>
      <c r="AW516" s="138"/>
      <c r="AX516" s="138"/>
      <c r="AY516" s="138"/>
      <c r="AZ516" s="138"/>
      <c r="BA516" s="138"/>
      <c r="BB516" s="138"/>
      <c r="BC516" s="138"/>
      <c r="BD516" s="138"/>
      <c r="BE516" s="138"/>
      <c r="BF516" s="138"/>
      <c r="BG516" s="138"/>
      <c r="BH516" s="138"/>
      <c r="BI516" s="138"/>
      <c r="BJ516" s="138"/>
      <c r="BK516" s="138"/>
      <c r="BL516" s="138"/>
      <c r="BM516" s="138"/>
      <c r="BN516" s="138"/>
      <c r="BO516" s="138"/>
    </row>
    <row r="517" spans="1:67" x14ac:dyDescent="0.2">
      <c r="A517" s="189"/>
      <c r="B517" s="190"/>
      <c r="C517" s="191"/>
      <c r="D517" s="192"/>
      <c r="E517" s="192"/>
      <c r="F517" s="192"/>
      <c r="G517" s="192"/>
      <c r="H517" s="192"/>
      <c r="I517" s="193"/>
      <c r="J517" s="215"/>
      <c r="K517" s="216">
        <f>SUM(K512:K516)</f>
        <v>7500</v>
      </c>
      <c r="L517" s="196"/>
      <c r="M517" s="197"/>
      <c r="AV517" s="138"/>
      <c r="AW517" s="138"/>
      <c r="AX517" s="138"/>
      <c r="AY517" s="138"/>
      <c r="AZ517" s="138"/>
      <c r="BA517" s="138"/>
      <c r="BB517" s="138"/>
      <c r="BC517" s="138"/>
      <c r="BD517" s="138"/>
      <c r="BE517" s="138"/>
      <c r="BF517" s="138"/>
      <c r="BG517" s="138"/>
      <c r="BH517" s="138"/>
      <c r="BI517" s="138"/>
      <c r="BJ517" s="138"/>
      <c r="BK517" s="138"/>
      <c r="BL517" s="138"/>
      <c r="BM517" s="138"/>
      <c r="BN517" s="138"/>
      <c r="BO517" s="138"/>
    </row>
    <row r="518" spans="1:67" ht="48" x14ac:dyDescent="0.2">
      <c r="A518" s="167">
        <v>134</v>
      </c>
      <c r="B518" s="168" t="s">
        <v>788</v>
      </c>
      <c r="C518" s="169"/>
      <c r="D518" s="170" t="s">
        <v>107</v>
      </c>
      <c r="E518" s="170"/>
      <c r="F518" s="170"/>
      <c r="G518" s="170"/>
      <c r="H518" s="170"/>
      <c r="I518" s="217" t="s">
        <v>789</v>
      </c>
      <c r="J518" s="172" t="s">
        <v>594</v>
      </c>
      <c r="K518" s="173">
        <f>6000*50%</f>
        <v>3000</v>
      </c>
      <c r="L518" s="174" t="s">
        <v>111</v>
      </c>
      <c r="M518" s="175" t="s">
        <v>790</v>
      </c>
      <c r="AV518" s="138"/>
      <c r="AW518" s="138"/>
      <c r="AX518" s="138"/>
      <c r="AY518" s="138"/>
      <c r="AZ518" s="138"/>
      <c r="BA518" s="138"/>
      <c r="BB518" s="138"/>
      <c r="BC518" s="138"/>
      <c r="BD518" s="138"/>
      <c r="BE518" s="138"/>
      <c r="BF518" s="138"/>
      <c r="BG518" s="138"/>
      <c r="BH518" s="138"/>
      <c r="BI518" s="138"/>
      <c r="BJ518" s="138"/>
      <c r="BK518" s="138"/>
      <c r="BL518" s="138"/>
      <c r="BM518" s="138"/>
      <c r="BN518" s="138"/>
      <c r="BO518" s="138"/>
    </row>
    <row r="519" spans="1:67" x14ac:dyDescent="0.2">
      <c r="A519" s="177"/>
      <c r="B519" s="178"/>
      <c r="C519" s="179"/>
      <c r="D519" s="180"/>
      <c r="E519" s="180"/>
      <c r="F519" s="180"/>
      <c r="G519" s="180"/>
      <c r="H519" s="180"/>
      <c r="I519" s="171" t="s">
        <v>791</v>
      </c>
      <c r="J519" s="182" t="s">
        <v>594</v>
      </c>
      <c r="K519" s="183">
        <f>6000*5%</f>
        <v>300</v>
      </c>
      <c r="L519" s="184"/>
      <c r="M519" s="185"/>
      <c r="AV519" s="138"/>
      <c r="AW519" s="138"/>
      <c r="AX519" s="138"/>
      <c r="AY519" s="138"/>
      <c r="AZ519" s="138"/>
      <c r="BA519" s="138"/>
      <c r="BB519" s="138"/>
      <c r="BC519" s="138"/>
      <c r="BD519" s="138"/>
      <c r="BE519" s="138"/>
      <c r="BF519" s="138"/>
      <c r="BG519" s="138"/>
      <c r="BH519" s="138"/>
      <c r="BI519" s="138"/>
      <c r="BJ519" s="138"/>
      <c r="BK519" s="138"/>
      <c r="BL519" s="138"/>
      <c r="BM519" s="138"/>
      <c r="BN519" s="138"/>
      <c r="BO519" s="138"/>
    </row>
    <row r="520" spans="1:67" x14ac:dyDescent="0.2">
      <c r="A520" s="177"/>
      <c r="B520" s="178"/>
      <c r="C520" s="179"/>
      <c r="D520" s="180"/>
      <c r="E520" s="180"/>
      <c r="F520" s="180"/>
      <c r="G520" s="180"/>
      <c r="H520" s="180"/>
      <c r="I520" s="188" t="s">
        <v>634</v>
      </c>
      <c r="J520" s="182" t="s">
        <v>594</v>
      </c>
      <c r="K520" s="183">
        <f>6000*15%</f>
        <v>900</v>
      </c>
      <c r="L520" s="184"/>
      <c r="M520" s="185"/>
      <c r="AV520" s="138"/>
      <c r="AW520" s="138"/>
      <c r="AX520" s="138"/>
      <c r="AY520" s="138"/>
      <c r="AZ520" s="138"/>
      <c r="BA520" s="138"/>
      <c r="BB520" s="138"/>
      <c r="BC520" s="138"/>
      <c r="BD520" s="138"/>
      <c r="BE520" s="138"/>
      <c r="BF520" s="138"/>
      <c r="BG520" s="138"/>
      <c r="BH520" s="138"/>
      <c r="BI520" s="138"/>
      <c r="BJ520" s="138"/>
      <c r="BK520" s="138"/>
      <c r="BL520" s="138"/>
      <c r="BM520" s="138"/>
      <c r="BN520" s="138"/>
      <c r="BO520" s="138"/>
    </row>
    <row r="521" spans="1:67" x14ac:dyDescent="0.2">
      <c r="A521" s="177"/>
      <c r="B521" s="178"/>
      <c r="C521" s="179"/>
      <c r="D521" s="180"/>
      <c r="E521" s="180"/>
      <c r="F521" s="180"/>
      <c r="G521" s="180"/>
      <c r="H521" s="180"/>
      <c r="I521" s="188" t="s">
        <v>792</v>
      </c>
      <c r="J521" s="172" t="s">
        <v>594</v>
      </c>
      <c r="K521" s="186">
        <f>6000*5%</f>
        <v>300</v>
      </c>
      <c r="L521" s="184"/>
      <c r="M521" s="185"/>
      <c r="AV521" s="138"/>
      <c r="AW521" s="138"/>
      <c r="AX521" s="138"/>
      <c r="AY521" s="138"/>
      <c r="AZ521" s="138"/>
      <c r="BA521" s="138"/>
      <c r="BB521" s="138"/>
      <c r="BC521" s="138"/>
      <c r="BD521" s="138"/>
      <c r="BE521" s="138"/>
      <c r="BF521" s="138"/>
      <c r="BG521" s="138"/>
      <c r="BH521" s="138"/>
      <c r="BI521" s="138"/>
      <c r="BJ521" s="138"/>
      <c r="BK521" s="138"/>
      <c r="BL521" s="138"/>
      <c r="BM521" s="138"/>
      <c r="BN521" s="138"/>
      <c r="BO521" s="138"/>
    </row>
    <row r="522" spans="1:67" x14ac:dyDescent="0.2">
      <c r="A522" s="177"/>
      <c r="B522" s="178"/>
      <c r="C522" s="179"/>
      <c r="D522" s="180"/>
      <c r="E522" s="180"/>
      <c r="F522" s="180"/>
      <c r="G522" s="180"/>
      <c r="H522" s="180"/>
      <c r="I522" s="188" t="s">
        <v>793</v>
      </c>
      <c r="J522" s="182" t="s">
        <v>594</v>
      </c>
      <c r="K522" s="208">
        <f>6000*5%</f>
        <v>300</v>
      </c>
      <c r="L522" s="184"/>
      <c r="M522" s="185"/>
      <c r="AV522" s="138"/>
      <c r="AW522" s="138"/>
      <c r="AX522" s="138"/>
      <c r="AY522" s="138"/>
      <c r="AZ522" s="138"/>
      <c r="BA522" s="138"/>
      <c r="BB522" s="138"/>
      <c r="BC522" s="138"/>
      <c r="BD522" s="138"/>
      <c r="BE522" s="138"/>
      <c r="BF522" s="138"/>
      <c r="BG522" s="138"/>
      <c r="BH522" s="138"/>
      <c r="BI522" s="138"/>
      <c r="BJ522" s="138"/>
      <c r="BK522" s="138"/>
      <c r="BL522" s="138"/>
      <c r="BM522" s="138"/>
      <c r="BN522" s="138"/>
      <c r="BO522" s="138"/>
    </row>
    <row r="523" spans="1:67" x14ac:dyDescent="0.2">
      <c r="A523" s="177"/>
      <c r="B523" s="178"/>
      <c r="C523" s="179"/>
      <c r="D523" s="180"/>
      <c r="E523" s="180"/>
      <c r="F523" s="180"/>
      <c r="G523" s="180"/>
      <c r="H523" s="180"/>
      <c r="I523" s="188" t="s">
        <v>794</v>
      </c>
      <c r="J523" s="172" t="s">
        <v>594</v>
      </c>
      <c r="K523" s="202">
        <f>6000*15%</f>
        <v>900</v>
      </c>
      <c r="L523" s="184"/>
      <c r="M523" s="185"/>
      <c r="AV523" s="138"/>
      <c r="AW523" s="138"/>
      <c r="AX523" s="138"/>
      <c r="AY523" s="138"/>
      <c r="AZ523" s="138"/>
      <c r="BA523" s="138"/>
      <c r="BB523" s="138"/>
      <c r="BC523" s="138"/>
      <c r="BD523" s="138"/>
      <c r="BE523" s="138"/>
      <c r="BF523" s="138"/>
      <c r="BG523" s="138"/>
      <c r="BH523" s="138"/>
      <c r="BI523" s="138"/>
      <c r="BJ523" s="138"/>
      <c r="BK523" s="138"/>
      <c r="BL523" s="138"/>
      <c r="BM523" s="138"/>
      <c r="BN523" s="138"/>
      <c r="BO523" s="138"/>
    </row>
    <row r="524" spans="1:67" x14ac:dyDescent="0.2">
      <c r="A524" s="177"/>
      <c r="B524" s="178"/>
      <c r="C524" s="179"/>
      <c r="D524" s="180"/>
      <c r="E524" s="180"/>
      <c r="F524" s="180"/>
      <c r="G524" s="180"/>
      <c r="H524" s="180"/>
      <c r="I524" s="188" t="s">
        <v>795</v>
      </c>
      <c r="J524" s="182" t="s">
        <v>594</v>
      </c>
      <c r="K524" s="208">
        <f>6000*5%</f>
        <v>300</v>
      </c>
      <c r="L524" s="184"/>
      <c r="M524" s="185"/>
      <c r="AV524" s="138"/>
      <c r="AW524" s="138"/>
      <c r="AX524" s="138"/>
      <c r="AY524" s="138"/>
      <c r="AZ524" s="138"/>
      <c r="BA524" s="138"/>
      <c r="BB524" s="138"/>
      <c r="BC524" s="138"/>
      <c r="BD524" s="138"/>
      <c r="BE524" s="138"/>
      <c r="BF524" s="138"/>
      <c r="BG524" s="138"/>
      <c r="BH524" s="138"/>
      <c r="BI524" s="138"/>
      <c r="BJ524" s="138"/>
      <c r="BK524" s="138"/>
      <c r="BL524" s="138"/>
      <c r="BM524" s="138"/>
      <c r="BN524" s="138"/>
      <c r="BO524" s="138"/>
    </row>
    <row r="525" spans="1:67" x14ac:dyDescent="0.2">
      <c r="A525" s="189"/>
      <c r="B525" s="190"/>
      <c r="C525" s="191"/>
      <c r="D525" s="192"/>
      <c r="E525" s="192"/>
      <c r="F525" s="192"/>
      <c r="G525" s="192"/>
      <c r="H525" s="192"/>
      <c r="I525" s="193"/>
      <c r="J525" s="194"/>
      <c r="K525" s="209">
        <f>SUM(K518:K524)</f>
        <v>6000</v>
      </c>
      <c r="L525" s="196"/>
      <c r="M525" s="197"/>
      <c r="AV525" s="138"/>
      <c r="AW525" s="138"/>
      <c r="AX525" s="138"/>
      <c r="AY525" s="138"/>
      <c r="AZ525" s="138"/>
      <c r="BA525" s="138"/>
      <c r="BB525" s="138"/>
      <c r="BC525" s="138"/>
      <c r="BD525" s="138"/>
      <c r="BE525" s="138"/>
      <c r="BF525" s="138"/>
      <c r="BG525" s="138"/>
      <c r="BH525" s="138"/>
      <c r="BI525" s="138"/>
      <c r="BJ525" s="138"/>
      <c r="BK525" s="138"/>
      <c r="BL525" s="138"/>
      <c r="BM525" s="138"/>
      <c r="BN525" s="138"/>
      <c r="BO525" s="138"/>
    </row>
    <row r="526" spans="1:67" ht="48" x14ac:dyDescent="0.2">
      <c r="A526" s="167">
        <v>135</v>
      </c>
      <c r="B526" s="168" t="s">
        <v>796</v>
      </c>
      <c r="C526" s="169"/>
      <c r="D526" s="170" t="s">
        <v>107</v>
      </c>
      <c r="E526" s="170"/>
      <c r="F526" s="170"/>
      <c r="G526" s="170"/>
      <c r="H526" s="170"/>
      <c r="I526" s="217" t="s">
        <v>797</v>
      </c>
      <c r="J526" s="198" t="s">
        <v>594</v>
      </c>
      <c r="K526" s="173">
        <f>7000*50%</f>
        <v>3500</v>
      </c>
      <c r="L526" s="174" t="s">
        <v>111</v>
      </c>
      <c r="M526" s="175" t="s">
        <v>798</v>
      </c>
      <c r="AV526" s="138"/>
      <c r="AW526" s="138"/>
      <c r="AX526" s="138"/>
      <c r="AY526" s="138"/>
      <c r="AZ526" s="138"/>
      <c r="BA526" s="138"/>
      <c r="BB526" s="138"/>
      <c r="BC526" s="138"/>
      <c r="BD526" s="138"/>
      <c r="BE526" s="138"/>
      <c r="BF526" s="138"/>
      <c r="BG526" s="138"/>
      <c r="BH526" s="138"/>
      <c r="BI526" s="138"/>
      <c r="BJ526" s="138"/>
      <c r="BK526" s="138"/>
      <c r="BL526" s="138"/>
      <c r="BM526" s="138"/>
      <c r="BN526" s="138"/>
      <c r="BO526" s="138"/>
    </row>
    <row r="527" spans="1:67" x14ac:dyDescent="0.2">
      <c r="A527" s="177"/>
      <c r="B527" s="178"/>
      <c r="C527" s="179"/>
      <c r="D527" s="180"/>
      <c r="E527" s="180"/>
      <c r="F527" s="180"/>
      <c r="G527" s="180"/>
      <c r="H527" s="180"/>
      <c r="I527" s="171" t="s">
        <v>799</v>
      </c>
      <c r="J527" s="172" t="s">
        <v>594</v>
      </c>
      <c r="K527" s="229">
        <f>7000*19%</f>
        <v>1330</v>
      </c>
      <c r="L527" s="184"/>
      <c r="M527" s="185"/>
      <c r="AV527" s="138"/>
      <c r="AW527" s="138"/>
      <c r="AX527" s="138"/>
      <c r="AY527" s="138"/>
      <c r="AZ527" s="138"/>
      <c r="BA527" s="138"/>
      <c r="BB527" s="138"/>
      <c r="BC527" s="138"/>
      <c r="BD527" s="138"/>
      <c r="BE527" s="138"/>
      <c r="BF527" s="138"/>
      <c r="BG527" s="138"/>
      <c r="BH527" s="138"/>
      <c r="BI527" s="138"/>
      <c r="BJ527" s="138"/>
      <c r="BK527" s="138"/>
      <c r="BL527" s="138"/>
      <c r="BM527" s="138"/>
      <c r="BN527" s="138"/>
      <c r="BO527" s="138"/>
    </row>
    <row r="528" spans="1:67" x14ac:dyDescent="0.2">
      <c r="A528" s="177"/>
      <c r="B528" s="178"/>
      <c r="C528" s="179"/>
      <c r="D528" s="180"/>
      <c r="E528" s="180"/>
      <c r="F528" s="180"/>
      <c r="G528" s="180"/>
      <c r="H528" s="180"/>
      <c r="I528" s="181" t="s">
        <v>795</v>
      </c>
      <c r="J528" s="182" t="s">
        <v>594</v>
      </c>
      <c r="K528" s="183">
        <f>7000*5%</f>
        <v>350</v>
      </c>
      <c r="L528" s="184"/>
      <c r="M528" s="185"/>
      <c r="AV528" s="138"/>
      <c r="AW528" s="138"/>
      <c r="AX528" s="138"/>
      <c r="AY528" s="138"/>
      <c r="AZ528" s="138"/>
      <c r="BA528" s="138"/>
      <c r="BB528" s="138"/>
      <c r="BC528" s="138"/>
      <c r="BD528" s="138"/>
      <c r="BE528" s="138"/>
      <c r="BF528" s="138"/>
      <c r="BG528" s="138"/>
      <c r="BH528" s="138"/>
      <c r="BI528" s="138"/>
      <c r="BJ528" s="138"/>
      <c r="BK528" s="138"/>
      <c r="BL528" s="138"/>
      <c r="BM528" s="138"/>
      <c r="BN528" s="138"/>
      <c r="BO528" s="138"/>
    </row>
    <row r="529" spans="1:67" x14ac:dyDescent="0.2">
      <c r="A529" s="177"/>
      <c r="B529" s="178"/>
      <c r="C529" s="179"/>
      <c r="D529" s="180"/>
      <c r="E529" s="180"/>
      <c r="F529" s="180"/>
      <c r="G529" s="180"/>
      <c r="H529" s="180"/>
      <c r="I529" s="181" t="s">
        <v>800</v>
      </c>
      <c r="J529" s="172" t="s">
        <v>353</v>
      </c>
      <c r="K529" s="229">
        <f>7000*3%</f>
        <v>210</v>
      </c>
      <c r="L529" s="184"/>
      <c r="M529" s="185"/>
      <c r="AV529" s="138"/>
      <c r="AW529" s="138"/>
      <c r="AX529" s="138"/>
      <c r="AY529" s="138"/>
      <c r="AZ529" s="138"/>
      <c r="BA529" s="138"/>
      <c r="BB529" s="138"/>
      <c r="BC529" s="138"/>
      <c r="BD529" s="138"/>
      <c r="BE529" s="138"/>
      <c r="BF529" s="138"/>
      <c r="BG529" s="138"/>
      <c r="BH529" s="138"/>
      <c r="BI529" s="138"/>
      <c r="BJ529" s="138"/>
      <c r="BK529" s="138"/>
      <c r="BL529" s="138"/>
      <c r="BM529" s="138"/>
      <c r="BN529" s="138"/>
      <c r="BO529" s="138"/>
    </row>
    <row r="530" spans="1:67" x14ac:dyDescent="0.2">
      <c r="A530" s="177"/>
      <c r="B530" s="178"/>
      <c r="C530" s="179"/>
      <c r="D530" s="180"/>
      <c r="E530" s="180"/>
      <c r="F530" s="180"/>
      <c r="G530" s="180"/>
      <c r="H530" s="180"/>
      <c r="I530" s="181" t="s">
        <v>791</v>
      </c>
      <c r="J530" s="182" t="s">
        <v>594</v>
      </c>
      <c r="K530" s="208">
        <f>7000*5%</f>
        <v>350</v>
      </c>
      <c r="L530" s="184"/>
      <c r="M530" s="185"/>
      <c r="AV530" s="138"/>
      <c r="AW530" s="138"/>
      <c r="AX530" s="138"/>
      <c r="AY530" s="138"/>
      <c r="AZ530" s="138"/>
      <c r="BA530" s="138"/>
      <c r="BB530" s="138"/>
      <c r="BC530" s="138"/>
      <c r="BD530" s="138"/>
      <c r="BE530" s="138"/>
      <c r="BF530" s="138"/>
      <c r="BG530" s="138"/>
      <c r="BH530" s="138"/>
      <c r="BI530" s="138"/>
      <c r="BJ530" s="138"/>
      <c r="BK530" s="138"/>
      <c r="BL530" s="138"/>
      <c r="BM530" s="138"/>
      <c r="BN530" s="138"/>
      <c r="BO530" s="138"/>
    </row>
    <row r="531" spans="1:67" x14ac:dyDescent="0.2">
      <c r="A531" s="177"/>
      <c r="B531" s="178"/>
      <c r="C531" s="179"/>
      <c r="D531" s="180"/>
      <c r="E531" s="180"/>
      <c r="F531" s="180"/>
      <c r="G531" s="180"/>
      <c r="H531" s="180"/>
      <c r="I531" s="188" t="s">
        <v>801</v>
      </c>
      <c r="J531" s="182" t="s">
        <v>594</v>
      </c>
      <c r="K531" s="208">
        <f>7000*5%</f>
        <v>350</v>
      </c>
      <c r="L531" s="184"/>
      <c r="M531" s="185"/>
      <c r="AV531" s="138"/>
      <c r="AW531" s="138"/>
      <c r="AX531" s="138"/>
      <c r="AY531" s="138"/>
      <c r="AZ531" s="138"/>
      <c r="BA531" s="138"/>
      <c r="BB531" s="138"/>
      <c r="BC531" s="138"/>
      <c r="BD531" s="138"/>
      <c r="BE531" s="138"/>
      <c r="BF531" s="138"/>
      <c r="BG531" s="138"/>
      <c r="BH531" s="138"/>
      <c r="BI531" s="138"/>
      <c r="BJ531" s="138"/>
      <c r="BK531" s="138"/>
      <c r="BL531" s="138"/>
      <c r="BM531" s="138"/>
      <c r="BN531" s="138"/>
      <c r="BO531" s="138"/>
    </row>
    <row r="532" spans="1:67" x14ac:dyDescent="0.2">
      <c r="A532" s="177"/>
      <c r="B532" s="178"/>
      <c r="C532" s="179"/>
      <c r="D532" s="180"/>
      <c r="E532" s="180"/>
      <c r="F532" s="180"/>
      <c r="G532" s="180"/>
      <c r="H532" s="180"/>
      <c r="I532" s="171" t="s">
        <v>793</v>
      </c>
      <c r="J532" s="182" t="s">
        <v>594</v>
      </c>
      <c r="K532" s="202">
        <f>7000*5%</f>
        <v>350</v>
      </c>
      <c r="L532" s="184"/>
      <c r="M532" s="185"/>
      <c r="AV532" s="138"/>
      <c r="AW532" s="138"/>
      <c r="AX532" s="138"/>
      <c r="AY532" s="138"/>
      <c r="AZ532" s="138"/>
      <c r="BA532" s="138"/>
      <c r="BB532" s="138"/>
      <c r="BC532" s="138"/>
      <c r="BD532" s="138"/>
      <c r="BE532" s="138"/>
      <c r="BF532" s="138"/>
      <c r="BG532" s="138"/>
      <c r="BH532" s="138"/>
      <c r="BI532" s="138"/>
      <c r="BJ532" s="138"/>
      <c r="BK532" s="138"/>
      <c r="BL532" s="138"/>
      <c r="BM532" s="138"/>
      <c r="BN532" s="138"/>
      <c r="BO532" s="138"/>
    </row>
    <row r="533" spans="1:67" x14ac:dyDescent="0.2">
      <c r="A533" s="177"/>
      <c r="B533" s="178"/>
      <c r="C533" s="179"/>
      <c r="D533" s="180"/>
      <c r="E533" s="180"/>
      <c r="F533" s="180"/>
      <c r="G533" s="180"/>
      <c r="H533" s="180"/>
      <c r="I533" s="188" t="s">
        <v>792</v>
      </c>
      <c r="J533" s="172" t="s">
        <v>594</v>
      </c>
      <c r="K533" s="229">
        <f>7000*5%</f>
        <v>350</v>
      </c>
      <c r="L533" s="184"/>
      <c r="M533" s="185"/>
      <c r="AV533" s="138"/>
      <c r="AW533" s="138"/>
      <c r="AX533" s="138"/>
      <c r="AY533" s="138"/>
      <c r="AZ533" s="138"/>
      <c r="BA533" s="138"/>
      <c r="BB533" s="138"/>
      <c r="BC533" s="138"/>
      <c r="BD533" s="138"/>
      <c r="BE533" s="138"/>
      <c r="BF533" s="138"/>
      <c r="BG533" s="138"/>
      <c r="BH533" s="138"/>
      <c r="BI533" s="138"/>
      <c r="BJ533" s="138"/>
      <c r="BK533" s="138"/>
      <c r="BL533" s="138"/>
      <c r="BM533" s="138"/>
      <c r="BN533" s="138"/>
      <c r="BO533" s="138"/>
    </row>
    <row r="534" spans="1:67" x14ac:dyDescent="0.2">
      <c r="A534" s="177"/>
      <c r="B534" s="178"/>
      <c r="C534" s="179"/>
      <c r="D534" s="180"/>
      <c r="E534" s="180"/>
      <c r="F534" s="180"/>
      <c r="G534" s="180"/>
      <c r="H534" s="180"/>
      <c r="I534" s="188" t="s">
        <v>802</v>
      </c>
      <c r="J534" s="182" t="s">
        <v>594</v>
      </c>
      <c r="K534" s="208">
        <f>7000*3%</f>
        <v>210</v>
      </c>
      <c r="L534" s="184"/>
      <c r="M534" s="185"/>
      <c r="AV534" s="138"/>
      <c r="AW534" s="138"/>
      <c r="AX534" s="138"/>
      <c r="AY534" s="138"/>
      <c r="AZ534" s="138"/>
      <c r="BA534" s="138"/>
      <c r="BB534" s="138"/>
      <c r="BC534" s="138"/>
      <c r="BD534" s="138"/>
      <c r="BE534" s="138"/>
      <c r="BF534" s="138"/>
      <c r="BG534" s="138"/>
      <c r="BH534" s="138"/>
      <c r="BI534" s="138"/>
      <c r="BJ534" s="138"/>
      <c r="BK534" s="138"/>
      <c r="BL534" s="138"/>
      <c r="BM534" s="138"/>
      <c r="BN534" s="138"/>
      <c r="BO534" s="138"/>
    </row>
    <row r="535" spans="1:67" x14ac:dyDescent="0.2">
      <c r="A535" s="189"/>
      <c r="B535" s="190"/>
      <c r="C535" s="191"/>
      <c r="D535" s="192"/>
      <c r="E535" s="192"/>
      <c r="F535" s="192"/>
      <c r="G535" s="192"/>
      <c r="H535" s="192"/>
      <c r="I535" s="193"/>
      <c r="J535" s="194"/>
      <c r="K535" s="209">
        <f>SUM(K526:K534)</f>
        <v>7000</v>
      </c>
      <c r="L535" s="196"/>
      <c r="M535" s="197"/>
      <c r="AV535" s="138"/>
      <c r="AW535" s="138"/>
      <c r="AX535" s="138"/>
      <c r="AY535" s="138"/>
      <c r="AZ535" s="138"/>
      <c r="BA535" s="138"/>
      <c r="BB535" s="138"/>
      <c r="BC535" s="138"/>
      <c r="BD535" s="138"/>
      <c r="BE535" s="138"/>
      <c r="BF535" s="138"/>
      <c r="BG535" s="138"/>
      <c r="BH535" s="138"/>
      <c r="BI535" s="138"/>
      <c r="BJ535" s="138"/>
      <c r="BK535" s="138"/>
      <c r="BL535" s="138"/>
      <c r="BM535" s="138"/>
      <c r="BN535" s="138"/>
      <c r="BO535" s="138"/>
    </row>
    <row r="536" spans="1:67" x14ac:dyDescent="0.2">
      <c r="A536" s="167">
        <v>136</v>
      </c>
      <c r="B536" s="168" t="s">
        <v>803</v>
      </c>
      <c r="C536" s="169"/>
      <c r="D536" s="170" t="s">
        <v>107</v>
      </c>
      <c r="E536" s="170"/>
      <c r="F536" s="170"/>
      <c r="G536" s="170"/>
      <c r="H536" s="170"/>
      <c r="I536" s="217" t="s">
        <v>804</v>
      </c>
      <c r="J536" s="172" t="s">
        <v>594</v>
      </c>
      <c r="K536" s="173">
        <f>7000*50%</f>
        <v>3500</v>
      </c>
      <c r="L536" s="169" t="s">
        <v>111</v>
      </c>
      <c r="M536" s="175" t="s">
        <v>805</v>
      </c>
      <c r="AV536" s="138"/>
      <c r="AW536" s="138"/>
      <c r="AX536" s="138"/>
      <c r="AY536" s="138"/>
      <c r="AZ536" s="138"/>
      <c r="BA536" s="138"/>
      <c r="BB536" s="138"/>
      <c r="BC536" s="138"/>
      <c r="BD536" s="138"/>
      <c r="BE536" s="138"/>
      <c r="BF536" s="138"/>
      <c r="BG536" s="138"/>
      <c r="BH536" s="138"/>
      <c r="BI536" s="138"/>
      <c r="BJ536" s="138"/>
      <c r="BK536" s="138"/>
      <c r="BL536" s="138"/>
      <c r="BM536" s="138"/>
      <c r="BN536" s="138"/>
      <c r="BO536" s="138"/>
    </row>
    <row r="537" spans="1:67" x14ac:dyDescent="0.2">
      <c r="A537" s="177"/>
      <c r="B537" s="178"/>
      <c r="C537" s="179"/>
      <c r="D537" s="180"/>
      <c r="E537" s="180"/>
      <c r="F537" s="180"/>
      <c r="G537" s="180"/>
      <c r="H537" s="180"/>
      <c r="I537" s="171" t="s">
        <v>806</v>
      </c>
      <c r="J537" s="182" t="s">
        <v>594</v>
      </c>
      <c r="K537" s="201">
        <f>7000*25%</f>
        <v>1750</v>
      </c>
      <c r="L537" s="179"/>
      <c r="M537" s="185"/>
      <c r="AV537" s="138"/>
      <c r="AW537" s="138"/>
      <c r="AX537" s="138"/>
      <c r="AY537" s="138"/>
      <c r="AZ537" s="138"/>
      <c r="BA537" s="138"/>
      <c r="BB537" s="138"/>
      <c r="BC537" s="138"/>
      <c r="BD537" s="138"/>
      <c r="BE537" s="138"/>
      <c r="BF537" s="138"/>
      <c r="BG537" s="138"/>
      <c r="BH537" s="138"/>
      <c r="BI537" s="138"/>
      <c r="BJ537" s="138"/>
      <c r="BK537" s="138"/>
      <c r="BL537" s="138"/>
      <c r="BM537" s="138"/>
      <c r="BN537" s="138"/>
      <c r="BO537" s="138"/>
    </row>
    <row r="538" spans="1:67" x14ac:dyDescent="0.2">
      <c r="A538" s="177"/>
      <c r="B538" s="178"/>
      <c r="C538" s="179"/>
      <c r="D538" s="180"/>
      <c r="E538" s="180"/>
      <c r="F538" s="180"/>
      <c r="G538" s="180"/>
      <c r="H538" s="180"/>
      <c r="I538" s="188" t="s">
        <v>792</v>
      </c>
      <c r="J538" s="172" t="s">
        <v>594</v>
      </c>
      <c r="K538" s="199">
        <f>7000*5%</f>
        <v>350</v>
      </c>
      <c r="L538" s="179"/>
      <c r="M538" s="185"/>
      <c r="AV538" s="138"/>
      <c r="AW538" s="138"/>
      <c r="AX538" s="138"/>
      <c r="AY538" s="138"/>
      <c r="AZ538" s="138"/>
      <c r="BA538" s="138"/>
      <c r="BB538" s="138"/>
      <c r="BC538" s="138"/>
      <c r="BD538" s="138"/>
      <c r="BE538" s="138"/>
      <c r="BF538" s="138"/>
      <c r="BG538" s="138"/>
      <c r="BH538" s="138"/>
      <c r="BI538" s="138"/>
      <c r="BJ538" s="138"/>
      <c r="BK538" s="138"/>
      <c r="BL538" s="138"/>
      <c r="BM538" s="138"/>
      <c r="BN538" s="138"/>
      <c r="BO538" s="138"/>
    </row>
    <row r="539" spans="1:67" x14ac:dyDescent="0.2">
      <c r="A539" s="177"/>
      <c r="B539" s="178"/>
      <c r="C539" s="179"/>
      <c r="D539" s="180"/>
      <c r="E539" s="180"/>
      <c r="F539" s="180"/>
      <c r="G539" s="180"/>
      <c r="H539" s="180"/>
      <c r="I539" s="188" t="s">
        <v>807</v>
      </c>
      <c r="J539" s="182" t="s">
        <v>594</v>
      </c>
      <c r="K539" s="200">
        <f>7000*10%</f>
        <v>700</v>
      </c>
      <c r="L539" s="179"/>
      <c r="M539" s="185"/>
      <c r="AV539" s="138"/>
      <c r="AW539" s="138"/>
      <c r="AX539" s="138"/>
      <c r="AY539" s="138"/>
      <c r="AZ539" s="138"/>
      <c r="BA539" s="138"/>
      <c r="BB539" s="138"/>
      <c r="BC539" s="138"/>
      <c r="BD539" s="138"/>
      <c r="BE539" s="138"/>
      <c r="BF539" s="138"/>
      <c r="BG539" s="138"/>
      <c r="BH539" s="138"/>
      <c r="BI539" s="138"/>
      <c r="BJ539" s="138"/>
      <c r="BK539" s="138"/>
      <c r="BL539" s="138"/>
      <c r="BM539" s="138"/>
      <c r="BN539" s="138"/>
      <c r="BO539" s="138"/>
    </row>
    <row r="540" spans="1:67" x14ac:dyDescent="0.2">
      <c r="A540" s="177"/>
      <c r="B540" s="178"/>
      <c r="C540" s="179"/>
      <c r="D540" s="180"/>
      <c r="E540" s="180"/>
      <c r="F540" s="180"/>
      <c r="G540" s="180"/>
      <c r="H540" s="180"/>
      <c r="I540" s="171" t="s">
        <v>808</v>
      </c>
      <c r="J540" s="182" t="s">
        <v>594</v>
      </c>
      <c r="K540" s="200">
        <f>7000*2%</f>
        <v>140</v>
      </c>
      <c r="L540" s="179"/>
      <c r="M540" s="185"/>
      <c r="AV540" s="138"/>
      <c r="AW540" s="138"/>
      <c r="AX540" s="138"/>
      <c r="AY540" s="138"/>
      <c r="AZ540" s="138"/>
      <c r="BA540" s="138"/>
      <c r="BB540" s="138"/>
      <c r="BC540" s="138"/>
      <c r="BD540" s="138"/>
      <c r="BE540" s="138"/>
      <c r="BF540" s="138"/>
      <c r="BG540" s="138"/>
      <c r="BH540" s="138"/>
      <c r="BI540" s="138"/>
      <c r="BJ540" s="138"/>
      <c r="BK540" s="138"/>
      <c r="BL540" s="138"/>
      <c r="BM540" s="138"/>
      <c r="BN540" s="138"/>
      <c r="BO540" s="138"/>
    </row>
    <row r="541" spans="1:67" ht="48" x14ac:dyDescent="0.2">
      <c r="A541" s="177"/>
      <c r="B541" s="178"/>
      <c r="C541" s="179"/>
      <c r="D541" s="180"/>
      <c r="E541" s="180"/>
      <c r="F541" s="180"/>
      <c r="G541" s="180"/>
      <c r="H541" s="180"/>
      <c r="I541" s="181" t="s">
        <v>809</v>
      </c>
      <c r="J541" s="182" t="s">
        <v>594</v>
      </c>
      <c r="K541" s="201">
        <f>7000*2%</f>
        <v>140</v>
      </c>
      <c r="L541" s="179"/>
      <c r="M541" s="185"/>
      <c r="AV541" s="138"/>
      <c r="AW541" s="138"/>
      <c r="AX541" s="138"/>
      <c r="AY541" s="138"/>
      <c r="AZ541" s="138"/>
      <c r="BA541" s="138"/>
      <c r="BB541" s="138"/>
      <c r="BC541" s="138"/>
      <c r="BD541" s="138"/>
      <c r="BE541" s="138"/>
      <c r="BF541" s="138"/>
      <c r="BG541" s="138"/>
      <c r="BH541" s="138"/>
      <c r="BI541" s="138"/>
      <c r="BJ541" s="138"/>
      <c r="BK541" s="138"/>
      <c r="BL541" s="138"/>
      <c r="BM541" s="138"/>
      <c r="BN541" s="138"/>
      <c r="BO541" s="138"/>
    </row>
    <row r="542" spans="1:67" x14ac:dyDescent="0.2">
      <c r="A542" s="177"/>
      <c r="B542" s="178"/>
      <c r="C542" s="179"/>
      <c r="D542" s="180"/>
      <c r="E542" s="180"/>
      <c r="F542" s="180"/>
      <c r="G542" s="180"/>
      <c r="H542" s="180"/>
      <c r="I542" s="188" t="s">
        <v>810</v>
      </c>
      <c r="J542" s="182" t="s">
        <v>594</v>
      </c>
      <c r="K542" s="201">
        <f>7000*2%</f>
        <v>140</v>
      </c>
      <c r="L542" s="179"/>
      <c r="M542" s="185"/>
      <c r="AV542" s="138"/>
      <c r="AW542" s="138"/>
      <c r="AX542" s="138"/>
      <c r="AY542" s="138"/>
      <c r="AZ542" s="138"/>
      <c r="BA542" s="138"/>
      <c r="BB542" s="138"/>
      <c r="BC542" s="138"/>
      <c r="BD542" s="138"/>
      <c r="BE542" s="138"/>
      <c r="BF542" s="138"/>
      <c r="BG542" s="138"/>
      <c r="BH542" s="138"/>
      <c r="BI542" s="138"/>
      <c r="BJ542" s="138"/>
      <c r="BK542" s="138"/>
      <c r="BL542" s="138"/>
      <c r="BM542" s="138"/>
      <c r="BN542" s="138"/>
      <c r="BO542" s="138"/>
    </row>
    <row r="543" spans="1:67" x14ac:dyDescent="0.2">
      <c r="A543" s="177"/>
      <c r="B543" s="178"/>
      <c r="C543" s="179"/>
      <c r="D543" s="180"/>
      <c r="E543" s="180"/>
      <c r="F543" s="180"/>
      <c r="G543" s="180"/>
      <c r="H543" s="180"/>
      <c r="I543" s="188" t="s">
        <v>811</v>
      </c>
      <c r="J543" s="182" t="s">
        <v>594</v>
      </c>
      <c r="K543" s="201">
        <f>7000*2%</f>
        <v>140</v>
      </c>
      <c r="L543" s="179"/>
      <c r="M543" s="185"/>
      <c r="AV543" s="138"/>
      <c r="AW543" s="138"/>
      <c r="AX543" s="138"/>
      <c r="AY543" s="138"/>
      <c r="AZ543" s="138"/>
      <c r="BA543" s="138"/>
      <c r="BB543" s="138"/>
      <c r="BC543" s="138"/>
      <c r="BD543" s="138"/>
      <c r="BE543" s="138"/>
      <c r="BF543" s="138"/>
      <c r="BG543" s="138"/>
      <c r="BH543" s="138"/>
      <c r="BI543" s="138"/>
      <c r="BJ543" s="138"/>
      <c r="BK543" s="138"/>
      <c r="BL543" s="138"/>
      <c r="BM543" s="138"/>
      <c r="BN543" s="138"/>
      <c r="BO543" s="138"/>
    </row>
    <row r="544" spans="1:67" x14ac:dyDescent="0.2">
      <c r="A544" s="177"/>
      <c r="B544" s="178"/>
      <c r="C544" s="179"/>
      <c r="D544" s="180"/>
      <c r="E544" s="180"/>
      <c r="F544" s="180"/>
      <c r="G544" s="180"/>
      <c r="H544" s="180"/>
      <c r="I544" s="171" t="s">
        <v>812</v>
      </c>
      <c r="J544" s="182" t="s">
        <v>594</v>
      </c>
      <c r="K544" s="202">
        <f>7000*2%</f>
        <v>140</v>
      </c>
      <c r="L544" s="179"/>
      <c r="M544" s="185"/>
      <c r="AV544" s="138"/>
      <c r="AW544" s="138"/>
      <c r="AX544" s="138"/>
      <c r="AY544" s="138"/>
      <c r="AZ544" s="138"/>
      <c r="BA544" s="138"/>
      <c r="BB544" s="138"/>
      <c r="BC544" s="138"/>
      <c r="BD544" s="138"/>
      <c r="BE544" s="138"/>
      <c r="BF544" s="138"/>
      <c r="BG544" s="138"/>
      <c r="BH544" s="138"/>
      <c r="BI544" s="138"/>
      <c r="BJ544" s="138"/>
      <c r="BK544" s="138"/>
      <c r="BL544" s="138"/>
      <c r="BM544" s="138"/>
      <c r="BN544" s="138"/>
      <c r="BO544" s="138"/>
    </row>
    <row r="545" spans="1:67" x14ac:dyDescent="0.2">
      <c r="A545" s="189"/>
      <c r="B545" s="190"/>
      <c r="C545" s="191"/>
      <c r="D545" s="192"/>
      <c r="E545" s="192"/>
      <c r="F545" s="192"/>
      <c r="G545" s="192"/>
      <c r="H545" s="192"/>
      <c r="I545" s="203"/>
      <c r="J545" s="194"/>
      <c r="K545" s="211">
        <f>SUM(K536:K544)</f>
        <v>7000</v>
      </c>
      <c r="L545" s="191"/>
      <c r="M545" s="197"/>
      <c r="AV545" s="138"/>
      <c r="AW545" s="138"/>
      <c r="AX545" s="138"/>
      <c r="AY545" s="138"/>
      <c r="AZ545" s="138"/>
      <c r="BA545" s="138"/>
      <c r="BB545" s="138"/>
      <c r="BC545" s="138"/>
      <c r="BD545" s="138"/>
      <c r="BE545" s="138"/>
      <c r="BF545" s="138"/>
      <c r="BG545" s="138"/>
      <c r="BH545" s="138"/>
      <c r="BI545" s="138"/>
      <c r="BJ545" s="138"/>
      <c r="BK545" s="138"/>
      <c r="BL545" s="138"/>
      <c r="BM545" s="138"/>
      <c r="BN545" s="138"/>
      <c r="BO545" s="138"/>
    </row>
    <row r="546" spans="1:67" ht="48" x14ac:dyDescent="0.2">
      <c r="A546" s="167">
        <v>137</v>
      </c>
      <c r="B546" s="168" t="s">
        <v>813</v>
      </c>
      <c r="C546" s="169"/>
      <c r="D546" s="170" t="s">
        <v>107</v>
      </c>
      <c r="E546" s="170"/>
      <c r="F546" s="170"/>
      <c r="G546" s="170"/>
      <c r="H546" s="170"/>
      <c r="I546" s="171" t="s">
        <v>814</v>
      </c>
      <c r="J546" s="198" t="s">
        <v>594</v>
      </c>
      <c r="K546" s="173">
        <f>7000*90%</f>
        <v>6300</v>
      </c>
      <c r="L546" s="174" t="s">
        <v>111</v>
      </c>
      <c r="M546" s="175" t="s">
        <v>815</v>
      </c>
      <c r="AV546" s="138"/>
      <c r="AW546" s="138"/>
      <c r="AX546" s="138"/>
      <c r="AY546" s="138"/>
      <c r="AZ546" s="138"/>
      <c r="BA546" s="138"/>
      <c r="BB546" s="138"/>
      <c r="BC546" s="138"/>
      <c r="BD546" s="138"/>
      <c r="BE546" s="138"/>
      <c r="BF546" s="138"/>
      <c r="BG546" s="138"/>
      <c r="BH546" s="138"/>
      <c r="BI546" s="138"/>
      <c r="BJ546" s="138"/>
      <c r="BK546" s="138"/>
      <c r="BL546" s="138"/>
      <c r="BM546" s="138"/>
      <c r="BN546" s="138"/>
      <c r="BO546" s="138"/>
    </row>
    <row r="547" spans="1:67" ht="48" x14ac:dyDescent="0.2">
      <c r="A547" s="177"/>
      <c r="B547" s="178"/>
      <c r="C547" s="179"/>
      <c r="D547" s="180"/>
      <c r="E547" s="180"/>
      <c r="F547" s="180"/>
      <c r="G547" s="180"/>
      <c r="H547" s="180"/>
      <c r="I547" s="188" t="s">
        <v>816</v>
      </c>
      <c r="J547" s="182" t="s">
        <v>594</v>
      </c>
      <c r="K547" s="183">
        <f>7000*10%</f>
        <v>700</v>
      </c>
      <c r="L547" s="184"/>
      <c r="M547" s="185"/>
      <c r="AV547" s="138"/>
      <c r="AW547" s="138"/>
      <c r="AX547" s="138"/>
      <c r="AY547" s="138"/>
      <c r="AZ547" s="138"/>
      <c r="BA547" s="138"/>
      <c r="BB547" s="138"/>
      <c r="BC547" s="138"/>
      <c r="BD547" s="138"/>
      <c r="BE547" s="138"/>
      <c r="BF547" s="138"/>
      <c r="BG547" s="138"/>
      <c r="BH547" s="138"/>
      <c r="BI547" s="138"/>
      <c r="BJ547" s="138"/>
      <c r="BK547" s="138"/>
      <c r="BL547" s="138"/>
      <c r="BM547" s="138"/>
      <c r="BN547" s="138"/>
      <c r="BO547" s="138"/>
    </row>
    <row r="548" spans="1:67" x14ac:dyDescent="0.2">
      <c r="A548" s="189"/>
      <c r="B548" s="190"/>
      <c r="C548" s="191"/>
      <c r="D548" s="192"/>
      <c r="E548" s="192"/>
      <c r="F548" s="192"/>
      <c r="G548" s="192"/>
      <c r="H548" s="192"/>
      <c r="I548" s="193"/>
      <c r="J548" s="215"/>
      <c r="K548" s="216">
        <f>SUM(K546:K547)</f>
        <v>7000</v>
      </c>
      <c r="L548" s="196"/>
      <c r="M548" s="197"/>
      <c r="AV548" s="138"/>
      <c r="AW548" s="138"/>
      <c r="AX548" s="138"/>
      <c r="AY548" s="138"/>
      <c r="AZ548" s="138"/>
      <c r="BA548" s="138"/>
      <c r="BB548" s="138"/>
      <c r="BC548" s="138"/>
      <c r="BD548" s="138"/>
      <c r="BE548" s="138"/>
      <c r="BF548" s="138"/>
      <c r="BG548" s="138"/>
      <c r="BH548" s="138"/>
      <c r="BI548" s="138"/>
      <c r="BJ548" s="138"/>
      <c r="BK548" s="138"/>
      <c r="BL548" s="138"/>
      <c r="BM548" s="138"/>
      <c r="BN548" s="138"/>
      <c r="BO548" s="138"/>
    </row>
    <row r="549" spans="1:67" ht="48" x14ac:dyDescent="0.2">
      <c r="A549" s="167">
        <v>138</v>
      </c>
      <c r="B549" s="168" t="s">
        <v>817</v>
      </c>
      <c r="C549" s="169"/>
      <c r="D549" s="170" t="s">
        <v>107</v>
      </c>
      <c r="E549" s="170"/>
      <c r="F549" s="170"/>
      <c r="G549" s="170"/>
      <c r="H549" s="170"/>
      <c r="I549" s="217" t="s">
        <v>818</v>
      </c>
      <c r="J549" s="172" t="s">
        <v>594</v>
      </c>
      <c r="K549" s="210">
        <f>6000*100%</f>
        <v>6000</v>
      </c>
      <c r="L549" s="175" t="s">
        <v>111</v>
      </c>
      <c r="M549" s="175" t="s">
        <v>819</v>
      </c>
      <c r="AV549" s="138"/>
      <c r="AW549" s="138"/>
      <c r="AX549" s="138"/>
      <c r="AY549" s="138"/>
      <c r="AZ549" s="138"/>
      <c r="BA549" s="138"/>
      <c r="BB549" s="138"/>
      <c r="BC549" s="138"/>
      <c r="BD549" s="138"/>
      <c r="BE549" s="138"/>
      <c r="BF549" s="138"/>
      <c r="BG549" s="138"/>
      <c r="BH549" s="138"/>
      <c r="BI549" s="138"/>
      <c r="BJ549" s="138"/>
      <c r="BK549" s="138"/>
      <c r="BL549" s="138"/>
      <c r="BM549" s="138"/>
      <c r="BN549" s="138"/>
      <c r="BO549" s="138"/>
    </row>
    <row r="550" spans="1:67" x14ac:dyDescent="0.2">
      <c r="A550" s="189"/>
      <c r="B550" s="190"/>
      <c r="C550" s="191"/>
      <c r="D550" s="192"/>
      <c r="E550" s="192"/>
      <c r="F550" s="192"/>
      <c r="G550" s="192"/>
      <c r="H550" s="192"/>
      <c r="I550" s="193"/>
      <c r="J550" s="204"/>
      <c r="K550" s="341">
        <f>SUM(K549)</f>
        <v>6000</v>
      </c>
      <c r="L550" s="197"/>
      <c r="M550" s="197"/>
      <c r="AV550" s="138"/>
      <c r="AW550" s="138"/>
      <c r="AX550" s="138"/>
      <c r="AY550" s="138"/>
      <c r="AZ550" s="138"/>
      <c r="BA550" s="138"/>
      <c r="BB550" s="138"/>
      <c r="BC550" s="138"/>
      <c r="BD550" s="138"/>
      <c r="BE550" s="138"/>
      <c r="BF550" s="138"/>
      <c r="BG550" s="138"/>
      <c r="BH550" s="138"/>
      <c r="BI550" s="138"/>
      <c r="BJ550" s="138"/>
      <c r="BK550" s="138"/>
      <c r="BL550" s="138"/>
      <c r="BM550" s="138"/>
      <c r="BN550" s="138"/>
      <c r="BO550" s="138"/>
    </row>
    <row r="551" spans="1:67" x14ac:dyDescent="0.2">
      <c r="A551" s="167">
        <v>139</v>
      </c>
      <c r="B551" s="168" t="s">
        <v>820</v>
      </c>
      <c r="C551" s="169"/>
      <c r="D551" s="170" t="s">
        <v>107</v>
      </c>
      <c r="E551" s="170"/>
      <c r="F551" s="170"/>
      <c r="G551" s="170"/>
      <c r="H551" s="170"/>
      <c r="I551" s="171" t="s">
        <v>821</v>
      </c>
      <c r="J551" s="259" t="s">
        <v>594</v>
      </c>
      <c r="K551" s="342">
        <f>7000*80%</f>
        <v>5600</v>
      </c>
      <c r="L551" s="175" t="s">
        <v>111</v>
      </c>
      <c r="M551" s="175" t="s">
        <v>822</v>
      </c>
      <c r="AV551" s="138"/>
      <c r="AW551" s="138"/>
      <c r="AX551" s="138"/>
      <c r="AY551" s="138"/>
      <c r="AZ551" s="138"/>
      <c r="BA551" s="138"/>
      <c r="BB551" s="138"/>
      <c r="BC551" s="138"/>
      <c r="BD551" s="138"/>
      <c r="BE551" s="138"/>
      <c r="BF551" s="138"/>
      <c r="BG551" s="138"/>
      <c r="BH551" s="138"/>
      <c r="BI551" s="138"/>
      <c r="BJ551" s="138"/>
      <c r="BK551" s="138"/>
      <c r="BL551" s="138"/>
      <c r="BM551" s="138"/>
      <c r="BN551" s="138"/>
      <c r="BO551" s="138"/>
    </row>
    <row r="552" spans="1:67" x14ac:dyDescent="0.2">
      <c r="A552" s="177"/>
      <c r="B552" s="178"/>
      <c r="C552" s="179"/>
      <c r="D552" s="180"/>
      <c r="E552" s="180"/>
      <c r="F552" s="180"/>
      <c r="G552" s="180"/>
      <c r="H552" s="180"/>
      <c r="I552" s="181" t="s">
        <v>823</v>
      </c>
      <c r="J552" s="207" t="s">
        <v>450</v>
      </c>
      <c r="K552" s="343">
        <f>7000*10%</f>
        <v>700</v>
      </c>
      <c r="L552" s="185"/>
      <c r="M552" s="185"/>
      <c r="AV552" s="138"/>
      <c r="AW552" s="138"/>
      <c r="AX552" s="138"/>
      <c r="AY552" s="138"/>
      <c r="AZ552" s="138"/>
      <c r="BA552" s="138"/>
      <c r="BB552" s="138"/>
      <c r="BC552" s="138"/>
      <c r="BD552" s="138"/>
      <c r="BE552" s="138"/>
      <c r="BF552" s="138"/>
      <c r="BG552" s="138"/>
      <c r="BH552" s="138"/>
      <c r="BI552" s="138"/>
      <c r="BJ552" s="138"/>
      <c r="BK552" s="138"/>
      <c r="BL552" s="138"/>
      <c r="BM552" s="138"/>
      <c r="BN552" s="138"/>
      <c r="BO552" s="138"/>
    </row>
    <row r="553" spans="1:67" x14ac:dyDescent="0.2">
      <c r="A553" s="177"/>
      <c r="B553" s="178"/>
      <c r="C553" s="179"/>
      <c r="D553" s="180"/>
      <c r="E553" s="180"/>
      <c r="F553" s="180"/>
      <c r="G553" s="180"/>
      <c r="H553" s="180"/>
      <c r="I553" s="188" t="s">
        <v>824</v>
      </c>
      <c r="J553" s="172" t="s">
        <v>594</v>
      </c>
      <c r="K553" s="343">
        <f>7000*10%</f>
        <v>700</v>
      </c>
      <c r="L553" s="185"/>
      <c r="M553" s="185"/>
      <c r="AV553" s="138"/>
      <c r="AW553" s="138"/>
      <c r="AX553" s="138"/>
      <c r="AY553" s="138"/>
      <c r="AZ553" s="138"/>
      <c r="BA553" s="138"/>
      <c r="BB553" s="138"/>
      <c r="BC553" s="138"/>
      <c r="BD553" s="138"/>
      <c r="BE553" s="138"/>
      <c r="BF553" s="138"/>
      <c r="BG553" s="138"/>
      <c r="BH553" s="138"/>
      <c r="BI553" s="138"/>
      <c r="BJ553" s="138"/>
      <c r="BK553" s="138"/>
      <c r="BL553" s="138"/>
      <c r="BM553" s="138"/>
      <c r="BN553" s="138"/>
      <c r="BO553" s="138"/>
    </row>
    <row r="554" spans="1:67" x14ac:dyDescent="0.2">
      <c r="A554" s="189"/>
      <c r="B554" s="190"/>
      <c r="C554" s="191"/>
      <c r="D554" s="192"/>
      <c r="E554" s="192"/>
      <c r="F554" s="192"/>
      <c r="G554" s="192"/>
      <c r="H554" s="192"/>
      <c r="I554" s="193"/>
      <c r="J554" s="204"/>
      <c r="K554" s="344">
        <f>SUM(K551:K553)</f>
        <v>7000</v>
      </c>
      <c r="L554" s="197"/>
      <c r="M554" s="197"/>
      <c r="AV554" s="138"/>
      <c r="AW554" s="138"/>
      <c r="AX554" s="138"/>
      <c r="AY554" s="138"/>
      <c r="AZ554" s="138"/>
      <c r="BA554" s="138"/>
      <c r="BB554" s="138"/>
      <c r="BC554" s="138"/>
      <c r="BD554" s="138"/>
      <c r="BE554" s="138"/>
      <c r="BF554" s="138"/>
      <c r="BG554" s="138"/>
      <c r="BH554" s="138"/>
      <c r="BI554" s="138"/>
      <c r="BJ554" s="138"/>
      <c r="BK554" s="138"/>
      <c r="BL554" s="138"/>
      <c r="BM554" s="138"/>
      <c r="BN554" s="138"/>
      <c r="BO554" s="138"/>
    </row>
    <row r="555" spans="1:67" ht="48" x14ac:dyDescent="0.2">
      <c r="A555" s="167">
        <v>140</v>
      </c>
      <c r="B555" s="168" t="s">
        <v>825</v>
      </c>
      <c r="C555" s="169"/>
      <c r="D555" s="170" t="s">
        <v>107</v>
      </c>
      <c r="E555" s="170"/>
      <c r="F555" s="170"/>
      <c r="G555" s="170"/>
      <c r="H555" s="170"/>
      <c r="I555" s="171" t="s">
        <v>826</v>
      </c>
      <c r="J555" s="223" t="s">
        <v>594</v>
      </c>
      <c r="K555" s="345">
        <f>8000*85%</f>
        <v>6800</v>
      </c>
      <c r="L555" s="174" t="s">
        <v>111</v>
      </c>
      <c r="M555" s="175" t="s">
        <v>827</v>
      </c>
      <c r="AV555" s="138"/>
      <c r="AW555" s="138"/>
      <c r="AX555" s="138"/>
      <c r="AY555" s="138"/>
      <c r="AZ555" s="138"/>
      <c r="BA555" s="138"/>
      <c r="BB555" s="138"/>
      <c r="BC555" s="138"/>
      <c r="BD555" s="138"/>
      <c r="BE555" s="138"/>
      <c r="BF555" s="138"/>
      <c r="BG555" s="138"/>
      <c r="BH555" s="138"/>
      <c r="BI555" s="138"/>
      <c r="BJ555" s="138"/>
      <c r="BK555" s="138"/>
      <c r="BL555" s="138"/>
      <c r="BM555" s="138"/>
      <c r="BN555" s="138"/>
      <c r="BO555" s="138"/>
    </row>
    <row r="556" spans="1:67" x14ac:dyDescent="0.2">
      <c r="A556" s="177"/>
      <c r="B556" s="178"/>
      <c r="C556" s="179"/>
      <c r="D556" s="180"/>
      <c r="E556" s="180"/>
      <c r="F556" s="180"/>
      <c r="G556" s="180"/>
      <c r="H556" s="180"/>
      <c r="I556" s="188" t="s">
        <v>828</v>
      </c>
      <c r="J556" s="172" t="s">
        <v>594</v>
      </c>
      <c r="K556" s="346">
        <f>8000*5%</f>
        <v>400</v>
      </c>
      <c r="L556" s="184"/>
      <c r="M556" s="185"/>
      <c r="AV556" s="138"/>
      <c r="AW556" s="138"/>
      <c r="AX556" s="138"/>
      <c r="AY556" s="138"/>
      <c r="AZ556" s="138"/>
      <c r="BA556" s="138"/>
      <c r="BB556" s="138"/>
      <c r="BC556" s="138"/>
      <c r="BD556" s="138"/>
      <c r="BE556" s="138"/>
      <c r="BF556" s="138"/>
      <c r="BG556" s="138"/>
      <c r="BH556" s="138"/>
      <c r="BI556" s="138"/>
      <c r="BJ556" s="138"/>
      <c r="BK556" s="138"/>
      <c r="BL556" s="138"/>
      <c r="BM556" s="138"/>
      <c r="BN556" s="138"/>
      <c r="BO556" s="138"/>
    </row>
    <row r="557" spans="1:67" ht="48" x14ac:dyDescent="0.2">
      <c r="A557" s="177"/>
      <c r="B557" s="178"/>
      <c r="C557" s="179"/>
      <c r="D557" s="180"/>
      <c r="E557" s="180"/>
      <c r="F557" s="180"/>
      <c r="G557" s="180"/>
      <c r="H557" s="180"/>
      <c r="I557" s="171" t="s">
        <v>829</v>
      </c>
      <c r="J557" s="207" t="s">
        <v>594</v>
      </c>
      <c r="K557" s="324">
        <f>8000*5%</f>
        <v>400</v>
      </c>
      <c r="L557" s="184"/>
      <c r="M557" s="185"/>
      <c r="AV557" s="138"/>
      <c r="AW557" s="138"/>
      <c r="AX557" s="138"/>
      <c r="AY557" s="138"/>
      <c r="AZ557" s="138"/>
      <c r="BA557" s="138"/>
      <c r="BB557" s="138"/>
      <c r="BC557" s="138"/>
      <c r="BD557" s="138"/>
      <c r="BE557" s="138"/>
      <c r="BF557" s="138"/>
      <c r="BG557" s="138"/>
      <c r="BH557" s="138"/>
      <c r="BI557" s="138"/>
      <c r="BJ557" s="138"/>
      <c r="BK557" s="138"/>
      <c r="BL557" s="138"/>
      <c r="BM557" s="138"/>
      <c r="BN557" s="138"/>
      <c r="BO557" s="138"/>
    </row>
    <row r="558" spans="1:67" x14ac:dyDescent="0.2">
      <c r="A558" s="177"/>
      <c r="B558" s="178"/>
      <c r="C558" s="179"/>
      <c r="D558" s="180"/>
      <c r="E558" s="180"/>
      <c r="F558" s="180"/>
      <c r="G558" s="180"/>
      <c r="H558" s="180"/>
      <c r="I558" s="188" t="s">
        <v>830</v>
      </c>
      <c r="J558" s="207" t="s">
        <v>594</v>
      </c>
      <c r="K558" s="262">
        <f>8000*5%</f>
        <v>400</v>
      </c>
      <c r="L558" s="184"/>
      <c r="M558" s="185"/>
      <c r="AV558" s="138"/>
      <c r="AW558" s="138"/>
      <c r="AX558" s="138"/>
      <c r="AY558" s="138"/>
      <c r="AZ558" s="138"/>
      <c r="BA558" s="138"/>
      <c r="BB558" s="138"/>
      <c r="BC558" s="138"/>
      <c r="BD558" s="138"/>
      <c r="BE558" s="138"/>
      <c r="BF558" s="138"/>
      <c r="BG558" s="138"/>
      <c r="BH558" s="138"/>
      <c r="BI558" s="138"/>
      <c r="BJ558" s="138"/>
      <c r="BK558" s="138"/>
      <c r="BL558" s="138"/>
      <c r="BM558" s="138"/>
      <c r="BN558" s="138"/>
      <c r="BO558" s="138"/>
    </row>
    <row r="559" spans="1:67" x14ac:dyDescent="0.2">
      <c r="A559" s="189"/>
      <c r="B559" s="190"/>
      <c r="C559" s="191"/>
      <c r="D559" s="192"/>
      <c r="E559" s="192"/>
      <c r="F559" s="192"/>
      <c r="G559" s="192"/>
      <c r="H559" s="192"/>
      <c r="I559" s="193"/>
      <c r="J559" s="215"/>
      <c r="K559" s="347">
        <f>SUM(K555:K558)</f>
        <v>8000</v>
      </c>
      <c r="L559" s="196"/>
      <c r="M559" s="197"/>
      <c r="AV559" s="138"/>
      <c r="AW559" s="138"/>
      <c r="AX559" s="138"/>
      <c r="AY559" s="138"/>
      <c r="AZ559" s="138"/>
      <c r="BA559" s="138"/>
      <c r="BB559" s="138"/>
      <c r="BC559" s="138"/>
      <c r="BD559" s="138"/>
      <c r="BE559" s="138"/>
      <c r="BF559" s="138"/>
      <c r="BG559" s="138"/>
      <c r="BH559" s="138"/>
      <c r="BI559" s="138"/>
      <c r="BJ559" s="138"/>
      <c r="BK559" s="138"/>
      <c r="BL559" s="138"/>
      <c r="BM559" s="138"/>
      <c r="BN559" s="138"/>
      <c r="BO559" s="138"/>
    </row>
    <row r="560" spans="1:67" x14ac:dyDescent="0.2">
      <c r="A560" s="167">
        <v>141</v>
      </c>
      <c r="B560" s="168" t="s">
        <v>831</v>
      </c>
      <c r="C560" s="169"/>
      <c r="D560" s="170" t="s">
        <v>163</v>
      </c>
      <c r="E560" s="170"/>
      <c r="F560" s="170"/>
      <c r="G560" s="170"/>
      <c r="H560" s="170"/>
      <c r="I560" s="171" t="s">
        <v>832</v>
      </c>
      <c r="J560" s="172" t="s">
        <v>594</v>
      </c>
      <c r="K560" s="348">
        <f>530000*85%</f>
        <v>450500</v>
      </c>
      <c r="L560" s="174" t="s">
        <v>166</v>
      </c>
      <c r="M560" s="175" t="s">
        <v>833</v>
      </c>
      <c r="AV560" s="138"/>
      <c r="AW560" s="138"/>
      <c r="AX560" s="138"/>
      <c r="AY560" s="138"/>
      <c r="AZ560" s="138"/>
      <c r="BA560" s="138"/>
      <c r="BB560" s="138"/>
      <c r="BC560" s="138"/>
      <c r="BD560" s="138"/>
      <c r="BE560" s="138"/>
      <c r="BF560" s="138"/>
      <c r="BG560" s="138"/>
      <c r="BH560" s="138"/>
      <c r="BI560" s="138"/>
      <c r="BJ560" s="138"/>
      <c r="BK560" s="138"/>
      <c r="BL560" s="138"/>
      <c r="BM560" s="138"/>
      <c r="BN560" s="138"/>
      <c r="BO560" s="138"/>
    </row>
    <row r="561" spans="1:67" x14ac:dyDescent="0.2">
      <c r="A561" s="177"/>
      <c r="B561" s="178"/>
      <c r="C561" s="179"/>
      <c r="D561" s="180"/>
      <c r="E561" s="180"/>
      <c r="F561" s="180"/>
      <c r="G561" s="180"/>
      <c r="H561" s="180"/>
      <c r="I561" s="188" t="s">
        <v>834</v>
      </c>
      <c r="J561" s="207" t="s">
        <v>594</v>
      </c>
      <c r="K561" s="262">
        <f>530000*5%</f>
        <v>26500</v>
      </c>
      <c r="L561" s="184"/>
      <c r="M561" s="185"/>
      <c r="AV561" s="138"/>
      <c r="AW561" s="138"/>
      <c r="AX561" s="138"/>
      <c r="AY561" s="138"/>
      <c r="AZ561" s="138"/>
      <c r="BA561" s="138"/>
      <c r="BB561" s="138"/>
      <c r="BC561" s="138"/>
      <c r="BD561" s="138"/>
      <c r="BE561" s="138"/>
      <c r="BF561" s="138"/>
      <c r="BG561" s="138"/>
      <c r="BH561" s="138"/>
      <c r="BI561" s="138"/>
      <c r="BJ561" s="138"/>
      <c r="BK561" s="138"/>
      <c r="BL561" s="138"/>
      <c r="BM561" s="138"/>
      <c r="BN561" s="138"/>
      <c r="BO561" s="138"/>
    </row>
    <row r="562" spans="1:67" x14ac:dyDescent="0.2">
      <c r="A562" s="177"/>
      <c r="B562" s="178"/>
      <c r="C562" s="179"/>
      <c r="D562" s="180"/>
      <c r="E562" s="180"/>
      <c r="F562" s="180"/>
      <c r="G562" s="180"/>
      <c r="H562" s="180"/>
      <c r="I562" s="188" t="s">
        <v>835</v>
      </c>
      <c r="J562" s="207" t="s">
        <v>594</v>
      </c>
      <c r="K562" s="262">
        <f>530000*5%</f>
        <v>26500</v>
      </c>
      <c r="L562" s="184"/>
      <c r="M562" s="185"/>
      <c r="AV562" s="138"/>
      <c r="AW562" s="138"/>
      <c r="AX562" s="138"/>
      <c r="AY562" s="138"/>
      <c r="AZ562" s="138"/>
      <c r="BA562" s="138"/>
      <c r="BB562" s="138"/>
      <c r="BC562" s="138"/>
      <c r="BD562" s="138"/>
      <c r="BE562" s="138"/>
      <c r="BF562" s="138"/>
      <c r="BG562" s="138"/>
      <c r="BH562" s="138"/>
      <c r="BI562" s="138"/>
      <c r="BJ562" s="138"/>
      <c r="BK562" s="138"/>
      <c r="BL562" s="138"/>
      <c r="BM562" s="138"/>
      <c r="BN562" s="138"/>
      <c r="BO562" s="138"/>
    </row>
    <row r="563" spans="1:67" ht="48" x14ac:dyDescent="0.2">
      <c r="A563" s="177"/>
      <c r="B563" s="178"/>
      <c r="C563" s="179"/>
      <c r="D563" s="180"/>
      <c r="E563" s="180"/>
      <c r="F563" s="180"/>
      <c r="G563" s="180"/>
      <c r="H563" s="180"/>
      <c r="I563" s="188" t="s">
        <v>836</v>
      </c>
      <c r="J563" s="247" t="s">
        <v>594</v>
      </c>
      <c r="K563" s="262">
        <f>530000*5%</f>
        <v>26500</v>
      </c>
      <c r="L563" s="184"/>
      <c r="M563" s="185"/>
      <c r="AV563" s="138"/>
      <c r="AW563" s="138"/>
      <c r="AX563" s="138"/>
      <c r="AY563" s="138"/>
      <c r="AZ563" s="138"/>
      <c r="BA563" s="138"/>
      <c r="BB563" s="138"/>
      <c r="BC563" s="138"/>
      <c r="BD563" s="138"/>
      <c r="BE563" s="138"/>
      <c r="BF563" s="138"/>
      <c r="BG563" s="138"/>
      <c r="BH563" s="138"/>
      <c r="BI563" s="138"/>
      <c r="BJ563" s="138"/>
      <c r="BK563" s="138"/>
      <c r="BL563" s="138"/>
      <c r="BM563" s="138"/>
      <c r="BN563" s="138"/>
      <c r="BO563" s="138"/>
    </row>
    <row r="564" spans="1:67" x14ac:dyDescent="0.2">
      <c r="A564" s="189"/>
      <c r="B564" s="190"/>
      <c r="C564" s="191"/>
      <c r="D564" s="192"/>
      <c r="E564" s="192"/>
      <c r="F564" s="192"/>
      <c r="G564" s="192"/>
      <c r="H564" s="192"/>
      <c r="I564" s="193"/>
      <c r="J564" s="215"/>
      <c r="K564" s="347">
        <f>SUM(K560:K563)</f>
        <v>530000</v>
      </c>
      <c r="L564" s="196"/>
      <c r="M564" s="197"/>
      <c r="AV564" s="138"/>
      <c r="AW564" s="138"/>
      <c r="AX564" s="138"/>
      <c r="AY564" s="138"/>
      <c r="AZ564" s="138"/>
      <c r="BA564" s="138"/>
      <c r="BB564" s="138"/>
      <c r="BC564" s="138"/>
      <c r="BD564" s="138"/>
      <c r="BE564" s="138"/>
      <c r="BF564" s="138"/>
      <c r="BG564" s="138"/>
      <c r="BH564" s="138"/>
      <c r="BI564" s="138"/>
      <c r="BJ564" s="138"/>
      <c r="BK564" s="138"/>
      <c r="BL564" s="138"/>
      <c r="BM564" s="138"/>
      <c r="BN564" s="138"/>
      <c r="BO564" s="138"/>
    </row>
    <row r="565" spans="1:67" x14ac:dyDescent="0.2">
      <c r="A565" s="167">
        <v>142</v>
      </c>
      <c r="B565" s="168" t="s">
        <v>837</v>
      </c>
      <c r="C565" s="169"/>
      <c r="D565" s="170" t="s">
        <v>163</v>
      </c>
      <c r="E565" s="170"/>
      <c r="F565" s="170"/>
      <c r="G565" s="170"/>
      <c r="H565" s="170"/>
      <c r="I565" s="171" t="s">
        <v>838</v>
      </c>
      <c r="J565" s="172" t="s">
        <v>594</v>
      </c>
      <c r="K565" s="348">
        <f>530000*60%</f>
        <v>318000</v>
      </c>
      <c r="L565" s="169" t="s">
        <v>166</v>
      </c>
      <c r="M565" s="175" t="s">
        <v>839</v>
      </c>
      <c r="AV565" s="138"/>
      <c r="AW565" s="138"/>
      <c r="AX565" s="138"/>
      <c r="AY565" s="138"/>
      <c r="AZ565" s="138"/>
      <c r="BA565" s="138"/>
      <c r="BB565" s="138"/>
      <c r="BC565" s="138"/>
      <c r="BD565" s="138"/>
      <c r="BE565" s="138"/>
      <c r="BF565" s="138"/>
      <c r="BG565" s="138"/>
      <c r="BH565" s="138"/>
      <c r="BI565" s="138"/>
      <c r="BJ565" s="138"/>
      <c r="BK565" s="138"/>
      <c r="BL565" s="138"/>
      <c r="BM565" s="138"/>
      <c r="BN565" s="138"/>
      <c r="BO565" s="138"/>
    </row>
    <row r="566" spans="1:67" x14ac:dyDescent="0.2">
      <c r="A566" s="177"/>
      <c r="B566" s="178"/>
      <c r="C566" s="179"/>
      <c r="D566" s="180"/>
      <c r="E566" s="180"/>
      <c r="F566" s="180"/>
      <c r="G566" s="180"/>
      <c r="H566" s="180"/>
      <c r="I566" s="181" t="s">
        <v>840</v>
      </c>
      <c r="J566" s="207" t="s">
        <v>636</v>
      </c>
      <c r="K566" s="349">
        <f>530000*8%</f>
        <v>42400</v>
      </c>
      <c r="L566" s="179"/>
      <c r="M566" s="185"/>
      <c r="AV566" s="138"/>
      <c r="AW566" s="138"/>
      <c r="AX566" s="138"/>
      <c r="AY566" s="138"/>
      <c r="AZ566" s="138"/>
      <c r="BA566" s="138"/>
      <c r="BB566" s="138"/>
      <c r="BC566" s="138"/>
      <c r="BD566" s="138"/>
      <c r="BE566" s="138"/>
      <c r="BF566" s="138"/>
      <c r="BG566" s="138"/>
      <c r="BH566" s="138"/>
      <c r="BI566" s="138"/>
      <c r="BJ566" s="138"/>
      <c r="BK566" s="138"/>
      <c r="BL566" s="138"/>
      <c r="BM566" s="138"/>
      <c r="BN566" s="138"/>
      <c r="BO566" s="138"/>
    </row>
    <row r="567" spans="1:67" x14ac:dyDescent="0.2">
      <c r="A567" s="177"/>
      <c r="B567" s="178"/>
      <c r="C567" s="179"/>
      <c r="D567" s="180"/>
      <c r="E567" s="180"/>
      <c r="F567" s="180"/>
      <c r="G567" s="180"/>
      <c r="H567" s="180"/>
      <c r="I567" s="181" t="s">
        <v>841</v>
      </c>
      <c r="J567" s="207" t="s">
        <v>594</v>
      </c>
      <c r="K567" s="343">
        <f t="shared" ref="K567:K574" si="9">530000*4%</f>
        <v>21200</v>
      </c>
      <c r="L567" s="179"/>
      <c r="M567" s="185"/>
      <c r="AV567" s="138"/>
      <c r="AW567" s="138"/>
      <c r="AX567" s="138"/>
      <c r="AY567" s="138"/>
      <c r="AZ567" s="138"/>
      <c r="BA567" s="138"/>
      <c r="BB567" s="138"/>
      <c r="BC567" s="138"/>
      <c r="BD567" s="138"/>
      <c r="BE567" s="138"/>
      <c r="BF567" s="138"/>
      <c r="BG567" s="138"/>
      <c r="BH567" s="138"/>
      <c r="BI567" s="138"/>
      <c r="BJ567" s="138"/>
      <c r="BK567" s="138"/>
      <c r="BL567" s="138"/>
      <c r="BM567" s="138"/>
      <c r="BN567" s="138"/>
      <c r="BO567" s="138"/>
    </row>
    <row r="568" spans="1:67" x14ac:dyDescent="0.2">
      <c r="A568" s="177"/>
      <c r="B568" s="178"/>
      <c r="C568" s="179"/>
      <c r="D568" s="180"/>
      <c r="E568" s="180"/>
      <c r="F568" s="180"/>
      <c r="G568" s="180"/>
      <c r="H568" s="180"/>
      <c r="I568" s="181" t="s">
        <v>842</v>
      </c>
      <c r="J568" s="207" t="s">
        <v>594</v>
      </c>
      <c r="K568" s="324">
        <f t="shared" si="9"/>
        <v>21200</v>
      </c>
      <c r="L568" s="179"/>
      <c r="M568" s="185"/>
      <c r="AV568" s="138"/>
      <c r="AW568" s="138"/>
      <c r="AX568" s="138"/>
      <c r="AY568" s="138"/>
      <c r="AZ568" s="138"/>
      <c r="BA568" s="138"/>
      <c r="BB568" s="138"/>
      <c r="BC568" s="138"/>
      <c r="BD568" s="138"/>
      <c r="BE568" s="138"/>
      <c r="BF568" s="138"/>
      <c r="BG568" s="138"/>
      <c r="BH568" s="138"/>
      <c r="BI568" s="138"/>
      <c r="BJ568" s="138"/>
      <c r="BK568" s="138"/>
      <c r="BL568" s="138"/>
      <c r="BM568" s="138"/>
      <c r="BN568" s="138"/>
      <c r="BO568" s="138"/>
    </row>
    <row r="569" spans="1:67" x14ac:dyDescent="0.2">
      <c r="A569" s="177"/>
      <c r="B569" s="178"/>
      <c r="C569" s="179"/>
      <c r="D569" s="180"/>
      <c r="E569" s="180"/>
      <c r="F569" s="180"/>
      <c r="G569" s="180"/>
      <c r="H569" s="180"/>
      <c r="I569" s="188" t="s">
        <v>843</v>
      </c>
      <c r="J569" s="172" t="s">
        <v>353</v>
      </c>
      <c r="K569" s="349">
        <f t="shared" si="9"/>
        <v>21200</v>
      </c>
      <c r="L569" s="179"/>
      <c r="M569" s="185"/>
      <c r="N569" s="176"/>
      <c r="AV569" s="138"/>
      <c r="AW569" s="138"/>
      <c r="AX569" s="138"/>
      <c r="AY569" s="138"/>
      <c r="AZ569" s="138"/>
      <c r="BA569" s="138"/>
      <c r="BB569" s="138"/>
      <c r="BC569" s="138"/>
      <c r="BD569" s="138"/>
      <c r="BE569" s="138"/>
      <c r="BF569" s="138"/>
      <c r="BG569" s="138"/>
      <c r="BH569" s="138"/>
      <c r="BI569" s="138"/>
      <c r="BJ569" s="138"/>
      <c r="BK569" s="138"/>
      <c r="BL569" s="138"/>
      <c r="BM569" s="138"/>
      <c r="BN569" s="138"/>
      <c r="BO569" s="138"/>
    </row>
    <row r="570" spans="1:67" x14ac:dyDescent="0.2">
      <c r="A570" s="177"/>
      <c r="B570" s="178"/>
      <c r="C570" s="179"/>
      <c r="D570" s="180"/>
      <c r="E570" s="180"/>
      <c r="F570" s="180"/>
      <c r="G570" s="180"/>
      <c r="H570" s="180"/>
      <c r="I570" s="188" t="s">
        <v>844</v>
      </c>
      <c r="J570" s="207" t="s">
        <v>594</v>
      </c>
      <c r="K570" s="349">
        <f t="shared" si="9"/>
        <v>21200</v>
      </c>
      <c r="L570" s="179"/>
      <c r="M570" s="185"/>
      <c r="AV570" s="138"/>
      <c r="AW570" s="138"/>
      <c r="AX570" s="138"/>
      <c r="AY570" s="138"/>
      <c r="AZ570" s="138"/>
      <c r="BA570" s="138"/>
      <c r="BB570" s="138"/>
      <c r="BC570" s="138"/>
      <c r="BD570" s="138"/>
      <c r="BE570" s="138"/>
      <c r="BF570" s="138"/>
      <c r="BG570" s="138"/>
      <c r="BH570" s="138"/>
      <c r="BI570" s="138"/>
      <c r="BJ570" s="138"/>
      <c r="BK570" s="138"/>
      <c r="BL570" s="138"/>
      <c r="BM570" s="138"/>
      <c r="BN570" s="138"/>
      <c r="BO570" s="138"/>
    </row>
    <row r="571" spans="1:67" x14ac:dyDescent="0.2">
      <c r="A571" s="177"/>
      <c r="B571" s="178"/>
      <c r="C571" s="179"/>
      <c r="D571" s="180"/>
      <c r="E571" s="180"/>
      <c r="F571" s="180"/>
      <c r="G571" s="180"/>
      <c r="H571" s="180"/>
      <c r="I571" s="171" t="s">
        <v>845</v>
      </c>
      <c r="J571" s="207" t="s">
        <v>594</v>
      </c>
      <c r="K571" s="343">
        <f t="shared" si="9"/>
        <v>21200</v>
      </c>
      <c r="L571" s="179"/>
      <c r="M571" s="185"/>
      <c r="AV571" s="138"/>
      <c r="AW571" s="138"/>
      <c r="AX571" s="138"/>
      <c r="AY571" s="138"/>
      <c r="AZ571" s="138"/>
      <c r="BA571" s="138"/>
      <c r="BB571" s="138"/>
      <c r="BC571" s="138"/>
      <c r="BD571" s="138"/>
      <c r="BE571" s="138"/>
      <c r="BF571" s="138"/>
      <c r="BG571" s="138"/>
      <c r="BH571" s="138"/>
      <c r="BI571" s="138"/>
      <c r="BJ571" s="138"/>
      <c r="BK571" s="138"/>
      <c r="BL571" s="138"/>
      <c r="BM571" s="138"/>
      <c r="BN571" s="138"/>
      <c r="BO571" s="138"/>
    </row>
    <row r="572" spans="1:67" x14ac:dyDescent="0.2">
      <c r="A572" s="177"/>
      <c r="B572" s="178"/>
      <c r="C572" s="179"/>
      <c r="D572" s="180"/>
      <c r="E572" s="180"/>
      <c r="F572" s="180"/>
      <c r="G572" s="180"/>
      <c r="H572" s="180"/>
      <c r="I572" s="181" t="s">
        <v>846</v>
      </c>
      <c r="J572" s="172" t="s">
        <v>594</v>
      </c>
      <c r="K572" s="324">
        <f t="shared" si="9"/>
        <v>21200</v>
      </c>
      <c r="L572" s="179"/>
      <c r="M572" s="185"/>
      <c r="AV572" s="138"/>
      <c r="AW572" s="138"/>
      <c r="AX572" s="138"/>
      <c r="AY572" s="138"/>
      <c r="AZ572" s="138"/>
      <c r="BA572" s="138"/>
      <c r="BB572" s="138"/>
      <c r="BC572" s="138"/>
      <c r="BD572" s="138"/>
      <c r="BE572" s="138"/>
      <c r="BF572" s="138"/>
      <c r="BG572" s="138"/>
      <c r="BH572" s="138"/>
      <c r="BI572" s="138"/>
      <c r="BJ572" s="138"/>
      <c r="BK572" s="138"/>
      <c r="BL572" s="138"/>
      <c r="BM572" s="138"/>
      <c r="BN572" s="138"/>
      <c r="BO572" s="138"/>
    </row>
    <row r="573" spans="1:67" x14ac:dyDescent="0.2">
      <c r="A573" s="177"/>
      <c r="B573" s="178"/>
      <c r="C573" s="179"/>
      <c r="D573" s="180"/>
      <c r="E573" s="180"/>
      <c r="F573" s="180"/>
      <c r="G573" s="180"/>
      <c r="H573" s="180"/>
      <c r="I573" s="181" t="s">
        <v>847</v>
      </c>
      <c r="J573" s="207" t="s">
        <v>594</v>
      </c>
      <c r="K573" s="349">
        <f t="shared" si="9"/>
        <v>21200</v>
      </c>
      <c r="L573" s="179"/>
      <c r="M573" s="185"/>
      <c r="AV573" s="138"/>
      <c r="AW573" s="138"/>
      <c r="AX573" s="138"/>
      <c r="AY573" s="138"/>
      <c r="AZ573" s="138"/>
      <c r="BA573" s="138"/>
      <c r="BB573" s="138"/>
      <c r="BC573" s="138"/>
      <c r="BD573" s="138"/>
      <c r="BE573" s="138"/>
      <c r="BF573" s="138"/>
      <c r="BG573" s="138"/>
      <c r="BH573" s="138"/>
      <c r="BI573" s="138"/>
      <c r="BJ573" s="138"/>
      <c r="BK573" s="138"/>
      <c r="BL573" s="138"/>
      <c r="BM573" s="138"/>
      <c r="BN573" s="138"/>
      <c r="BO573" s="138"/>
    </row>
    <row r="574" spans="1:67" x14ac:dyDescent="0.2">
      <c r="A574" s="177"/>
      <c r="B574" s="178"/>
      <c r="C574" s="179"/>
      <c r="D574" s="180"/>
      <c r="E574" s="180"/>
      <c r="F574" s="180"/>
      <c r="G574" s="180"/>
      <c r="H574" s="180"/>
      <c r="I574" s="188" t="s">
        <v>848</v>
      </c>
      <c r="J574" s="226" t="s">
        <v>390</v>
      </c>
      <c r="K574" s="349">
        <f t="shared" si="9"/>
        <v>21200</v>
      </c>
      <c r="L574" s="179"/>
      <c r="M574" s="185"/>
      <c r="AV574" s="138"/>
      <c r="AW574" s="138"/>
      <c r="AX574" s="138"/>
      <c r="AY574" s="138"/>
      <c r="AZ574" s="138"/>
      <c r="BA574" s="138"/>
      <c r="BB574" s="138"/>
      <c r="BC574" s="138"/>
      <c r="BD574" s="138"/>
      <c r="BE574" s="138"/>
      <c r="BF574" s="138"/>
      <c r="BG574" s="138"/>
      <c r="BH574" s="138"/>
      <c r="BI574" s="138"/>
      <c r="BJ574" s="138"/>
      <c r="BK574" s="138"/>
      <c r="BL574" s="138"/>
      <c r="BM574" s="138"/>
      <c r="BN574" s="138"/>
      <c r="BO574" s="138"/>
    </row>
    <row r="575" spans="1:67" x14ac:dyDescent="0.2">
      <c r="A575" s="189"/>
      <c r="B575" s="190"/>
      <c r="C575" s="191"/>
      <c r="D575" s="192"/>
      <c r="E575" s="192"/>
      <c r="F575" s="192"/>
      <c r="G575" s="192"/>
      <c r="H575" s="192"/>
      <c r="I575" s="193"/>
      <c r="J575" s="204"/>
      <c r="K575" s="344">
        <f>SUM(K565:K574)</f>
        <v>530000</v>
      </c>
      <c r="L575" s="191"/>
      <c r="M575" s="197"/>
      <c r="AV575" s="138"/>
      <c r="AW575" s="138"/>
      <c r="AX575" s="138"/>
      <c r="AY575" s="138"/>
      <c r="AZ575" s="138"/>
      <c r="BA575" s="138"/>
      <c r="BB575" s="138"/>
      <c r="BC575" s="138"/>
      <c r="BD575" s="138"/>
      <c r="BE575" s="138"/>
      <c r="BF575" s="138"/>
      <c r="BG575" s="138"/>
      <c r="BH575" s="138"/>
      <c r="BI575" s="138"/>
      <c r="BJ575" s="138"/>
      <c r="BK575" s="138"/>
      <c r="BL575" s="138"/>
      <c r="BM575" s="138"/>
      <c r="BN575" s="138"/>
      <c r="BO575" s="138"/>
    </row>
    <row r="576" spans="1:67" ht="64.5" customHeight="1" x14ac:dyDescent="0.2">
      <c r="A576" s="292">
        <v>143</v>
      </c>
      <c r="B576" s="168" t="s">
        <v>849</v>
      </c>
      <c r="C576" s="169"/>
      <c r="D576" s="295" t="s">
        <v>163</v>
      </c>
      <c r="E576" s="295"/>
      <c r="F576" s="295"/>
      <c r="G576" s="295"/>
      <c r="H576" s="295"/>
      <c r="I576" s="280" t="s">
        <v>850</v>
      </c>
      <c r="J576" s="172" t="s">
        <v>594</v>
      </c>
      <c r="K576" s="345">
        <f>530000*100%</f>
        <v>530000</v>
      </c>
      <c r="L576" s="297" t="s">
        <v>166</v>
      </c>
      <c r="M576" s="259" t="s">
        <v>851</v>
      </c>
      <c r="AV576" s="138"/>
      <c r="AW576" s="138"/>
      <c r="AX576" s="138"/>
      <c r="AY576" s="138"/>
      <c r="AZ576" s="138"/>
      <c r="BA576" s="138"/>
      <c r="BB576" s="138"/>
      <c r="BC576" s="138"/>
      <c r="BD576" s="138"/>
      <c r="BE576" s="138"/>
      <c r="BF576" s="138"/>
      <c r="BG576" s="138"/>
      <c r="BH576" s="138"/>
      <c r="BI576" s="138"/>
      <c r="BJ576" s="138"/>
      <c r="BK576" s="138"/>
      <c r="BL576" s="138"/>
      <c r="BM576" s="138"/>
      <c r="BN576" s="138"/>
      <c r="BO576" s="138"/>
    </row>
    <row r="577" spans="1:67" ht="23.25" customHeight="1" x14ac:dyDescent="0.2">
      <c r="A577" s="167">
        <v>144</v>
      </c>
      <c r="B577" s="168" t="s">
        <v>852</v>
      </c>
      <c r="C577" s="169"/>
      <c r="D577" s="170" t="s">
        <v>163</v>
      </c>
      <c r="E577" s="170"/>
      <c r="F577" s="170"/>
      <c r="G577" s="170"/>
      <c r="H577" s="170"/>
      <c r="I577" s="171" t="s">
        <v>838</v>
      </c>
      <c r="J577" s="223" t="s">
        <v>594</v>
      </c>
      <c r="K577" s="348">
        <f>530000*60%</f>
        <v>318000</v>
      </c>
      <c r="L577" s="174" t="s">
        <v>166</v>
      </c>
      <c r="M577" s="175" t="s">
        <v>853</v>
      </c>
      <c r="AV577" s="138"/>
      <c r="AW577" s="138"/>
      <c r="AX577" s="138"/>
      <c r="AY577" s="138"/>
      <c r="AZ577" s="138"/>
      <c r="BA577" s="138"/>
      <c r="BB577" s="138"/>
      <c r="BC577" s="138"/>
      <c r="BD577" s="138"/>
      <c r="BE577" s="138"/>
      <c r="BF577" s="138"/>
      <c r="BG577" s="138"/>
      <c r="BH577" s="138"/>
      <c r="BI577" s="138"/>
      <c r="BJ577" s="138"/>
      <c r="BK577" s="138"/>
      <c r="BL577" s="138"/>
      <c r="BM577" s="138"/>
      <c r="BN577" s="138"/>
      <c r="BO577" s="138"/>
    </row>
    <row r="578" spans="1:67" x14ac:dyDescent="0.2">
      <c r="A578" s="177"/>
      <c r="B578" s="178"/>
      <c r="C578" s="179"/>
      <c r="D578" s="180"/>
      <c r="E578" s="180"/>
      <c r="F578" s="180"/>
      <c r="G578" s="180"/>
      <c r="H578" s="180"/>
      <c r="I578" s="181" t="s">
        <v>854</v>
      </c>
      <c r="J578" s="207" t="s">
        <v>594</v>
      </c>
      <c r="K578" s="262">
        <f>530000*5%</f>
        <v>26500</v>
      </c>
      <c r="L578" s="184"/>
      <c r="M578" s="185"/>
      <c r="AV578" s="138"/>
      <c r="AW578" s="138"/>
      <c r="AX578" s="138"/>
      <c r="AY578" s="138"/>
      <c r="AZ578" s="138"/>
      <c r="BA578" s="138"/>
      <c r="BB578" s="138"/>
      <c r="BC578" s="138"/>
      <c r="BD578" s="138"/>
      <c r="BE578" s="138"/>
      <c r="BF578" s="138"/>
      <c r="BG578" s="138"/>
      <c r="BH578" s="138"/>
      <c r="BI578" s="138"/>
      <c r="BJ578" s="138"/>
      <c r="BK578" s="138"/>
      <c r="BL578" s="138"/>
      <c r="BM578" s="138"/>
      <c r="BN578" s="138"/>
      <c r="BO578" s="138"/>
    </row>
    <row r="579" spans="1:67" x14ac:dyDescent="0.2">
      <c r="A579" s="177"/>
      <c r="B579" s="178"/>
      <c r="C579" s="179"/>
      <c r="D579" s="180"/>
      <c r="E579" s="180"/>
      <c r="F579" s="180"/>
      <c r="G579" s="180"/>
      <c r="H579" s="180"/>
      <c r="I579" s="181" t="s">
        <v>645</v>
      </c>
      <c r="J579" s="172" t="s">
        <v>594</v>
      </c>
      <c r="K579" s="346">
        <f>530000*5%</f>
        <v>26500</v>
      </c>
      <c r="L579" s="184"/>
      <c r="M579" s="185"/>
      <c r="AV579" s="138"/>
      <c r="AW579" s="138"/>
      <c r="AX579" s="138"/>
      <c r="AY579" s="138"/>
      <c r="AZ579" s="138"/>
      <c r="BA579" s="138"/>
      <c r="BB579" s="138"/>
      <c r="BC579" s="138"/>
      <c r="BD579" s="138"/>
      <c r="BE579" s="138"/>
      <c r="BF579" s="138"/>
      <c r="BG579" s="138"/>
      <c r="BH579" s="138"/>
      <c r="BI579" s="138"/>
      <c r="BJ579" s="138"/>
      <c r="BK579" s="138"/>
      <c r="BL579" s="138"/>
      <c r="BM579" s="138"/>
      <c r="BN579" s="138"/>
      <c r="BO579" s="138"/>
    </row>
    <row r="580" spans="1:67" x14ac:dyDescent="0.2">
      <c r="A580" s="177"/>
      <c r="B580" s="178"/>
      <c r="C580" s="179"/>
      <c r="D580" s="180"/>
      <c r="E580" s="180"/>
      <c r="F580" s="180"/>
      <c r="G580" s="180"/>
      <c r="H580" s="180"/>
      <c r="I580" s="181" t="s">
        <v>855</v>
      </c>
      <c r="J580" s="207" t="s">
        <v>353</v>
      </c>
      <c r="K580" s="324">
        <f>530000*5%</f>
        <v>26500</v>
      </c>
      <c r="L580" s="184"/>
      <c r="M580" s="185"/>
      <c r="N580" s="176"/>
      <c r="AV580" s="138"/>
      <c r="AW580" s="138"/>
      <c r="AX580" s="138"/>
      <c r="AY580" s="138"/>
      <c r="AZ580" s="138"/>
      <c r="BA580" s="138"/>
      <c r="BB580" s="138"/>
      <c r="BC580" s="138"/>
      <c r="BD580" s="138"/>
      <c r="BE580" s="138"/>
      <c r="BF580" s="138"/>
      <c r="BG580" s="138"/>
      <c r="BH580" s="138"/>
      <c r="BI580" s="138"/>
      <c r="BJ580" s="138"/>
      <c r="BK580" s="138"/>
      <c r="BL580" s="138"/>
      <c r="BM580" s="138"/>
      <c r="BN580" s="138"/>
      <c r="BO580" s="138"/>
    </row>
    <row r="581" spans="1:67" x14ac:dyDescent="0.2">
      <c r="A581" s="177"/>
      <c r="B581" s="178"/>
      <c r="C581" s="179"/>
      <c r="D581" s="180"/>
      <c r="E581" s="180"/>
      <c r="F581" s="180"/>
      <c r="G581" s="180"/>
      <c r="H581" s="180"/>
      <c r="I581" s="181" t="s">
        <v>856</v>
      </c>
      <c r="J581" s="247" t="s">
        <v>594</v>
      </c>
      <c r="K581" s="346">
        <f>530000*5%</f>
        <v>26500</v>
      </c>
      <c r="L581" s="184"/>
      <c r="M581" s="185"/>
      <c r="AV581" s="138"/>
      <c r="AW581" s="138"/>
      <c r="AX581" s="138"/>
      <c r="AY581" s="138"/>
      <c r="AZ581" s="138"/>
      <c r="BA581" s="138"/>
      <c r="BB581" s="138"/>
      <c r="BC581" s="138"/>
      <c r="BD581" s="138"/>
      <c r="BE581" s="138"/>
      <c r="BF581" s="138"/>
      <c r="BG581" s="138"/>
      <c r="BH581" s="138"/>
      <c r="BI581" s="138"/>
      <c r="BJ581" s="138"/>
      <c r="BK581" s="138"/>
      <c r="BL581" s="138"/>
      <c r="BM581" s="138"/>
      <c r="BN581" s="138"/>
      <c r="BO581" s="138"/>
    </row>
    <row r="582" spans="1:67" x14ac:dyDescent="0.2">
      <c r="A582" s="177"/>
      <c r="B582" s="178"/>
      <c r="C582" s="179"/>
      <c r="D582" s="180"/>
      <c r="E582" s="180"/>
      <c r="F582" s="180"/>
      <c r="G582" s="180"/>
      <c r="H582" s="180"/>
      <c r="I582" s="188" t="s">
        <v>845</v>
      </c>
      <c r="J582" s="172" t="s">
        <v>594</v>
      </c>
      <c r="K582" s="262">
        <f>530000*4%</f>
        <v>21200</v>
      </c>
      <c r="L582" s="184"/>
      <c r="M582" s="185"/>
      <c r="AV582" s="138"/>
      <c r="AW582" s="138"/>
      <c r="AX582" s="138"/>
      <c r="AY582" s="138"/>
      <c r="AZ582" s="138"/>
      <c r="BA582" s="138"/>
      <c r="BB582" s="138"/>
      <c r="BC582" s="138"/>
      <c r="BD582" s="138"/>
      <c r="BE582" s="138"/>
      <c r="BF582" s="138"/>
      <c r="BG582" s="138"/>
      <c r="BH582" s="138"/>
      <c r="BI582" s="138"/>
      <c r="BJ582" s="138"/>
      <c r="BK582" s="138"/>
      <c r="BL582" s="138"/>
      <c r="BM582" s="138"/>
      <c r="BN582" s="138"/>
      <c r="BO582" s="138"/>
    </row>
    <row r="583" spans="1:67" x14ac:dyDescent="0.2">
      <c r="A583" s="177"/>
      <c r="B583" s="178"/>
      <c r="C583" s="179"/>
      <c r="D583" s="180"/>
      <c r="E583" s="180"/>
      <c r="F583" s="180"/>
      <c r="G583" s="180"/>
      <c r="H583" s="180"/>
      <c r="I583" s="171" t="s">
        <v>846</v>
      </c>
      <c r="J583" s="207" t="s">
        <v>594</v>
      </c>
      <c r="K583" s="346">
        <f>530000*4%</f>
        <v>21200</v>
      </c>
      <c r="L583" s="184"/>
      <c r="M583" s="185"/>
      <c r="AV583" s="138"/>
      <c r="AW583" s="138"/>
      <c r="AX583" s="138"/>
      <c r="AY583" s="138"/>
      <c r="AZ583" s="138"/>
      <c r="BA583" s="138"/>
      <c r="BB583" s="138"/>
      <c r="BC583" s="138"/>
      <c r="BD583" s="138"/>
      <c r="BE583" s="138"/>
      <c r="BF583" s="138"/>
      <c r="BG583" s="138"/>
      <c r="BH583" s="138"/>
      <c r="BI583" s="138"/>
      <c r="BJ583" s="138"/>
      <c r="BK583" s="138"/>
      <c r="BL583" s="138"/>
      <c r="BM583" s="138"/>
      <c r="BN583" s="138"/>
      <c r="BO583" s="138"/>
    </row>
    <row r="584" spans="1:67" x14ac:dyDescent="0.2">
      <c r="A584" s="177"/>
      <c r="B584" s="178"/>
      <c r="C584" s="179"/>
      <c r="D584" s="180"/>
      <c r="E584" s="180"/>
      <c r="F584" s="180"/>
      <c r="G584" s="180"/>
      <c r="H584" s="180"/>
      <c r="I584" s="188" t="s">
        <v>847</v>
      </c>
      <c r="J584" s="207" t="s">
        <v>594</v>
      </c>
      <c r="K584" s="346">
        <f>530000*4%</f>
        <v>21200</v>
      </c>
      <c r="L584" s="184"/>
      <c r="M584" s="185"/>
      <c r="AV584" s="138"/>
      <c r="AW584" s="138"/>
      <c r="AX584" s="138"/>
      <c r="AY584" s="138"/>
      <c r="AZ584" s="138"/>
      <c r="BA584" s="138"/>
      <c r="BB584" s="138"/>
      <c r="BC584" s="138"/>
      <c r="BD584" s="138"/>
      <c r="BE584" s="138"/>
      <c r="BF584" s="138"/>
      <c r="BG584" s="138"/>
      <c r="BH584" s="138"/>
      <c r="BI584" s="138"/>
      <c r="BJ584" s="138"/>
      <c r="BK584" s="138"/>
      <c r="BL584" s="138"/>
      <c r="BM584" s="138"/>
      <c r="BN584" s="138"/>
      <c r="BO584" s="138"/>
    </row>
    <row r="585" spans="1:67" x14ac:dyDescent="0.2">
      <c r="A585" s="177"/>
      <c r="B585" s="178"/>
      <c r="C585" s="179"/>
      <c r="D585" s="180"/>
      <c r="E585" s="180"/>
      <c r="F585" s="180"/>
      <c r="G585" s="180"/>
      <c r="H585" s="180"/>
      <c r="I585" s="181" t="s">
        <v>848</v>
      </c>
      <c r="J585" s="172" t="s">
        <v>390</v>
      </c>
      <c r="K585" s="262">
        <f>530000*4%</f>
        <v>21200</v>
      </c>
      <c r="L585" s="184"/>
      <c r="M585" s="185"/>
      <c r="AV585" s="138"/>
      <c r="AW585" s="138"/>
      <c r="AX585" s="138"/>
      <c r="AY585" s="138"/>
      <c r="AZ585" s="138"/>
      <c r="BA585" s="138"/>
      <c r="BB585" s="138"/>
      <c r="BC585" s="138"/>
      <c r="BD585" s="138"/>
      <c r="BE585" s="138"/>
      <c r="BF585" s="138"/>
      <c r="BG585" s="138"/>
      <c r="BH585" s="138"/>
      <c r="BI585" s="138"/>
      <c r="BJ585" s="138"/>
      <c r="BK585" s="138"/>
      <c r="BL585" s="138"/>
      <c r="BM585" s="138"/>
      <c r="BN585" s="138"/>
      <c r="BO585" s="138"/>
    </row>
    <row r="586" spans="1:67" x14ac:dyDescent="0.2">
      <c r="A586" s="177"/>
      <c r="B586" s="178"/>
      <c r="C586" s="179"/>
      <c r="D586" s="180"/>
      <c r="E586" s="180"/>
      <c r="F586" s="180"/>
      <c r="G586" s="180"/>
      <c r="H586" s="180"/>
      <c r="I586" s="181" t="s">
        <v>857</v>
      </c>
      <c r="J586" s="207" t="s">
        <v>858</v>
      </c>
      <c r="K586" s="346">
        <f>530000*4%</f>
        <v>21200</v>
      </c>
      <c r="L586" s="184"/>
      <c r="M586" s="185"/>
      <c r="AV586" s="138"/>
      <c r="AW586" s="138"/>
      <c r="AX586" s="138"/>
      <c r="AY586" s="138"/>
      <c r="AZ586" s="138"/>
      <c r="BA586" s="138"/>
      <c r="BB586" s="138"/>
      <c r="BC586" s="138"/>
      <c r="BD586" s="138"/>
      <c r="BE586" s="138"/>
      <c r="BF586" s="138"/>
      <c r="BG586" s="138"/>
      <c r="BH586" s="138"/>
      <c r="BI586" s="138"/>
      <c r="BJ586" s="138"/>
      <c r="BK586" s="138"/>
      <c r="BL586" s="138"/>
      <c r="BM586" s="138"/>
      <c r="BN586" s="138"/>
      <c r="BO586" s="138"/>
    </row>
    <row r="587" spans="1:67" x14ac:dyDescent="0.2">
      <c r="A587" s="189"/>
      <c r="B587" s="190"/>
      <c r="C587" s="191"/>
      <c r="D587" s="192"/>
      <c r="E587" s="192"/>
      <c r="F587" s="192"/>
      <c r="G587" s="192"/>
      <c r="H587" s="192"/>
      <c r="I587" s="203"/>
      <c r="J587" s="215"/>
      <c r="K587" s="347">
        <f>SUM(K577:K586)</f>
        <v>530000</v>
      </c>
      <c r="L587" s="196"/>
      <c r="M587" s="197"/>
      <c r="AV587" s="138"/>
      <c r="AW587" s="138"/>
      <c r="AX587" s="138"/>
      <c r="AY587" s="138"/>
      <c r="AZ587" s="138"/>
      <c r="BA587" s="138"/>
      <c r="BB587" s="138"/>
      <c r="BC587" s="138"/>
      <c r="BD587" s="138"/>
      <c r="BE587" s="138"/>
      <c r="BF587" s="138"/>
      <c r="BG587" s="138"/>
      <c r="BH587" s="138"/>
      <c r="BI587" s="138"/>
      <c r="BJ587" s="138"/>
      <c r="BK587" s="138"/>
      <c r="BL587" s="138"/>
      <c r="BM587" s="138"/>
      <c r="BN587" s="138"/>
      <c r="BO587" s="138"/>
    </row>
    <row r="588" spans="1:67" x14ac:dyDescent="0.2">
      <c r="A588" s="167">
        <v>145</v>
      </c>
      <c r="B588" s="168" t="s">
        <v>859</v>
      </c>
      <c r="C588" s="169"/>
      <c r="D588" s="170" t="s">
        <v>163</v>
      </c>
      <c r="E588" s="170"/>
      <c r="F588" s="170"/>
      <c r="G588" s="170"/>
      <c r="H588" s="170"/>
      <c r="I588" s="171" t="s">
        <v>860</v>
      </c>
      <c r="J588" s="223" t="s">
        <v>594</v>
      </c>
      <c r="K588" s="348">
        <f>450000*60%</f>
        <v>270000</v>
      </c>
      <c r="L588" s="174" t="s">
        <v>166</v>
      </c>
      <c r="M588" s="175" t="s">
        <v>861</v>
      </c>
      <c r="AV588" s="138"/>
      <c r="AW588" s="138"/>
      <c r="AX588" s="138"/>
      <c r="AY588" s="138"/>
      <c r="AZ588" s="138"/>
      <c r="BA588" s="138"/>
      <c r="BB588" s="138"/>
      <c r="BC588" s="138"/>
      <c r="BD588" s="138"/>
      <c r="BE588" s="138"/>
      <c r="BF588" s="138"/>
      <c r="BG588" s="138"/>
      <c r="BH588" s="138"/>
      <c r="BI588" s="138"/>
      <c r="BJ588" s="138"/>
      <c r="BK588" s="138"/>
      <c r="BL588" s="138"/>
      <c r="BM588" s="138"/>
      <c r="BN588" s="138"/>
      <c r="BO588" s="138"/>
    </row>
    <row r="589" spans="1:67" x14ac:dyDescent="0.2">
      <c r="A589" s="177"/>
      <c r="B589" s="178"/>
      <c r="C589" s="179"/>
      <c r="D589" s="180"/>
      <c r="E589" s="180"/>
      <c r="F589" s="180"/>
      <c r="G589" s="180"/>
      <c r="H589" s="180"/>
      <c r="I589" s="181" t="s">
        <v>862</v>
      </c>
      <c r="J589" s="172" t="s">
        <v>636</v>
      </c>
      <c r="K589" s="262">
        <f>450000*20%</f>
        <v>90000</v>
      </c>
      <c r="L589" s="184"/>
      <c r="M589" s="185"/>
      <c r="AV589" s="138"/>
      <c r="AW589" s="138"/>
      <c r="AX589" s="138"/>
      <c r="AY589" s="138"/>
      <c r="AZ589" s="138"/>
      <c r="BA589" s="138"/>
      <c r="BB589" s="138"/>
      <c r="BC589" s="138"/>
      <c r="BD589" s="138"/>
      <c r="BE589" s="138"/>
      <c r="BF589" s="138"/>
      <c r="BG589" s="138"/>
      <c r="BH589" s="138"/>
      <c r="BI589" s="138"/>
      <c r="BJ589" s="138"/>
      <c r="BK589" s="138"/>
      <c r="BL589" s="138"/>
      <c r="BM589" s="138"/>
      <c r="BN589" s="138"/>
      <c r="BO589" s="138"/>
    </row>
    <row r="590" spans="1:67" x14ac:dyDescent="0.2">
      <c r="A590" s="177"/>
      <c r="B590" s="178"/>
      <c r="C590" s="179"/>
      <c r="D590" s="180"/>
      <c r="E590" s="180"/>
      <c r="F590" s="180"/>
      <c r="G590" s="180"/>
      <c r="H590" s="180"/>
      <c r="I590" s="181" t="s">
        <v>863</v>
      </c>
      <c r="J590" s="207" t="s">
        <v>594</v>
      </c>
      <c r="K590" s="262">
        <f>450000*10%</f>
        <v>45000</v>
      </c>
      <c r="L590" s="184"/>
      <c r="M590" s="185"/>
      <c r="AV590" s="138"/>
      <c r="AW590" s="138"/>
      <c r="AX590" s="138"/>
      <c r="AY590" s="138"/>
      <c r="AZ590" s="138"/>
      <c r="BA590" s="138"/>
      <c r="BB590" s="138"/>
      <c r="BC590" s="138"/>
      <c r="BD590" s="138"/>
      <c r="BE590" s="138"/>
      <c r="BF590" s="138"/>
      <c r="BG590" s="138"/>
      <c r="BH590" s="138"/>
      <c r="BI590" s="138"/>
      <c r="BJ590" s="138"/>
      <c r="BK590" s="138"/>
      <c r="BL590" s="138"/>
      <c r="BM590" s="138"/>
      <c r="BN590" s="138"/>
      <c r="BO590" s="138"/>
    </row>
    <row r="591" spans="1:67" x14ac:dyDescent="0.2">
      <c r="A591" s="177"/>
      <c r="B591" s="178"/>
      <c r="C591" s="179"/>
      <c r="D591" s="180"/>
      <c r="E591" s="180"/>
      <c r="F591" s="180"/>
      <c r="G591" s="180"/>
      <c r="H591" s="180"/>
      <c r="I591" s="188" t="s">
        <v>864</v>
      </c>
      <c r="J591" s="207" t="s">
        <v>223</v>
      </c>
      <c r="K591" s="262">
        <f>450000*5%</f>
        <v>22500</v>
      </c>
      <c r="L591" s="184"/>
      <c r="M591" s="185"/>
      <c r="AV591" s="138"/>
      <c r="AW591" s="138"/>
      <c r="AX591" s="138"/>
      <c r="AY591" s="138"/>
      <c r="AZ591" s="138"/>
      <c r="BA591" s="138"/>
      <c r="BB591" s="138"/>
      <c r="BC591" s="138"/>
      <c r="BD591" s="138"/>
      <c r="BE591" s="138"/>
      <c r="BF591" s="138"/>
      <c r="BG591" s="138"/>
      <c r="BH591" s="138"/>
      <c r="BI591" s="138"/>
      <c r="BJ591" s="138"/>
      <c r="BK591" s="138"/>
      <c r="BL591" s="138"/>
      <c r="BM591" s="138"/>
      <c r="BN591" s="138"/>
      <c r="BO591" s="138"/>
    </row>
    <row r="592" spans="1:67" x14ac:dyDescent="0.2">
      <c r="A592" s="177"/>
      <c r="B592" s="178"/>
      <c r="C592" s="179"/>
      <c r="D592" s="180"/>
      <c r="E592" s="180"/>
      <c r="F592" s="180"/>
      <c r="G592" s="180"/>
      <c r="H592" s="180"/>
      <c r="I592" s="171" t="s">
        <v>865</v>
      </c>
      <c r="J592" s="207" t="s">
        <v>636</v>
      </c>
      <c r="K592" s="262">
        <f>450000*5%</f>
        <v>22500</v>
      </c>
      <c r="L592" s="184"/>
      <c r="M592" s="185"/>
      <c r="AV592" s="138"/>
      <c r="AW592" s="138"/>
      <c r="AX592" s="138"/>
      <c r="AY592" s="138"/>
      <c r="AZ592" s="138"/>
      <c r="BA592" s="138"/>
      <c r="BB592" s="138"/>
      <c r="BC592" s="138"/>
      <c r="BD592" s="138"/>
      <c r="BE592" s="138"/>
      <c r="BF592" s="138"/>
      <c r="BG592" s="138"/>
      <c r="BH592" s="138"/>
      <c r="BI592" s="138"/>
      <c r="BJ592" s="138"/>
      <c r="BK592" s="138"/>
      <c r="BL592" s="138"/>
      <c r="BM592" s="138"/>
      <c r="BN592" s="138"/>
      <c r="BO592" s="138"/>
    </row>
    <row r="593" spans="1:67" x14ac:dyDescent="0.2">
      <c r="A593" s="189"/>
      <c r="B593" s="190"/>
      <c r="C593" s="191"/>
      <c r="D593" s="192"/>
      <c r="E593" s="192"/>
      <c r="F593" s="192"/>
      <c r="G593" s="192"/>
      <c r="H593" s="192"/>
      <c r="I593" s="203"/>
      <c r="J593" s="215"/>
      <c r="K593" s="347">
        <f>SUM(K588:K592)</f>
        <v>450000</v>
      </c>
      <c r="L593" s="196"/>
      <c r="M593" s="197"/>
      <c r="AV593" s="138"/>
      <c r="AW593" s="138"/>
      <c r="AX593" s="138"/>
      <c r="AY593" s="138"/>
      <c r="AZ593" s="138"/>
      <c r="BA593" s="138"/>
      <c r="BB593" s="138"/>
      <c r="BC593" s="138"/>
      <c r="BD593" s="138"/>
      <c r="BE593" s="138"/>
      <c r="BF593" s="138"/>
      <c r="BG593" s="138"/>
      <c r="BH593" s="138"/>
      <c r="BI593" s="138"/>
      <c r="BJ593" s="138"/>
      <c r="BK593" s="138"/>
      <c r="BL593" s="138"/>
      <c r="BM593" s="138"/>
      <c r="BN593" s="138"/>
      <c r="BO593" s="138"/>
    </row>
    <row r="594" spans="1:67" x14ac:dyDescent="0.2">
      <c r="A594" s="167">
        <v>146</v>
      </c>
      <c r="B594" s="168" t="s">
        <v>866</v>
      </c>
      <c r="C594" s="169"/>
      <c r="D594" s="170" t="s">
        <v>163</v>
      </c>
      <c r="E594" s="170"/>
      <c r="F594" s="170"/>
      <c r="G594" s="170"/>
      <c r="H594" s="170"/>
      <c r="I594" s="171" t="s">
        <v>867</v>
      </c>
      <c r="J594" s="223" t="s">
        <v>594</v>
      </c>
      <c r="K594" s="348">
        <f>30000*35%</f>
        <v>10500</v>
      </c>
      <c r="L594" s="174" t="s">
        <v>166</v>
      </c>
      <c r="M594" s="175" t="s">
        <v>868</v>
      </c>
      <c r="AV594" s="138"/>
      <c r="AW594" s="138"/>
      <c r="AX594" s="138"/>
      <c r="AY594" s="138"/>
      <c r="AZ594" s="138"/>
      <c r="BA594" s="138"/>
      <c r="BB594" s="138"/>
      <c r="BC594" s="138"/>
      <c r="BD594" s="138"/>
      <c r="BE594" s="138"/>
      <c r="BF594" s="138"/>
      <c r="BG594" s="138"/>
      <c r="BH594" s="138"/>
      <c r="BI594" s="138"/>
      <c r="BJ594" s="138"/>
      <c r="BK594" s="138"/>
      <c r="BL594" s="138"/>
      <c r="BM594" s="138"/>
      <c r="BN594" s="138"/>
      <c r="BO594" s="138"/>
    </row>
    <row r="595" spans="1:67" x14ac:dyDescent="0.2">
      <c r="A595" s="177"/>
      <c r="B595" s="178"/>
      <c r="C595" s="179"/>
      <c r="D595" s="180"/>
      <c r="E595" s="180"/>
      <c r="F595" s="180"/>
      <c r="G595" s="180"/>
      <c r="H595" s="180"/>
      <c r="I595" s="181" t="s">
        <v>869</v>
      </c>
      <c r="J595" s="172" t="s">
        <v>594</v>
      </c>
      <c r="K595" s="346">
        <f>30000*30%</f>
        <v>9000</v>
      </c>
      <c r="L595" s="184"/>
      <c r="M595" s="185"/>
      <c r="AV595" s="138"/>
      <c r="AW595" s="138"/>
      <c r="AX595" s="138"/>
      <c r="AY595" s="138"/>
      <c r="AZ595" s="138"/>
      <c r="BA595" s="138"/>
      <c r="BB595" s="138"/>
      <c r="BC595" s="138"/>
      <c r="BD595" s="138"/>
      <c r="BE595" s="138"/>
      <c r="BF595" s="138"/>
      <c r="BG595" s="138"/>
      <c r="BH595" s="138"/>
      <c r="BI595" s="138"/>
      <c r="BJ595" s="138"/>
      <c r="BK595" s="138"/>
      <c r="BL595" s="138"/>
      <c r="BM595" s="138"/>
      <c r="BN595" s="138"/>
      <c r="BO595" s="138"/>
    </row>
    <row r="596" spans="1:67" x14ac:dyDescent="0.2">
      <c r="A596" s="177"/>
      <c r="B596" s="178"/>
      <c r="C596" s="179"/>
      <c r="D596" s="180"/>
      <c r="E596" s="180"/>
      <c r="F596" s="180"/>
      <c r="G596" s="180"/>
      <c r="H596" s="180"/>
      <c r="I596" s="181" t="s">
        <v>870</v>
      </c>
      <c r="J596" s="226" t="s">
        <v>636</v>
      </c>
      <c r="K596" s="346">
        <f>30000*30%</f>
        <v>9000</v>
      </c>
      <c r="L596" s="184"/>
      <c r="M596" s="185"/>
      <c r="AV596" s="138"/>
      <c r="AW596" s="138"/>
      <c r="AX596" s="138"/>
      <c r="AY596" s="138"/>
      <c r="AZ596" s="138"/>
      <c r="BA596" s="138"/>
      <c r="BB596" s="138"/>
      <c r="BC596" s="138"/>
      <c r="BD596" s="138"/>
      <c r="BE596" s="138"/>
      <c r="BF596" s="138"/>
      <c r="BG596" s="138"/>
      <c r="BH596" s="138"/>
      <c r="BI596" s="138"/>
      <c r="BJ596" s="138"/>
      <c r="BK596" s="138"/>
      <c r="BL596" s="138"/>
      <c r="BM596" s="138"/>
      <c r="BN596" s="138"/>
      <c r="BO596" s="138"/>
    </row>
    <row r="597" spans="1:67" x14ac:dyDescent="0.2">
      <c r="A597" s="177"/>
      <c r="B597" s="178"/>
      <c r="C597" s="179"/>
      <c r="D597" s="180"/>
      <c r="E597" s="180"/>
      <c r="F597" s="180"/>
      <c r="G597" s="180"/>
      <c r="H597" s="180"/>
      <c r="I597" s="181" t="s">
        <v>865</v>
      </c>
      <c r="J597" s="226" t="s">
        <v>636</v>
      </c>
      <c r="K597" s="324">
        <f>30000*5%</f>
        <v>1500</v>
      </c>
      <c r="L597" s="184"/>
      <c r="M597" s="185"/>
      <c r="AV597" s="138"/>
      <c r="AW597" s="138"/>
      <c r="AX597" s="138"/>
      <c r="AY597" s="138"/>
      <c r="AZ597" s="138"/>
      <c r="BA597" s="138"/>
      <c r="BB597" s="138"/>
      <c r="BC597" s="138"/>
      <c r="BD597" s="138"/>
      <c r="BE597" s="138"/>
      <c r="BF597" s="138"/>
      <c r="BG597" s="138"/>
      <c r="BH597" s="138"/>
      <c r="BI597" s="138"/>
      <c r="BJ597" s="138"/>
      <c r="BK597" s="138"/>
      <c r="BL597" s="138"/>
      <c r="BM597" s="138"/>
      <c r="BN597" s="138"/>
      <c r="BO597" s="138"/>
    </row>
    <row r="598" spans="1:67" x14ac:dyDescent="0.2">
      <c r="A598" s="189"/>
      <c r="B598" s="190"/>
      <c r="C598" s="191"/>
      <c r="D598" s="192"/>
      <c r="E598" s="192"/>
      <c r="F598" s="192"/>
      <c r="G598" s="192"/>
      <c r="H598" s="192"/>
      <c r="I598" s="203"/>
      <c r="J598" s="204"/>
      <c r="K598" s="347">
        <f>SUM(K594:K597)</f>
        <v>30000</v>
      </c>
      <c r="L598" s="196"/>
      <c r="M598" s="197"/>
      <c r="AV598" s="138"/>
      <c r="AW598" s="138"/>
      <c r="AX598" s="138"/>
      <c r="AY598" s="138"/>
      <c r="AZ598" s="138"/>
      <c r="BA598" s="138"/>
      <c r="BB598" s="138"/>
      <c r="BC598" s="138"/>
      <c r="BD598" s="138"/>
      <c r="BE598" s="138"/>
      <c r="BF598" s="138"/>
      <c r="BG598" s="138"/>
      <c r="BH598" s="138"/>
      <c r="BI598" s="138"/>
      <c r="BJ598" s="138"/>
      <c r="BK598" s="138"/>
      <c r="BL598" s="138"/>
      <c r="BM598" s="138"/>
      <c r="BN598" s="138"/>
      <c r="BO598" s="138"/>
    </row>
    <row r="599" spans="1:67" x14ac:dyDescent="0.2">
      <c r="A599" s="167">
        <v>147</v>
      </c>
      <c r="B599" s="168" t="s">
        <v>871</v>
      </c>
      <c r="C599" s="169"/>
      <c r="D599" s="170" t="s">
        <v>163</v>
      </c>
      <c r="E599" s="170"/>
      <c r="F599" s="170"/>
      <c r="G599" s="170"/>
      <c r="H599" s="170"/>
      <c r="I599" s="217" t="s">
        <v>872</v>
      </c>
      <c r="J599" s="172" t="s">
        <v>594</v>
      </c>
      <c r="K599" s="348">
        <f>390000*55%</f>
        <v>214500.00000000003</v>
      </c>
      <c r="L599" s="174" t="s">
        <v>166</v>
      </c>
      <c r="M599" s="175" t="s">
        <v>873</v>
      </c>
      <c r="AV599" s="138"/>
      <c r="AW599" s="138"/>
      <c r="AX599" s="138"/>
      <c r="AY599" s="138"/>
      <c r="AZ599" s="138"/>
      <c r="BA599" s="138"/>
      <c r="BB599" s="138"/>
      <c r="BC599" s="138"/>
      <c r="BD599" s="138"/>
      <c r="BE599" s="138"/>
      <c r="BF599" s="138"/>
      <c r="BG599" s="138"/>
      <c r="BH599" s="138"/>
      <c r="BI599" s="138"/>
      <c r="BJ599" s="138"/>
      <c r="BK599" s="138"/>
      <c r="BL599" s="138"/>
      <c r="BM599" s="138"/>
      <c r="BN599" s="138"/>
      <c r="BO599" s="138"/>
    </row>
    <row r="600" spans="1:67" x14ac:dyDescent="0.2">
      <c r="A600" s="177"/>
      <c r="B600" s="178"/>
      <c r="C600" s="179"/>
      <c r="D600" s="180"/>
      <c r="E600" s="180"/>
      <c r="F600" s="180"/>
      <c r="G600" s="180"/>
      <c r="H600" s="180"/>
      <c r="I600" s="188" t="s">
        <v>874</v>
      </c>
      <c r="J600" s="207" t="s">
        <v>594</v>
      </c>
      <c r="K600" s="346">
        <f>390000*20%</f>
        <v>78000</v>
      </c>
      <c r="L600" s="184"/>
      <c r="M600" s="185"/>
      <c r="AV600" s="138"/>
      <c r="AW600" s="138"/>
      <c r="AX600" s="138"/>
      <c r="AY600" s="138"/>
      <c r="AZ600" s="138"/>
      <c r="BA600" s="138"/>
      <c r="BB600" s="138"/>
      <c r="BC600" s="138"/>
      <c r="BD600" s="138"/>
      <c r="BE600" s="138"/>
      <c r="BF600" s="138"/>
      <c r="BG600" s="138"/>
      <c r="BH600" s="138"/>
      <c r="BI600" s="138"/>
      <c r="BJ600" s="138"/>
      <c r="BK600" s="138"/>
      <c r="BL600" s="138"/>
      <c r="BM600" s="138"/>
      <c r="BN600" s="138"/>
      <c r="BO600" s="138"/>
    </row>
    <row r="601" spans="1:67" x14ac:dyDescent="0.2">
      <c r="A601" s="177"/>
      <c r="B601" s="178"/>
      <c r="C601" s="179"/>
      <c r="D601" s="180"/>
      <c r="E601" s="180"/>
      <c r="F601" s="180"/>
      <c r="G601" s="180"/>
      <c r="H601" s="180"/>
      <c r="I601" s="171" t="s">
        <v>862</v>
      </c>
      <c r="J601" s="207" t="s">
        <v>636</v>
      </c>
      <c r="K601" s="346">
        <f>390000*20%</f>
        <v>78000</v>
      </c>
      <c r="L601" s="184"/>
      <c r="M601" s="185"/>
      <c r="AV601" s="138"/>
      <c r="AW601" s="138"/>
      <c r="AX601" s="138"/>
      <c r="AY601" s="138"/>
      <c r="AZ601" s="138"/>
      <c r="BA601" s="138"/>
      <c r="BB601" s="138"/>
      <c r="BC601" s="138"/>
      <c r="BD601" s="138"/>
      <c r="BE601" s="138"/>
      <c r="BF601" s="138"/>
      <c r="BG601" s="138"/>
      <c r="BH601" s="138"/>
      <c r="BI601" s="138"/>
      <c r="BJ601" s="138"/>
      <c r="BK601" s="138"/>
      <c r="BL601" s="138"/>
      <c r="BM601" s="138"/>
      <c r="BN601" s="138"/>
      <c r="BO601" s="138"/>
    </row>
    <row r="602" spans="1:67" x14ac:dyDescent="0.2">
      <c r="A602" s="177"/>
      <c r="B602" s="178"/>
      <c r="C602" s="179"/>
      <c r="D602" s="180"/>
      <c r="E602" s="180"/>
      <c r="F602" s="180"/>
      <c r="G602" s="180"/>
      <c r="H602" s="180"/>
      <c r="I602" s="188" t="s">
        <v>865</v>
      </c>
      <c r="J602" s="207" t="s">
        <v>636</v>
      </c>
      <c r="K602" s="346">
        <f>390000*5%</f>
        <v>19500</v>
      </c>
      <c r="L602" s="184"/>
      <c r="M602" s="185"/>
      <c r="AV602" s="138"/>
      <c r="AW602" s="138"/>
      <c r="AX602" s="138"/>
      <c r="AY602" s="138"/>
      <c r="AZ602" s="138"/>
      <c r="BA602" s="138"/>
      <c r="BB602" s="138"/>
      <c r="BC602" s="138"/>
      <c r="BD602" s="138"/>
      <c r="BE602" s="138"/>
      <c r="BF602" s="138"/>
      <c r="BG602" s="138"/>
      <c r="BH602" s="138"/>
      <c r="BI602" s="138"/>
      <c r="BJ602" s="138"/>
      <c r="BK602" s="138"/>
      <c r="BL602" s="138"/>
      <c r="BM602" s="138"/>
      <c r="BN602" s="138"/>
      <c r="BO602" s="138"/>
    </row>
    <row r="603" spans="1:67" x14ac:dyDescent="0.2">
      <c r="A603" s="189"/>
      <c r="B603" s="190"/>
      <c r="C603" s="191"/>
      <c r="D603" s="192"/>
      <c r="E603" s="192"/>
      <c r="F603" s="192"/>
      <c r="G603" s="192"/>
      <c r="H603" s="192"/>
      <c r="I603" s="193"/>
      <c r="J603" s="204"/>
      <c r="K603" s="350">
        <f>SUM(K599:K602)</f>
        <v>390000</v>
      </c>
      <c r="L603" s="196"/>
      <c r="M603" s="197"/>
      <c r="AV603" s="138"/>
      <c r="AW603" s="138"/>
      <c r="AX603" s="138"/>
      <c r="AY603" s="138"/>
      <c r="AZ603" s="138"/>
      <c r="BA603" s="138"/>
      <c r="BB603" s="138"/>
      <c r="BC603" s="138"/>
      <c r="BD603" s="138"/>
      <c r="BE603" s="138"/>
      <c r="BF603" s="138"/>
      <c r="BG603" s="138"/>
      <c r="BH603" s="138"/>
      <c r="BI603" s="138"/>
      <c r="BJ603" s="138"/>
      <c r="BK603" s="138"/>
      <c r="BL603" s="138"/>
      <c r="BM603" s="138"/>
      <c r="BN603" s="138"/>
      <c r="BO603" s="138"/>
    </row>
    <row r="604" spans="1:67" x14ac:dyDescent="0.2">
      <c r="A604" s="167">
        <v>148</v>
      </c>
      <c r="B604" s="168" t="s">
        <v>875</v>
      </c>
      <c r="C604" s="169"/>
      <c r="D604" s="170" t="s">
        <v>163</v>
      </c>
      <c r="E604" s="170"/>
      <c r="F604" s="170"/>
      <c r="G604" s="170"/>
      <c r="H604" s="170"/>
      <c r="I604" s="217" t="s">
        <v>876</v>
      </c>
      <c r="J604" s="223" t="s">
        <v>594</v>
      </c>
      <c r="K604" s="345">
        <f>350150*50%</f>
        <v>175075</v>
      </c>
      <c r="L604" s="174" t="s">
        <v>166</v>
      </c>
      <c r="M604" s="175" t="s">
        <v>877</v>
      </c>
      <c r="AV604" s="138"/>
      <c r="AW604" s="138"/>
      <c r="AX604" s="138"/>
      <c r="AY604" s="138"/>
      <c r="AZ604" s="138"/>
      <c r="BA604" s="138"/>
      <c r="BB604" s="138"/>
      <c r="BC604" s="138"/>
      <c r="BD604" s="138"/>
      <c r="BE604" s="138"/>
      <c r="BF604" s="138"/>
      <c r="BG604" s="138"/>
      <c r="BH604" s="138"/>
      <c r="BI604" s="138"/>
      <c r="BJ604" s="138"/>
      <c r="BK604" s="138"/>
      <c r="BL604" s="138"/>
      <c r="BM604" s="138"/>
      <c r="BN604" s="138"/>
      <c r="BO604" s="138"/>
    </row>
    <row r="605" spans="1:67" x14ac:dyDescent="0.2">
      <c r="A605" s="177"/>
      <c r="B605" s="178"/>
      <c r="C605" s="179"/>
      <c r="D605" s="180"/>
      <c r="E605" s="180"/>
      <c r="F605" s="180"/>
      <c r="G605" s="180"/>
      <c r="H605" s="180"/>
      <c r="I605" s="188" t="s">
        <v>878</v>
      </c>
      <c r="J605" s="247" t="s">
        <v>594</v>
      </c>
      <c r="K605" s="324">
        <f>350150*25%</f>
        <v>87537.5</v>
      </c>
      <c r="L605" s="184"/>
      <c r="M605" s="185"/>
      <c r="AV605" s="138"/>
      <c r="AW605" s="138"/>
      <c r="AX605" s="138"/>
      <c r="AY605" s="138"/>
      <c r="AZ605" s="138"/>
      <c r="BA605" s="138"/>
      <c r="BB605" s="138"/>
      <c r="BC605" s="138"/>
      <c r="BD605" s="138"/>
      <c r="BE605" s="138"/>
      <c r="BF605" s="138"/>
      <c r="BG605" s="138"/>
      <c r="BH605" s="138"/>
      <c r="BI605" s="138"/>
      <c r="BJ605" s="138"/>
      <c r="BK605" s="138"/>
      <c r="BL605" s="138"/>
      <c r="BM605" s="138"/>
      <c r="BN605" s="138"/>
      <c r="BO605" s="138"/>
    </row>
    <row r="606" spans="1:67" x14ac:dyDescent="0.2">
      <c r="A606" s="177"/>
      <c r="B606" s="178"/>
      <c r="C606" s="179"/>
      <c r="D606" s="180"/>
      <c r="E606" s="180"/>
      <c r="F606" s="180"/>
      <c r="G606" s="180"/>
      <c r="H606" s="180"/>
      <c r="I606" s="171" t="s">
        <v>862</v>
      </c>
      <c r="J606" s="207" t="s">
        <v>636</v>
      </c>
      <c r="K606" s="346">
        <f>350150*20%</f>
        <v>70030</v>
      </c>
      <c r="L606" s="184"/>
      <c r="M606" s="185"/>
      <c r="AV606" s="138"/>
      <c r="AW606" s="138"/>
      <c r="AX606" s="138"/>
      <c r="AY606" s="138"/>
      <c r="AZ606" s="138"/>
      <c r="BA606" s="138"/>
      <c r="BB606" s="138"/>
      <c r="BC606" s="138"/>
      <c r="BD606" s="138"/>
      <c r="BE606" s="138"/>
      <c r="BF606" s="138"/>
      <c r="BG606" s="138"/>
      <c r="BH606" s="138"/>
      <c r="BI606" s="138"/>
      <c r="BJ606" s="138"/>
      <c r="BK606" s="138"/>
      <c r="BL606" s="138"/>
      <c r="BM606" s="138"/>
      <c r="BN606" s="138"/>
      <c r="BO606" s="138"/>
    </row>
    <row r="607" spans="1:67" x14ac:dyDescent="0.2">
      <c r="A607" s="177"/>
      <c r="B607" s="178"/>
      <c r="C607" s="179"/>
      <c r="D607" s="180"/>
      <c r="E607" s="180"/>
      <c r="F607" s="180"/>
      <c r="G607" s="180"/>
      <c r="H607" s="180"/>
      <c r="I607" s="188" t="s">
        <v>865</v>
      </c>
      <c r="J607" s="207" t="s">
        <v>636</v>
      </c>
      <c r="K607" s="324">
        <f>350150*5%</f>
        <v>17507.5</v>
      </c>
      <c r="L607" s="184"/>
      <c r="M607" s="185"/>
      <c r="AV607" s="138"/>
      <c r="AW607" s="138"/>
      <c r="AX607" s="138"/>
      <c r="AY607" s="138"/>
      <c r="AZ607" s="138"/>
      <c r="BA607" s="138"/>
      <c r="BB607" s="138"/>
      <c r="BC607" s="138"/>
      <c r="BD607" s="138"/>
      <c r="BE607" s="138"/>
      <c r="BF607" s="138"/>
      <c r="BG607" s="138"/>
      <c r="BH607" s="138"/>
      <c r="BI607" s="138"/>
      <c r="BJ607" s="138"/>
      <c r="BK607" s="138"/>
      <c r="BL607" s="138"/>
      <c r="BM607" s="138"/>
      <c r="BN607" s="138"/>
      <c r="BO607" s="138"/>
    </row>
    <row r="608" spans="1:67" x14ac:dyDescent="0.2">
      <c r="A608" s="189"/>
      <c r="B608" s="190"/>
      <c r="C608" s="191"/>
      <c r="D608" s="192"/>
      <c r="E608" s="192"/>
      <c r="F608" s="192"/>
      <c r="G608" s="192"/>
      <c r="H608" s="192"/>
      <c r="I608" s="203"/>
      <c r="J608" s="215"/>
      <c r="K608" s="347">
        <f>SUM(K604:K607)</f>
        <v>350150</v>
      </c>
      <c r="L608" s="196"/>
      <c r="M608" s="197"/>
      <c r="AV608" s="138"/>
      <c r="AW608" s="138"/>
      <c r="AX608" s="138"/>
      <c r="AY608" s="138"/>
      <c r="AZ608" s="138"/>
      <c r="BA608" s="138"/>
      <c r="BB608" s="138"/>
      <c r="BC608" s="138"/>
      <c r="BD608" s="138"/>
      <c r="BE608" s="138"/>
      <c r="BF608" s="138"/>
      <c r="BG608" s="138"/>
      <c r="BH608" s="138"/>
      <c r="BI608" s="138"/>
      <c r="BJ608" s="138"/>
      <c r="BK608" s="138"/>
      <c r="BL608" s="138"/>
      <c r="BM608" s="138"/>
      <c r="BN608" s="138"/>
      <c r="BO608" s="138"/>
    </row>
    <row r="609" spans="1:67" x14ac:dyDescent="0.2">
      <c r="A609" s="167">
        <v>149</v>
      </c>
      <c r="B609" s="168" t="s">
        <v>879</v>
      </c>
      <c r="C609" s="169"/>
      <c r="D609" s="170" t="s">
        <v>163</v>
      </c>
      <c r="E609" s="170"/>
      <c r="F609" s="170"/>
      <c r="G609" s="170"/>
      <c r="H609" s="170"/>
      <c r="I609" s="171" t="s">
        <v>880</v>
      </c>
      <c r="J609" s="223" t="s">
        <v>594</v>
      </c>
      <c r="K609" s="348">
        <f>110000*90%</f>
        <v>99000</v>
      </c>
      <c r="L609" s="174" t="s">
        <v>166</v>
      </c>
      <c r="M609" s="175" t="s">
        <v>881</v>
      </c>
      <c r="AV609" s="138"/>
      <c r="AW609" s="138"/>
      <c r="AX609" s="138"/>
      <c r="AY609" s="138"/>
      <c r="AZ609" s="138"/>
      <c r="BA609" s="138"/>
      <c r="BB609" s="138"/>
      <c r="BC609" s="138"/>
      <c r="BD609" s="138"/>
      <c r="BE609" s="138"/>
      <c r="BF609" s="138"/>
      <c r="BG609" s="138"/>
      <c r="BH609" s="138"/>
      <c r="BI609" s="138"/>
      <c r="BJ609" s="138"/>
      <c r="BK609" s="138"/>
      <c r="BL609" s="138"/>
      <c r="BM609" s="138"/>
      <c r="BN609" s="138"/>
      <c r="BO609" s="138"/>
    </row>
    <row r="610" spans="1:67" ht="48" x14ac:dyDescent="0.2">
      <c r="A610" s="177"/>
      <c r="B610" s="178"/>
      <c r="C610" s="179"/>
      <c r="D610" s="180"/>
      <c r="E610" s="180"/>
      <c r="F610" s="180"/>
      <c r="G610" s="180"/>
      <c r="H610" s="180"/>
      <c r="I610" s="188" t="s">
        <v>882</v>
      </c>
      <c r="J610" s="207" t="s">
        <v>594</v>
      </c>
      <c r="K610" s="346">
        <f>110000*10%</f>
        <v>11000</v>
      </c>
      <c r="L610" s="184"/>
      <c r="M610" s="185"/>
      <c r="AV610" s="138"/>
      <c r="AW610" s="138"/>
      <c r="AX610" s="138"/>
      <c r="AY610" s="138"/>
      <c r="AZ610" s="138"/>
      <c r="BA610" s="138"/>
      <c r="BB610" s="138"/>
      <c r="BC610" s="138"/>
      <c r="BD610" s="138"/>
      <c r="BE610" s="138"/>
      <c r="BF610" s="138"/>
      <c r="BG610" s="138"/>
      <c r="BH610" s="138"/>
      <c r="BI610" s="138"/>
      <c r="BJ610" s="138"/>
      <c r="BK610" s="138"/>
      <c r="BL610" s="138"/>
      <c r="BM610" s="138"/>
      <c r="BN610" s="138"/>
      <c r="BO610" s="138"/>
    </row>
    <row r="611" spans="1:67" x14ac:dyDescent="0.2">
      <c r="A611" s="189"/>
      <c r="B611" s="190"/>
      <c r="C611" s="191"/>
      <c r="D611" s="192"/>
      <c r="E611" s="192"/>
      <c r="F611" s="192"/>
      <c r="G611" s="192"/>
      <c r="H611" s="192"/>
      <c r="I611" s="193"/>
      <c r="J611" s="215"/>
      <c r="K611" s="350">
        <f>SUM(K609:K610)</f>
        <v>110000</v>
      </c>
      <c r="L611" s="196"/>
      <c r="M611" s="197"/>
      <c r="AV611" s="138"/>
      <c r="AW611" s="138"/>
      <c r="AX611" s="138"/>
      <c r="AY611" s="138"/>
      <c r="AZ611" s="138"/>
      <c r="BA611" s="138"/>
      <c r="BB611" s="138"/>
      <c r="BC611" s="138"/>
      <c r="BD611" s="138"/>
      <c r="BE611" s="138"/>
      <c r="BF611" s="138"/>
      <c r="BG611" s="138"/>
      <c r="BH611" s="138"/>
      <c r="BI611" s="138"/>
      <c r="BJ611" s="138"/>
      <c r="BK611" s="138"/>
      <c r="BL611" s="138"/>
      <c r="BM611" s="138"/>
      <c r="BN611" s="138"/>
      <c r="BO611" s="138"/>
    </row>
    <row r="612" spans="1:67" x14ac:dyDescent="0.2">
      <c r="A612" s="167">
        <v>150</v>
      </c>
      <c r="B612" s="168" t="s">
        <v>883</v>
      </c>
      <c r="C612" s="169"/>
      <c r="D612" s="170" t="s">
        <v>163</v>
      </c>
      <c r="E612" s="170"/>
      <c r="F612" s="170"/>
      <c r="G612" s="170"/>
      <c r="H612" s="170"/>
      <c r="I612" s="217" t="s">
        <v>884</v>
      </c>
      <c r="J612" s="172" t="s">
        <v>594</v>
      </c>
      <c r="K612" s="345">
        <f>190000*55%</f>
        <v>104500.00000000001</v>
      </c>
      <c r="L612" s="174" t="s">
        <v>166</v>
      </c>
      <c r="M612" s="175" t="s">
        <v>885</v>
      </c>
      <c r="AV612" s="138"/>
      <c r="AW612" s="138"/>
      <c r="AX612" s="138"/>
      <c r="AY612" s="138"/>
      <c r="AZ612" s="138"/>
      <c r="BA612" s="138"/>
      <c r="BB612" s="138"/>
      <c r="BC612" s="138"/>
      <c r="BD612" s="138"/>
      <c r="BE612" s="138"/>
      <c r="BF612" s="138"/>
      <c r="BG612" s="138"/>
      <c r="BH612" s="138"/>
      <c r="BI612" s="138"/>
      <c r="BJ612" s="138"/>
      <c r="BK612" s="138"/>
      <c r="BL612" s="138"/>
      <c r="BM612" s="138"/>
      <c r="BN612" s="138"/>
      <c r="BO612" s="138"/>
    </row>
    <row r="613" spans="1:67" ht="48" x14ac:dyDescent="0.2">
      <c r="A613" s="177"/>
      <c r="B613" s="178"/>
      <c r="C613" s="179"/>
      <c r="D613" s="180"/>
      <c r="E613" s="180"/>
      <c r="F613" s="180"/>
      <c r="G613" s="180"/>
      <c r="H613" s="180"/>
      <c r="I613" s="188" t="s">
        <v>886</v>
      </c>
      <c r="J613" s="226" t="s">
        <v>594</v>
      </c>
      <c r="K613" s="346">
        <f>190000*15%</f>
        <v>28500</v>
      </c>
      <c r="L613" s="184"/>
      <c r="M613" s="185"/>
      <c r="AV613" s="138"/>
      <c r="AW613" s="138"/>
      <c r="AX613" s="138"/>
      <c r="AY613" s="138"/>
      <c r="AZ613" s="138"/>
      <c r="BA613" s="138"/>
      <c r="BB613" s="138"/>
      <c r="BC613" s="138"/>
      <c r="BD613" s="138"/>
      <c r="BE613" s="138"/>
      <c r="BF613" s="138"/>
      <c r="BG613" s="138"/>
      <c r="BH613" s="138"/>
      <c r="BI613" s="138"/>
      <c r="BJ613" s="138"/>
      <c r="BK613" s="138"/>
      <c r="BL613" s="138"/>
      <c r="BM613" s="138"/>
      <c r="BN613" s="138"/>
      <c r="BO613" s="138"/>
    </row>
    <row r="614" spans="1:67" x14ac:dyDescent="0.2">
      <c r="A614" s="177"/>
      <c r="B614" s="178"/>
      <c r="C614" s="179"/>
      <c r="D614" s="180"/>
      <c r="E614" s="180"/>
      <c r="F614" s="180"/>
      <c r="G614" s="180"/>
      <c r="H614" s="180"/>
      <c r="I614" s="171" t="s">
        <v>887</v>
      </c>
      <c r="J614" s="207" t="s">
        <v>594</v>
      </c>
      <c r="K614" s="346">
        <f>190000*15%</f>
        <v>28500</v>
      </c>
      <c r="L614" s="184"/>
      <c r="M614" s="185"/>
      <c r="AV614" s="138"/>
      <c r="AW614" s="138"/>
      <c r="AX614" s="138"/>
      <c r="AY614" s="138"/>
      <c r="AZ614" s="138"/>
      <c r="BA614" s="138"/>
      <c r="BB614" s="138"/>
      <c r="BC614" s="138"/>
      <c r="BD614" s="138"/>
      <c r="BE614" s="138"/>
      <c r="BF614" s="138"/>
      <c r="BG614" s="138"/>
      <c r="BH614" s="138"/>
      <c r="BI614" s="138"/>
      <c r="BJ614" s="138"/>
      <c r="BK614" s="138"/>
      <c r="BL614" s="138"/>
      <c r="BM614" s="138"/>
      <c r="BN614" s="138"/>
      <c r="BO614" s="138"/>
    </row>
    <row r="615" spans="1:67" x14ac:dyDescent="0.2">
      <c r="A615" s="177"/>
      <c r="B615" s="178"/>
      <c r="C615" s="179"/>
      <c r="D615" s="180"/>
      <c r="E615" s="180"/>
      <c r="F615" s="180"/>
      <c r="G615" s="180"/>
      <c r="H615" s="180"/>
      <c r="I615" s="181" t="s">
        <v>888</v>
      </c>
      <c r="J615" s="207" t="s">
        <v>594</v>
      </c>
      <c r="K615" s="324">
        <f>190000*15%</f>
        <v>28500</v>
      </c>
      <c r="L615" s="184"/>
      <c r="M615" s="185"/>
      <c r="AV615" s="138"/>
      <c r="AW615" s="138"/>
      <c r="AX615" s="138"/>
      <c r="AY615" s="138"/>
      <c r="AZ615" s="138"/>
      <c r="BA615" s="138"/>
      <c r="BB615" s="138"/>
      <c r="BC615" s="138"/>
      <c r="BD615" s="138"/>
      <c r="BE615" s="138"/>
      <c r="BF615" s="138"/>
      <c r="BG615" s="138"/>
      <c r="BH615" s="138"/>
      <c r="BI615" s="138"/>
      <c r="BJ615" s="138"/>
      <c r="BK615" s="138"/>
      <c r="BL615" s="138"/>
      <c r="BM615" s="138"/>
      <c r="BN615" s="138"/>
      <c r="BO615" s="138"/>
    </row>
    <row r="616" spans="1:67" x14ac:dyDescent="0.2">
      <c r="A616" s="189"/>
      <c r="B616" s="190"/>
      <c r="C616" s="191"/>
      <c r="D616" s="192"/>
      <c r="E616" s="192"/>
      <c r="F616" s="192"/>
      <c r="G616" s="192"/>
      <c r="H616" s="192"/>
      <c r="I616" s="203"/>
      <c r="J616" s="204"/>
      <c r="K616" s="347">
        <f>SUM(K612:K615)</f>
        <v>190000</v>
      </c>
      <c r="L616" s="196"/>
      <c r="M616" s="197"/>
      <c r="AV616" s="138"/>
      <c r="AW616" s="138"/>
      <c r="AX616" s="138"/>
      <c r="AY616" s="138"/>
      <c r="AZ616" s="138"/>
      <c r="BA616" s="138"/>
      <c r="BB616" s="138"/>
      <c r="BC616" s="138"/>
      <c r="BD616" s="138"/>
      <c r="BE616" s="138"/>
      <c r="BF616" s="138"/>
      <c r="BG616" s="138"/>
      <c r="BH616" s="138"/>
      <c r="BI616" s="138"/>
      <c r="BJ616" s="138"/>
      <c r="BK616" s="138"/>
      <c r="BL616" s="138"/>
      <c r="BM616" s="138"/>
      <c r="BN616" s="138"/>
      <c r="BO616" s="138"/>
    </row>
    <row r="617" spans="1:67" x14ac:dyDescent="0.2">
      <c r="A617" s="167">
        <v>151</v>
      </c>
      <c r="B617" s="168" t="s">
        <v>889</v>
      </c>
      <c r="C617" s="169"/>
      <c r="D617" s="170" t="s">
        <v>163</v>
      </c>
      <c r="E617" s="170"/>
      <c r="F617" s="170"/>
      <c r="G617" s="170"/>
      <c r="H617" s="170"/>
      <c r="I617" s="171" t="s">
        <v>890</v>
      </c>
      <c r="J617" s="172" t="s">
        <v>594</v>
      </c>
      <c r="K617" s="348">
        <f>190000*40%</f>
        <v>76000</v>
      </c>
      <c r="L617" s="174" t="s">
        <v>166</v>
      </c>
      <c r="M617" s="175" t="s">
        <v>891</v>
      </c>
      <c r="AV617" s="138"/>
      <c r="AW617" s="138"/>
      <c r="AX617" s="138"/>
      <c r="AY617" s="138"/>
      <c r="AZ617" s="138"/>
      <c r="BA617" s="138"/>
      <c r="BB617" s="138"/>
      <c r="BC617" s="138"/>
      <c r="BD617" s="138"/>
      <c r="BE617" s="138"/>
      <c r="BF617" s="138"/>
      <c r="BG617" s="138"/>
      <c r="BH617" s="138"/>
      <c r="BI617" s="138"/>
      <c r="BJ617" s="138"/>
      <c r="BK617" s="138"/>
      <c r="BL617" s="138"/>
      <c r="BM617" s="138"/>
      <c r="BN617" s="138"/>
      <c r="BO617" s="138"/>
    </row>
    <row r="618" spans="1:67" x14ac:dyDescent="0.2">
      <c r="A618" s="177"/>
      <c r="B618" s="178"/>
      <c r="C618" s="179"/>
      <c r="D618" s="180"/>
      <c r="E618" s="180"/>
      <c r="F618" s="180"/>
      <c r="G618" s="180"/>
      <c r="H618" s="180"/>
      <c r="I618" s="188" t="s">
        <v>892</v>
      </c>
      <c r="J618" s="226" t="s">
        <v>594</v>
      </c>
      <c r="K618" s="262">
        <f>190000*30%</f>
        <v>57000</v>
      </c>
      <c r="L618" s="184"/>
      <c r="M618" s="185"/>
      <c r="AV618" s="138"/>
      <c r="AW618" s="138"/>
      <c r="AX618" s="138"/>
      <c r="AY618" s="138"/>
      <c r="AZ618" s="138"/>
      <c r="BA618" s="138"/>
      <c r="BB618" s="138"/>
      <c r="BC618" s="138"/>
      <c r="BD618" s="138"/>
      <c r="BE618" s="138"/>
      <c r="BF618" s="138"/>
      <c r="BG618" s="138"/>
      <c r="BH618" s="138"/>
      <c r="BI618" s="138"/>
      <c r="BJ618" s="138"/>
      <c r="BK618" s="138"/>
      <c r="BL618" s="138"/>
      <c r="BM618" s="138"/>
      <c r="BN618" s="138"/>
      <c r="BO618" s="138"/>
    </row>
    <row r="619" spans="1:67" ht="48" x14ac:dyDescent="0.2">
      <c r="A619" s="177"/>
      <c r="B619" s="178"/>
      <c r="C619" s="179"/>
      <c r="D619" s="180"/>
      <c r="E619" s="180"/>
      <c r="F619" s="180"/>
      <c r="G619" s="180"/>
      <c r="H619" s="180"/>
      <c r="I619" s="181" t="s">
        <v>893</v>
      </c>
      <c r="J619" s="207" t="s">
        <v>594</v>
      </c>
      <c r="K619" s="262">
        <f>190000*10%</f>
        <v>19000</v>
      </c>
      <c r="L619" s="184"/>
      <c r="M619" s="185"/>
      <c r="AV619" s="138"/>
      <c r="AW619" s="138"/>
      <c r="AX619" s="138"/>
      <c r="AY619" s="138"/>
      <c r="AZ619" s="138"/>
      <c r="BA619" s="138"/>
      <c r="BB619" s="138"/>
      <c r="BC619" s="138"/>
      <c r="BD619" s="138"/>
      <c r="BE619" s="138"/>
      <c r="BF619" s="138"/>
      <c r="BG619" s="138"/>
      <c r="BH619" s="138"/>
      <c r="BI619" s="138"/>
      <c r="BJ619" s="138"/>
      <c r="BK619" s="138"/>
      <c r="BL619" s="138"/>
      <c r="BM619" s="138"/>
      <c r="BN619" s="138"/>
      <c r="BO619" s="138"/>
    </row>
    <row r="620" spans="1:67" x14ac:dyDescent="0.2">
      <c r="A620" s="177"/>
      <c r="B620" s="178"/>
      <c r="C620" s="179"/>
      <c r="D620" s="180"/>
      <c r="E620" s="180"/>
      <c r="F620" s="180"/>
      <c r="G620" s="180"/>
      <c r="H620" s="180"/>
      <c r="I620" s="181" t="s">
        <v>894</v>
      </c>
      <c r="J620" s="172" t="s">
        <v>594</v>
      </c>
      <c r="K620" s="346">
        <f>190000*10%</f>
        <v>19000</v>
      </c>
      <c r="L620" s="184"/>
      <c r="M620" s="185"/>
      <c r="AV620" s="138"/>
      <c r="AW620" s="138"/>
      <c r="AX620" s="138"/>
      <c r="AY620" s="138"/>
      <c r="AZ620" s="138"/>
      <c r="BA620" s="138"/>
      <c r="BB620" s="138"/>
      <c r="BC620" s="138"/>
      <c r="BD620" s="138"/>
      <c r="BE620" s="138"/>
      <c r="BF620" s="138"/>
      <c r="BG620" s="138"/>
      <c r="BH620" s="138"/>
      <c r="BI620" s="138"/>
      <c r="BJ620" s="138"/>
      <c r="BK620" s="138"/>
      <c r="BL620" s="138"/>
      <c r="BM620" s="138"/>
      <c r="BN620" s="138"/>
      <c r="BO620" s="138"/>
    </row>
    <row r="621" spans="1:67" x14ac:dyDescent="0.2">
      <c r="A621" s="177"/>
      <c r="B621" s="178"/>
      <c r="C621" s="179"/>
      <c r="D621" s="180"/>
      <c r="E621" s="180"/>
      <c r="F621" s="180"/>
      <c r="G621" s="180"/>
      <c r="H621" s="180"/>
      <c r="I621" s="188" t="s">
        <v>895</v>
      </c>
      <c r="J621" s="207" t="s">
        <v>594</v>
      </c>
      <c r="K621" s="324">
        <f>190000*10%</f>
        <v>19000</v>
      </c>
      <c r="L621" s="184"/>
      <c r="M621" s="185"/>
      <c r="AV621" s="138"/>
      <c r="AW621" s="138"/>
      <c r="AX621" s="138"/>
      <c r="AY621" s="138"/>
      <c r="AZ621" s="138"/>
      <c r="BA621" s="138"/>
      <c r="BB621" s="138"/>
      <c r="BC621" s="138"/>
      <c r="BD621" s="138"/>
      <c r="BE621" s="138"/>
      <c r="BF621" s="138"/>
      <c r="BG621" s="138"/>
      <c r="BH621" s="138"/>
      <c r="BI621" s="138"/>
      <c r="BJ621" s="138"/>
      <c r="BK621" s="138"/>
      <c r="BL621" s="138"/>
      <c r="BM621" s="138"/>
      <c r="BN621" s="138"/>
      <c r="BO621" s="138"/>
    </row>
    <row r="622" spans="1:67" x14ac:dyDescent="0.2">
      <c r="A622" s="189"/>
      <c r="B622" s="190"/>
      <c r="C622" s="191"/>
      <c r="D622" s="192"/>
      <c r="E622" s="192"/>
      <c r="F622" s="192"/>
      <c r="G622" s="192"/>
      <c r="H622" s="192"/>
      <c r="I622" s="193"/>
      <c r="J622" s="215"/>
      <c r="K622" s="347">
        <f>SUM(K617:K621)</f>
        <v>190000</v>
      </c>
      <c r="L622" s="196"/>
      <c r="M622" s="197"/>
      <c r="AV622" s="138"/>
      <c r="AW622" s="138"/>
      <c r="AX622" s="138"/>
      <c r="AY622" s="138"/>
      <c r="AZ622" s="138"/>
      <c r="BA622" s="138"/>
      <c r="BB622" s="138"/>
      <c r="BC622" s="138"/>
      <c r="BD622" s="138"/>
      <c r="BE622" s="138"/>
      <c r="BF622" s="138"/>
      <c r="BG622" s="138"/>
      <c r="BH622" s="138"/>
      <c r="BI622" s="138"/>
      <c r="BJ622" s="138"/>
      <c r="BK622" s="138"/>
      <c r="BL622" s="138"/>
      <c r="BM622" s="138"/>
      <c r="BN622" s="138"/>
      <c r="BO622" s="138"/>
    </row>
    <row r="623" spans="1:67" x14ac:dyDescent="0.2">
      <c r="A623" s="167">
        <v>152</v>
      </c>
      <c r="B623" s="168" t="s">
        <v>896</v>
      </c>
      <c r="C623" s="169"/>
      <c r="D623" s="170" t="s">
        <v>163</v>
      </c>
      <c r="E623" s="170"/>
      <c r="F623" s="170"/>
      <c r="G623" s="170"/>
      <c r="H623" s="170"/>
      <c r="I623" s="217" t="s">
        <v>897</v>
      </c>
      <c r="J623" s="172" t="s">
        <v>594</v>
      </c>
      <c r="K623" s="348">
        <f>115585*40%</f>
        <v>46234</v>
      </c>
      <c r="L623" s="174" t="s">
        <v>166</v>
      </c>
      <c r="M623" s="175" t="s">
        <v>898</v>
      </c>
      <c r="AV623" s="138"/>
      <c r="AW623" s="138"/>
      <c r="AX623" s="138"/>
      <c r="AY623" s="138"/>
      <c r="AZ623" s="138"/>
      <c r="BA623" s="138"/>
      <c r="BB623" s="138"/>
      <c r="BC623" s="138"/>
      <c r="BD623" s="138"/>
      <c r="BE623" s="138"/>
      <c r="BF623" s="138"/>
      <c r="BG623" s="138"/>
      <c r="BH623" s="138"/>
      <c r="BI623" s="138"/>
      <c r="BJ623" s="138"/>
      <c r="BK623" s="138"/>
      <c r="BL623" s="138"/>
      <c r="BM623" s="138"/>
      <c r="BN623" s="138"/>
      <c r="BO623" s="138"/>
    </row>
    <row r="624" spans="1:67" x14ac:dyDescent="0.2">
      <c r="A624" s="177"/>
      <c r="B624" s="178"/>
      <c r="C624" s="179"/>
      <c r="D624" s="180"/>
      <c r="E624" s="180"/>
      <c r="F624" s="180"/>
      <c r="G624" s="180"/>
      <c r="H624" s="180"/>
      <c r="I624" s="171" t="s">
        <v>899</v>
      </c>
      <c r="J624" s="207" t="s">
        <v>900</v>
      </c>
      <c r="K624" s="262">
        <f>115585*40%</f>
        <v>46234</v>
      </c>
      <c r="L624" s="184"/>
      <c r="M624" s="185"/>
      <c r="N624" s="176"/>
      <c r="AV624" s="138"/>
      <c r="AW624" s="138"/>
      <c r="AX624" s="138"/>
      <c r="AY624" s="138"/>
      <c r="AZ624" s="138"/>
      <c r="BA624" s="138"/>
      <c r="BB624" s="138"/>
      <c r="BC624" s="138"/>
      <c r="BD624" s="138"/>
      <c r="BE624" s="138"/>
      <c r="BF624" s="138"/>
      <c r="BG624" s="138"/>
      <c r="BH624" s="138"/>
      <c r="BI624" s="138"/>
      <c r="BJ624" s="138"/>
      <c r="BK624" s="138"/>
      <c r="BL624" s="138"/>
      <c r="BM624" s="138"/>
      <c r="BN624" s="138"/>
      <c r="BO624" s="138"/>
    </row>
    <row r="625" spans="1:67" x14ac:dyDescent="0.2">
      <c r="A625" s="177"/>
      <c r="B625" s="178"/>
      <c r="C625" s="179"/>
      <c r="D625" s="180"/>
      <c r="E625" s="180"/>
      <c r="F625" s="180"/>
      <c r="G625" s="180"/>
      <c r="H625" s="180"/>
      <c r="I625" s="181" t="s">
        <v>901</v>
      </c>
      <c r="J625" s="172" t="s">
        <v>594</v>
      </c>
      <c r="K625" s="346">
        <f>115585*10%</f>
        <v>11558.5</v>
      </c>
      <c r="L625" s="184"/>
      <c r="M625" s="185"/>
      <c r="AV625" s="138"/>
      <c r="AW625" s="138"/>
      <c r="AX625" s="138"/>
      <c r="AY625" s="138"/>
      <c r="AZ625" s="138"/>
      <c r="BA625" s="138"/>
      <c r="BB625" s="138"/>
      <c r="BC625" s="138"/>
      <c r="BD625" s="138"/>
      <c r="BE625" s="138"/>
      <c r="BF625" s="138"/>
      <c r="BG625" s="138"/>
      <c r="BH625" s="138"/>
      <c r="BI625" s="138"/>
      <c r="BJ625" s="138"/>
      <c r="BK625" s="138"/>
      <c r="BL625" s="138"/>
      <c r="BM625" s="138"/>
      <c r="BN625" s="138"/>
      <c r="BO625" s="138"/>
    </row>
    <row r="626" spans="1:67" x14ac:dyDescent="0.2">
      <c r="A626" s="177"/>
      <c r="B626" s="178"/>
      <c r="C626" s="179"/>
      <c r="D626" s="180"/>
      <c r="E626" s="180"/>
      <c r="F626" s="180"/>
      <c r="G626" s="180"/>
      <c r="H626" s="180"/>
      <c r="I626" s="181" t="s">
        <v>902</v>
      </c>
      <c r="J626" s="207" t="s">
        <v>594</v>
      </c>
      <c r="K626" s="324">
        <f>115585*10%</f>
        <v>11558.5</v>
      </c>
      <c r="L626" s="184"/>
      <c r="M626" s="185"/>
      <c r="AV626" s="138"/>
      <c r="AW626" s="138"/>
      <c r="AX626" s="138"/>
      <c r="AY626" s="138"/>
      <c r="AZ626" s="138"/>
      <c r="BA626" s="138"/>
      <c r="BB626" s="138"/>
      <c r="BC626" s="138"/>
      <c r="BD626" s="138"/>
      <c r="BE626" s="138"/>
      <c r="BF626" s="138"/>
      <c r="BG626" s="138"/>
      <c r="BH626" s="138"/>
      <c r="BI626" s="138"/>
      <c r="BJ626" s="138"/>
      <c r="BK626" s="138"/>
      <c r="BL626" s="138"/>
      <c r="BM626" s="138"/>
      <c r="BN626" s="138"/>
      <c r="BO626" s="138"/>
    </row>
    <row r="627" spans="1:67" x14ac:dyDescent="0.2">
      <c r="A627" s="189"/>
      <c r="B627" s="190"/>
      <c r="C627" s="191"/>
      <c r="D627" s="192"/>
      <c r="E627" s="192"/>
      <c r="F627" s="192"/>
      <c r="G627" s="192"/>
      <c r="H627" s="192"/>
      <c r="I627" s="203"/>
      <c r="J627" s="204"/>
      <c r="K627" s="347">
        <f>SUM(K623:K626)</f>
        <v>115585</v>
      </c>
      <c r="L627" s="196"/>
      <c r="M627" s="197"/>
      <c r="AV627" s="138"/>
      <c r="AW627" s="138"/>
      <c r="AX627" s="138"/>
      <c r="AY627" s="138"/>
      <c r="AZ627" s="138"/>
      <c r="BA627" s="138"/>
      <c r="BB627" s="138"/>
      <c r="BC627" s="138"/>
      <c r="BD627" s="138"/>
      <c r="BE627" s="138"/>
      <c r="BF627" s="138"/>
      <c r="BG627" s="138"/>
      <c r="BH627" s="138"/>
      <c r="BI627" s="138"/>
      <c r="BJ627" s="138"/>
      <c r="BK627" s="138"/>
      <c r="BL627" s="138"/>
      <c r="BM627" s="138"/>
      <c r="BN627" s="138"/>
      <c r="BO627" s="138"/>
    </row>
    <row r="628" spans="1:67" x14ac:dyDescent="0.2">
      <c r="A628" s="167">
        <v>153</v>
      </c>
      <c r="B628" s="168" t="s">
        <v>903</v>
      </c>
      <c r="C628" s="169"/>
      <c r="D628" s="170" t="s">
        <v>163</v>
      </c>
      <c r="E628" s="170"/>
      <c r="F628" s="170"/>
      <c r="G628" s="170"/>
      <c r="H628" s="170"/>
      <c r="I628" s="171" t="s">
        <v>904</v>
      </c>
      <c r="J628" s="172" t="s">
        <v>594</v>
      </c>
      <c r="K628" s="345">
        <f>258549*95%</f>
        <v>245621.55</v>
      </c>
      <c r="L628" s="174" t="s">
        <v>166</v>
      </c>
      <c r="M628" s="175" t="s">
        <v>905</v>
      </c>
      <c r="AV628" s="138"/>
      <c r="AW628" s="138"/>
      <c r="AX628" s="138"/>
      <c r="AY628" s="138"/>
      <c r="AZ628" s="138"/>
      <c r="BA628" s="138"/>
      <c r="BB628" s="138"/>
      <c r="BC628" s="138"/>
      <c r="BD628" s="138"/>
      <c r="BE628" s="138"/>
      <c r="BF628" s="138"/>
      <c r="BG628" s="138"/>
      <c r="BH628" s="138"/>
      <c r="BI628" s="138"/>
      <c r="BJ628" s="138"/>
      <c r="BK628" s="138"/>
      <c r="BL628" s="138"/>
      <c r="BM628" s="138"/>
      <c r="BN628" s="138"/>
      <c r="BO628" s="138"/>
    </row>
    <row r="629" spans="1:67" ht="48" x14ac:dyDescent="0.2">
      <c r="A629" s="177"/>
      <c r="B629" s="178"/>
      <c r="C629" s="179"/>
      <c r="D629" s="180"/>
      <c r="E629" s="180"/>
      <c r="F629" s="180"/>
      <c r="G629" s="180"/>
      <c r="H629" s="180"/>
      <c r="I629" s="181" t="s">
        <v>906</v>
      </c>
      <c r="J629" s="207" t="s">
        <v>594</v>
      </c>
      <c r="K629" s="324">
        <f>258549*5%</f>
        <v>12927.45</v>
      </c>
      <c r="L629" s="184"/>
      <c r="M629" s="185"/>
      <c r="AV629" s="138"/>
      <c r="AW629" s="138"/>
      <c r="AX629" s="138"/>
      <c r="AY629" s="138"/>
      <c r="AZ629" s="138"/>
      <c r="BA629" s="138"/>
      <c r="BB629" s="138"/>
      <c r="BC629" s="138"/>
      <c r="BD629" s="138"/>
      <c r="BE629" s="138"/>
      <c r="BF629" s="138"/>
      <c r="BG629" s="138"/>
      <c r="BH629" s="138"/>
      <c r="BI629" s="138"/>
      <c r="BJ629" s="138"/>
      <c r="BK629" s="138"/>
      <c r="BL629" s="138"/>
      <c r="BM629" s="138"/>
      <c r="BN629" s="138"/>
      <c r="BO629" s="138"/>
    </row>
    <row r="630" spans="1:67" x14ac:dyDescent="0.2">
      <c r="A630" s="189"/>
      <c r="B630" s="190"/>
      <c r="C630" s="191"/>
      <c r="D630" s="192"/>
      <c r="E630" s="192"/>
      <c r="F630" s="192"/>
      <c r="G630" s="192"/>
      <c r="H630" s="192"/>
      <c r="I630" s="203"/>
      <c r="J630" s="215"/>
      <c r="K630" s="347">
        <f>SUM(K628:K629)</f>
        <v>258549</v>
      </c>
      <c r="L630" s="196"/>
      <c r="M630" s="197"/>
      <c r="AV630" s="138"/>
      <c r="AW630" s="138"/>
      <c r="AX630" s="138"/>
      <c r="AY630" s="138"/>
      <c r="AZ630" s="138"/>
      <c r="BA630" s="138"/>
      <c r="BB630" s="138"/>
      <c r="BC630" s="138"/>
      <c r="BD630" s="138"/>
      <c r="BE630" s="138"/>
      <c r="BF630" s="138"/>
      <c r="BG630" s="138"/>
      <c r="BH630" s="138"/>
      <c r="BI630" s="138"/>
      <c r="BJ630" s="138"/>
      <c r="BK630" s="138"/>
      <c r="BL630" s="138"/>
      <c r="BM630" s="138"/>
      <c r="BN630" s="138"/>
      <c r="BO630" s="138"/>
    </row>
    <row r="631" spans="1:67" ht="66.75" customHeight="1" x14ac:dyDescent="0.2">
      <c r="A631" s="292">
        <v>154</v>
      </c>
      <c r="B631" s="168" t="s">
        <v>907</v>
      </c>
      <c r="C631" s="169"/>
      <c r="D631" s="295" t="s">
        <v>163</v>
      </c>
      <c r="E631" s="295"/>
      <c r="F631" s="295"/>
      <c r="G631" s="295"/>
      <c r="H631" s="295"/>
      <c r="I631" s="280" t="s">
        <v>908</v>
      </c>
      <c r="J631" s="223" t="s">
        <v>594</v>
      </c>
      <c r="K631" s="345">
        <f>12000*100%</f>
        <v>12000</v>
      </c>
      <c r="L631" s="297" t="s">
        <v>166</v>
      </c>
      <c r="M631" s="259" t="s">
        <v>909</v>
      </c>
      <c r="AV631" s="138"/>
      <c r="AW631" s="138"/>
      <c r="AX631" s="138"/>
      <c r="AY631" s="138"/>
      <c r="AZ631" s="138"/>
      <c r="BA631" s="138"/>
      <c r="BB631" s="138"/>
      <c r="BC631" s="138"/>
      <c r="BD631" s="138"/>
      <c r="BE631" s="138"/>
      <c r="BF631" s="138"/>
      <c r="BG631" s="138"/>
      <c r="BH631" s="138"/>
      <c r="BI631" s="138"/>
      <c r="BJ631" s="138"/>
      <c r="BK631" s="138"/>
      <c r="BL631" s="138"/>
      <c r="BM631" s="138"/>
      <c r="BN631" s="138"/>
      <c r="BO631" s="138"/>
    </row>
    <row r="632" spans="1:67" x14ac:dyDescent="0.2">
      <c r="A632" s="167">
        <v>155</v>
      </c>
      <c r="B632" s="168" t="s">
        <v>910</v>
      </c>
      <c r="C632" s="169"/>
      <c r="D632" s="170" t="s">
        <v>163</v>
      </c>
      <c r="E632" s="170"/>
      <c r="F632" s="170"/>
      <c r="G632" s="170"/>
      <c r="H632" s="170"/>
      <c r="I632" s="171" t="s">
        <v>911</v>
      </c>
      <c r="J632" s="223" t="s">
        <v>594</v>
      </c>
      <c r="K632" s="348">
        <f>100000*35%</f>
        <v>35000</v>
      </c>
      <c r="L632" s="174" t="s">
        <v>166</v>
      </c>
      <c r="M632" s="175" t="s">
        <v>912</v>
      </c>
      <c r="AV632" s="138"/>
      <c r="AW632" s="138"/>
      <c r="AX632" s="138"/>
      <c r="AY632" s="138"/>
      <c r="AZ632" s="138"/>
      <c r="BA632" s="138"/>
      <c r="BB632" s="138"/>
      <c r="BC632" s="138"/>
      <c r="BD632" s="138"/>
      <c r="BE632" s="138"/>
      <c r="BF632" s="138"/>
      <c r="BG632" s="138"/>
      <c r="BH632" s="138"/>
      <c r="BI632" s="138"/>
      <c r="BJ632" s="138"/>
      <c r="BK632" s="138"/>
      <c r="BL632" s="138"/>
      <c r="BM632" s="138"/>
      <c r="BN632" s="138"/>
      <c r="BO632" s="138"/>
    </row>
    <row r="633" spans="1:67" x14ac:dyDescent="0.2">
      <c r="A633" s="177"/>
      <c r="B633" s="178"/>
      <c r="C633" s="179"/>
      <c r="D633" s="180"/>
      <c r="E633" s="180"/>
      <c r="F633" s="180"/>
      <c r="G633" s="180"/>
      <c r="H633" s="180"/>
      <c r="I633" s="181" t="s">
        <v>913</v>
      </c>
      <c r="J633" s="247" t="s">
        <v>594</v>
      </c>
      <c r="K633" s="346">
        <f>100000*35%</f>
        <v>35000</v>
      </c>
      <c r="L633" s="184"/>
      <c r="M633" s="185"/>
      <c r="AV633" s="138"/>
      <c r="AW633" s="138"/>
      <c r="AX633" s="138"/>
      <c r="AY633" s="138"/>
      <c r="AZ633" s="138"/>
      <c r="BA633" s="138"/>
      <c r="BB633" s="138"/>
      <c r="BC633" s="138"/>
      <c r="BD633" s="138"/>
      <c r="BE633" s="138"/>
      <c r="BF633" s="138"/>
      <c r="BG633" s="138"/>
      <c r="BH633" s="138"/>
      <c r="BI633" s="138"/>
      <c r="BJ633" s="138"/>
      <c r="BK633" s="138"/>
      <c r="BL633" s="138"/>
      <c r="BM633" s="138"/>
      <c r="BN633" s="138"/>
      <c r="BO633" s="138"/>
    </row>
    <row r="634" spans="1:67" ht="48" x14ac:dyDescent="0.2">
      <c r="A634" s="177"/>
      <c r="B634" s="178"/>
      <c r="C634" s="179"/>
      <c r="D634" s="180"/>
      <c r="E634" s="180"/>
      <c r="F634" s="180"/>
      <c r="G634" s="180"/>
      <c r="H634" s="180"/>
      <c r="I634" s="181" t="s">
        <v>914</v>
      </c>
      <c r="J634" s="247" t="s">
        <v>594</v>
      </c>
      <c r="K634" s="324">
        <f>100000*10%</f>
        <v>10000</v>
      </c>
      <c r="L634" s="184"/>
      <c r="M634" s="185"/>
      <c r="AV634" s="138"/>
      <c r="AW634" s="138"/>
      <c r="AX634" s="138"/>
      <c r="AY634" s="138"/>
      <c r="AZ634" s="138"/>
      <c r="BA634" s="138"/>
      <c r="BB634" s="138"/>
      <c r="BC634" s="138"/>
      <c r="BD634" s="138"/>
      <c r="BE634" s="138"/>
      <c r="BF634" s="138"/>
      <c r="BG634" s="138"/>
      <c r="BH634" s="138"/>
      <c r="BI634" s="138"/>
      <c r="BJ634" s="138"/>
      <c r="BK634" s="138"/>
      <c r="BL634" s="138"/>
      <c r="BM634" s="138"/>
      <c r="BN634" s="138"/>
      <c r="BO634" s="138"/>
    </row>
    <row r="635" spans="1:67" x14ac:dyDescent="0.2">
      <c r="A635" s="177"/>
      <c r="B635" s="178"/>
      <c r="C635" s="179"/>
      <c r="D635" s="180"/>
      <c r="E635" s="180"/>
      <c r="F635" s="180"/>
      <c r="G635" s="180"/>
      <c r="H635" s="180"/>
      <c r="I635" s="188" t="s">
        <v>915</v>
      </c>
      <c r="J635" s="247" t="s">
        <v>594</v>
      </c>
      <c r="K635" s="346">
        <f>100000*10%</f>
        <v>10000</v>
      </c>
      <c r="L635" s="184"/>
      <c r="M635" s="185"/>
      <c r="AV635" s="138"/>
      <c r="AW635" s="138"/>
      <c r="AX635" s="138"/>
      <c r="AY635" s="138"/>
      <c r="AZ635" s="138"/>
      <c r="BA635" s="138"/>
      <c r="BB635" s="138"/>
      <c r="BC635" s="138"/>
      <c r="BD635" s="138"/>
      <c r="BE635" s="138"/>
      <c r="BF635" s="138"/>
      <c r="BG635" s="138"/>
      <c r="BH635" s="138"/>
      <c r="BI635" s="138"/>
      <c r="BJ635" s="138"/>
      <c r="BK635" s="138"/>
      <c r="BL635" s="138"/>
      <c r="BM635" s="138"/>
      <c r="BN635" s="138"/>
      <c r="BO635" s="138"/>
    </row>
    <row r="636" spans="1:67" x14ac:dyDescent="0.2">
      <c r="A636" s="177"/>
      <c r="B636" s="178"/>
      <c r="C636" s="179"/>
      <c r="D636" s="180"/>
      <c r="E636" s="180"/>
      <c r="F636" s="180"/>
      <c r="G636" s="180"/>
      <c r="H636" s="180"/>
      <c r="I636" s="188" t="s">
        <v>916</v>
      </c>
      <c r="J636" s="247" t="s">
        <v>594</v>
      </c>
      <c r="K636" s="346">
        <f>100000*10%</f>
        <v>10000</v>
      </c>
      <c r="L636" s="184"/>
      <c r="M636" s="185"/>
      <c r="AV636" s="138"/>
      <c r="AW636" s="138"/>
      <c r="AX636" s="138"/>
      <c r="AY636" s="138"/>
      <c r="AZ636" s="138"/>
      <c r="BA636" s="138"/>
      <c r="BB636" s="138"/>
      <c r="BC636" s="138"/>
      <c r="BD636" s="138"/>
      <c r="BE636" s="138"/>
      <c r="BF636" s="138"/>
      <c r="BG636" s="138"/>
      <c r="BH636" s="138"/>
      <c r="BI636" s="138"/>
      <c r="BJ636" s="138"/>
      <c r="BK636" s="138"/>
      <c r="BL636" s="138"/>
      <c r="BM636" s="138"/>
      <c r="BN636" s="138"/>
      <c r="BO636" s="138"/>
    </row>
    <row r="637" spans="1:67" x14ac:dyDescent="0.2">
      <c r="A637" s="189"/>
      <c r="B637" s="190"/>
      <c r="C637" s="191"/>
      <c r="D637" s="192"/>
      <c r="E637" s="192"/>
      <c r="F637" s="192"/>
      <c r="G637" s="192"/>
      <c r="H637" s="192"/>
      <c r="I637" s="193"/>
      <c r="J637" s="215"/>
      <c r="K637" s="350">
        <f>SUM(K632:K636)</f>
        <v>100000</v>
      </c>
      <c r="L637" s="196"/>
      <c r="M637" s="197"/>
      <c r="AV637" s="138"/>
      <c r="AW637" s="138"/>
      <c r="AX637" s="138"/>
      <c r="AY637" s="138"/>
      <c r="AZ637" s="138"/>
      <c r="BA637" s="138"/>
      <c r="BB637" s="138"/>
      <c r="BC637" s="138"/>
      <c r="BD637" s="138"/>
      <c r="BE637" s="138"/>
      <c r="BF637" s="138"/>
      <c r="BG637" s="138"/>
      <c r="BH637" s="138"/>
      <c r="BI637" s="138"/>
      <c r="BJ637" s="138"/>
      <c r="BK637" s="138"/>
      <c r="BL637" s="138"/>
      <c r="BM637" s="138"/>
      <c r="BN637" s="138"/>
      <c r="BO637" s="138"/>
    </row>
    <row r="638" spans="1:67" ht="48" x14ac:dyDescent="0.2">
      <c r="A638" s="167">
        <v>156</v>
      </c>
      <c r="B638" s="168" t="s">
        <v>917</v>
      </c>
      <c r="C638" s="169"/>
      <c r="D638" s="170" t="s">
        <v>163</v>
      </c>
      <c r="E638" s="170"/>
      <c r="F638" s="170"/>
      <c r="G638" s="170"/>
      <c r="H638" s="170"/>
      <c r="I638" s="171" t="s">
        <v>918</v>
      </c>
      <c r="J638" s="172" t="s">
        <v>594</v>
      </c>
      <c r="K638" s="345">
        <f>100000*60%</f>
        <v>60000</v>
      </c>
      <c r="L638" s="174" t="s">
        <v>166</v>
      </c>
      <c r="M638" s="175" t="s">
        <v>919</v>
      </c>
      <c r="AV638" s="138"/>
      <c r="AW638" s="138"/>
      <c r="AX638" s="138"/>
      <c r="AY638" s="138"/>
      <c r="AZ638" s="138"/>
      <c r="BA638" s="138"/>
      <c r="BB638" s="138"/>
      <c r="BC638" s="138"/>
      <c r="BD638" s="138"/>
      <c r="BE638" s="138"/>
      <c r="BF638" s="138"/>
      <c r="BG638" s="138"/>
      <c r="BH638" s="138"/>
      <c r="BI638" s="138"/>
      <c r="BJ638" s="138"/>
      <c r="BK638" s="138"/>
      <c r="BL638" s="138"/>
      <c r="BM638" s="138"/>
      <c r="BN638" s="138"/>
      <c r="BO638" s="138"/>
    </row>
    <row r="639" spans="1:67" x14ac:dyDescent="0.2">
      <c r="A639" s="177"/>
      <c r="B639" s="178"/>
      <c r="C639" s="179"/>
      <c r="D639" s="180"/>
      <c r="E639" s="180"/>
      <c r="F639" s="180"/>
      <c r="G639" s="180"/>
      <c r="H639" s="180"/>
      <c r="I639" s="188" t="s">
        <v>920</v>
      </c>
      <c r="J639" s="207" t="s">
        <v>594</v>
      </c>
      <c r="K639" s="346">
        <f>100000*20%</f>
        <v>20000</v>
      </c>
      <c r="L639" s="184"/>
      <c r="M639" s="185"/>
      <c r="AV639" s="138"/>
      <c r="AW639" s="138"/>
      <c r="AX639" s="138"/>
      <c r="AY639" s="138"/>
      <c r="AZ639" s="138"/>
      <c r="BA639" s="138"/>
      <c r="BB639" s="138"/>
      <c r="BC639" s="138"/>
      <c r="BD639" s="138"/>
      <c r="BE639" s="138"/>
      <c r="BF639" s="138"/>
      <c r="BG639" s="138"/>
      <c r="BH639" s="138"/>
      <c r="BI639" s="138"/>
      <c r="BJ639" s="138"/>
      <c r="BK639" s="138"/>
      <c r="BL639" s="138"/>
      <c r="BM639" s="138"/>
      <c r="BN639" s="138"/>
      <c r="BO639" s="138"/>
    </row>
    <row r="640" spans="1:67" x14ac:dyDescent="0.2">
      <c r="A640" s="177"/>
      <c r="B640" s="178"/>
      <c r="C640" s="179"/>
      <c r="D640" s="180"/>
      <c r="E640" s="180"/>
      <c r="F640" s="180"/>
      <c r="G640" s="180"/>
      <c r="H640" s="180"/>
      <c r="I640" s="188" t="s">
        <v>915</v>
      </c>
      <c r="J640" s="247" t="s">
        <v>594</v>
      </c>
      <c r="K640" s="346">
        <f>100000*10%</f>
        <v>10000</v>
      </c>
      <c r="L640" s="184"/>
      <c r="M640" s="185"/>
      <c r="AV640" s="138"/>
      <c r="AW640" s="138"/>
      <c r="AX640" s="138"/>
      <c r="AY640" s="138"/>
      <c r="AZ640" s="138"/>
      <c r="BA640" s="138"/>
      <c r="BB640" s="138"/>
      <c r="BC640" s="138"/>
      <c r="BD640" s="138"/>
      <c r="BE640" s="138"/>
      <c r="BF640" s="138"/>
      <c r="BG640" s="138"/>
      <c r="BH640" s="138"/>
      <c r="BI640" s="138"/>
      <c r="BJ640" s="138"/>
      <c r="BK640" s="138"/>
      <c r="BL640" s="138"/>
      <c r="BM640" s="138"/>
      <c r="BN640" s="138"/>
      <c r="BO640" s="138"/>
    </row>
    <row r="641" spans="1:67" x14ac:dyDescent="0.2">
      <c r="A641" s="177"/>
      <c r="B641" s="178"/>
      <c r="C641" s="179"/>
      <c r="D641" s="180"/>
      <c r="E641" s="180"/>
      <c r="F641" s="180"/>
      <c r="G641" s="180"/>
      <c r="H641" s="180"/>
      <c r="I641" s="171" t="s">
        <v>921</v>
      </c>
      <c r="J641" s="207" t="s">
        <v>594</v>
      </c>
      <c r="K641" s="346">
        <f>100000*10%</f>
        <v>10000</v>
      </c>
      <c r="L641" s="184"/>
      <c r="M641" s="185"/>
      <c r="AV641" s="138"/>
      <c r="AW641" s="138"/>
      <c r="AX641" s="138"/>
      <c r="AY641" s="138"/>
      <c r="AZ641" s="138"/>
      <c r="BA641" s="138"/>
      <c r="BB641" s="138"/>
      <c r="BC641" s="138"/>
      <c r="BD641" s="138"/>
      <c r="BE641" s="138"/>
      <c r="BF641" s="138"/>
      <c r="BG641" s="138"/>
      <c r="BH641" s="138"/>
      <c r="BI641" s="138"/>
      <c r="BJ641" s="138"/>
      <c r="BK641" s="138"/>
      <c r="BL641" s="138"/>
      <c r="BM641" s="138"/>
      <c r="BN641" s="138"/>
      <c r="BO641" s="138"/>
    </row>
    <row r="642" spans="1:67" x14ac:dyDescent="0.2">
      <c r="A642" s="189"/>
      <c r="B642" s="190"/>
      <c r="C642" s="191"/>
      <c r="D642" s="192"/>
      <c r="E642" s="192"/>
      <c r="F642" s="192"/>
      <c r="G642" s="192"/>
      <c r="H642" s="192"/>
      <c r="I642" s="181"/>
      <c r="J642" s="172"/>
      <c r="K642" s="324">
        <f>SUM(K638:K641)</f>
        <v>100000</v>
      </c>
      <c r="L642" s="196"/>
      <c r="M642" s="197"/>
      <c r="AV642" s="138"/>
      <c r="AW642" s="138"/>
      <c r="AX642" s="138"/>
      <c r="AY642" s="138"/>
      <c r="AZ642" s="138"/>
      <c r="BA642" s="138"/>
      <c r="BB642" s="138"/>
      <c r="BC642" s="138"/>
      <c r="BD642" s="138"/>
      <c r="BE642" s="138"/>
      <c r="BF642" s="138"/>
      <c r="BG642" s="138"/>
      <c r="BH642" s="138"/>
      <c r="BI642" s="138"/>
      <c r="BJ642" s="138"/>
      <c r="BK642" s="138"/>
      <c r="BL642" s="138"/>
      <c r="BM642" s="138"/>
      <c r="BN642" s="138"/>
      <c r="BO642" s="138"/>
    </row>
    <row r="643" spans="1:67" x14ac:dyDescent="0.2">
      <c r="A643" s="167">
        <v>157</v>
      </c>
      <c r="B643" s="168" t="s">
        <v>922</v>
      </c>
      <c r="C643" s="169"/>
      <c r="D643" s="170" t="s">
        <v>163</v>
      </c>
      <c r="E643" s="170"/>
      <c r="F643" s="170"/>
      <c r="G643" s="170"/>
      <c r="H643" s="170"/>
      <c r="I643" s="296" t="s">
        <v>920</v>
      </c>
      <c r="J643" s="223" t="s">
        <v>594</v>
      </c>
      <c r="K643" s="342">
        <f>100000*20%</f>
        <v>20000</v>
      </c>
      <c r="L643" s="169" t="s">
        <v>166</v>
      </c>
      <c r="M643" s="175" t="s">
        <v>923</v>
      </c>
      <c r="AV643" s="138"/>
      <c r="AW643" s="138"/>
      <c r="AX643" s="138"/>
      <c r="AY643" s="138"/>
      <c r="AZ643" s="138"/>
      <c r="BA643" s="138"/>
      <c r="BB643" s="138"/>
      <c r="BC643" s="138"/>
      <c r="BD643" s="138"/>
      <c r="BE643" s="138"/>
      <c r="BF643" s="138"/>
      <c r="BG643" s="138"/>
      <c r="BH643" s="138"/>
      <c r="BI643" s="138"/>
      <c r="BJ643" s="138"/>
      <c r="BK643" s="138"/>
      <c r="BL643" s="138"/>
      <c r="BM643" s="138"/>
      <c r="BN643" s="138"/>
      <c r="BO643" s="138"/>
    </row>
    <row r="644" spans="1:67" x14ac:dyDescent="0.2">
      <c r="A644" s="177"/>
      <c r="B644" s="178"/>
      <c r="C644" s="179"/>
      <c r="D644" s="180"/>
      <c r="E644" s="180"/>
      <c r="F644" s="180"/>
      <c r="G644" s="180"/>
      <c r="H644" s="180"/>
      <c r="I644" s="188" t="s">
        <v>924</v>
      </c>
      <c r="J644" s="207" t="s">
        <v>594</v>
      </c>
      <c r="K644" s="343">
        <f>100000*20%</f>
        <v>20000</v>
      </c>
      <c r="L644" s="179"/>
      <c r="M644" s="185"/>
      <c r="AV644" s="138"/>
      <c r="AW644" s="138"/>
      <c r="AX644" s="138"/>
      <c r="AY644" s="138"/>
      <c r="AZ644" s="138"/>
      <c r="BA644" s="138"/>
      <c r="BB644" s="138"/>
      <c r="BC644" s="138"/>
      <c r="BD644" s="138"/>
      <c r="BE644" s="138"/>
      <c r="BF644" s="138"/>
      <c r="BG644" s="138"/>
      <c r="BH644" s="138"/>
      <c r="BI644" s="138"/>
      <c r="BJ644" s="138"/>
      <c r="BK644" s="138"/>
      <c r="BL644" s="138"/>
      <c r="BM644" s="138"/>
      <c r="BN644" s="138"/>
      <c r="BO644" s="138"/>
    </row>
    <row r="645" spans="1:67" ht="48" x14ac:dyDescent="0.2">
      <c r="A645" s="177"/>
      <c r="B645" s="178"/>
      <c r="C645" s="179"/>
      <c r="D645" s="180"/>
      <c r="E645" s="180"/>
      <c r="F645" s="180"/>
      <c r="G645" s="180"/>
      <c r="H645" s="180"/>
      <c r="I645" s="188" t="s">
        <v>925</v>
      </c>
      <c r="J645" s="172" t="s">
        <v>594</v>
      </c>
      <c r="K645" s="351">
        <f>100000*10%</f>
        <v>10000</v>
      </c>
      <c r="L645" s="179"/>
      <c r="M645" s="185"/>
      <c r="AV645" s="138"/>
      <c r="AW645" s="138"/>
      <c r="AX645" s="138"/>
      <c r="AY645" s="138"/>
      <c r="AZ645" s="138"/>
      <c r="BA645" s="138"/>
      <c r="BB645" s="138"/>
      <c r="BC645" s="138"/>
      <c r="BD645" s="138"/>
      <c r="BE645" s="138"/>
      <c r="BF645" s="138"/>
      <c r="BG645" s="138"/>
      <c r="BH645" s="138"/>
      <c r="BI645" s="138"/>
      <c r="BJ645" s="138"/>
      <c r="BK645" s="138"/>
      <c r="BL645" s="138"/>
      <c r="BM645" s="138"/>
      <c r="BN645" s="138"/>
      <c r="BO645" s="138"/>
    </row>
    <row r="646" spans="1:67" x14ac:dyDescent="0.2">
      <c r="A646" s="177"/>
      <c r="B646" s="178"/>
      <c r="C646" s="179"/>
      <c r="D646" s="180"/>
      <c r="E646" s="180"/>
      <c r="F646" s="180"/>
      <c r="G646" s="180"/>
      <c r="H646" s="180"/>
      <c r="I646" s="274" t="s">
        <v>926</v>
      </c>
      <c r="J646" s="226" t="s">
        <v>594</v>
      </c>
      <c r="K646" s="349">
        <f>100000*10%</f>
        <v>10000</v>
      </c>
      <c r="L646" s="179"/>
      <c r="M646" s="185"/>
      <c r="AV646" s="138"/>
      <c r="AW646" s="138"/>
      <c r="AX646" s="138"/>
      <c r="AY646" s="138"/>
      <c r="AZ646" s="138"/>
      <c r="BA646" s="138"/>
      <c r="BB646" s="138"/>
      <c r="BC646" s="138"/>
      <c r="BD646" s="138"/>
      <c r="BE646" s="138"/>
      <c r="BF646" s="138"/>
      <c r="BG646" s="138"/>
      <c r="BH646" s="138"/>
      <c r="BI646" s="138"/>
      <c r="BJ646" s="138"/>
      <c r="BK646" s="138"/>
      <c r="BL646" s="138"/>
      <c r="BM646" s="138"/>
      <c r="BN646" s="138"/>
      <c r="BO646" s="138"/>
    </row>
    <row r="647" spans="1:67" x14ac:dyDescent="0.2">
      <c r="A647" s="177"/>
      <c r="B647" s="178"/>
      <c r="C647" s="179"/>
      <c r="D647" s="180"/>
      <c r="E647" s="180"/>
      <c r="F647" s="180"/>
      <c r="G647" s="180"/>
      <c r="H647" s="180"/>
      <c r="I647" s="171" t="s">
        <v>927</v>
      </c>
      <c r="J647" s="226" t="s">
        <v>594</v>
      </c>
      <c r="K647" s="343">
        <f>100000*10%</f>
        <v>10000</v>
      </c>
      <c r="L647" s="179"/>
      <c r="M647" s="185"/>
      <c r="AV647" s="138"/>
      <c r="AW647" s="138"/>
      <c r="AX647" s="138"/>
      <c r="AY647" s="138"/>
      <c r="AZ647" s="138"/>
      <c r="BA647" s="138"/>
      <c r="BB647" s="138"/>
      <c r="BC647" s="138"/>
      <c r="BD647" s="138"/>
      <c r="BE647" s="138"/>
      <c r="BF647" s="138"/>
      <c r="BG647" s="138"/>
      <c r="BH647" s="138"/>
      <c r="BI647" s="138"/>
      <c r="BJ647" s="138"/>
      <c r="BK647" s="138"/>
      <c r="BL647" s="138"/>
      <c r="BM647" s="138"/>
      <c r="BN647" s="138"/>
      <c r="BO647" s="138"/>
    </row>
    <row r="648" spans="1:67" x14ac:dyDescent="0.2">
      <c r="A648" s="177"/>
      <c r="B648" s="178"/>
      <c r="C648" s="179"/>
      <c r="D648" s="180"/>
      <c r="E648" s="180"/>
      <c r="F648" s="180"/>
      <c r="G648" s="180"/>
      <c r="H648" s="180"/>
      <c r="I648" s="188" t="s">
        <v>928</v>
      </c>
      <c r="J648" s="226" t="s">
        <v>594</v>
      </c>
      <c r="K648" s="343">
        <f>100000*30%</f>
        <v>30000</v>
      </c>
      <c r="L648" s="179"/>
      <c r="M648" s="185"/>
      <c r="AV648" s="138"/>
      <c r="AW648" s="138"/>
      <c r="AX648" s="138"/>
      <c r="AY648" s="138"/>
      <c r="AZ648" s="138"/>
      <c r="BA648" s="138"/>
      <c r="BB648" s="138"/>
      <c r="BC648" s="138"/>
      <c r="BD648" s="138"/>
      <c r="BE648" s="138"/>
      <c r="BF648" s="138"/>
      <c r="BG648" s="138"/>
      <c r="BH648" s="138"/>
      <c r="BI648" s="138"/>
      <c r="BJ648" s="138"/>
      <c r="BK648" s="138"/>
      <c r="BL648" s="138"/>
      <c r="BM648" s="138"/>
      <c r="BN648" s="138"/>
      <c r="BO648" s="138"/>
    </row>
    <row r="649" spans="1:67" x14ac:dyDescent="0.2">
      <c r="A649" s="189"/>
      <c r="B649" s="190"/>
      <c r="C649" s="191"/>
      <c r="D649" s="192"/>
      <c r="E649" s="192"/>
      <c r="F649" s="192"/>
      <c r="G649" s="192"/>
      <c r="H649" s="192"/>
      <c r="I649" s="203"/>
      <c r="J649" s="204"/>
      <c r="K649" s="352">
        <f>SUM(K643:K648)</f>
        <v>100000</v>
      </c>
      <c r="L649" s="191"/>
      <c r="M649" s="197"/>
      <c r="AV649" s="138"/>
      <c r="AW649" s="138"/>
      <c r="AX649" s="138"/>
      <c r="AY649" s="138"/>
      <c r="AZ649" s="138"/>
      <c r="BA649" s="138"/>
      <c r="BB649" s="138"/>
      <c r="BC649" s="138"/>
      <c r="BD649" s="138"/>
      <c r="BE649" s="138"/>
      <c r="BF649" s="138"/>
      <c r="BG649" s="138"/>
      <c r="BH649" s="138"/>
      <c r="BI649" s="138"/>
      <c r="BJ649" s="138"/>
      <c r="BK649" s="138"/>
      <c r="BL649" s="138"/>
      <c r="BM649" s="138"/>
      <c r="BN649" s="138"/>
      <c r="BO649" s="138"/>
    </row>
    <row r="650" spans="1:67" x14ac:dyDescent="0.2">
      <c r="A650" s="167">
        <v>158</v>
      </c>
      <c r="B650" s="168" t="s">
        <v>929</v>
      </c>
      <c r="C650" s="169"/>
      <c r="D650" s="170" t="s">
        <v>163</v>
      </c>
      <c r="E650" s="170"/>
      <c r="F650" s="170"/>
      <c r="G650" s="170"/>
      <c r="H650" s="246"/>
      <c r="I650" s="217" t="s">
        <v>930</v>
      </c>
      <c r="J650" s="223" t="s">
        <v>594</v>
      </c>
      <c r="K650" s="353">
        <f>K654*50%</f>
        <v>50000</v>
      </c>
      <c r="L650" s="169" t="s">
        <v>166</v>
      </c>
      <c r="M650" s="175" t="s">
        <v>931</v>
      </c>
      <c r="AV650" s="138"/>
      <c r="AW650" s="138"/>
      <c r="AX650" s="138"/>
      <c r="AY650" s="138"/>
      <c r="AZ650" s="138"/>
      <c r="BA650" s="138"/>
      <c r="BB650" s="138"/>
      <c r="BC650" s="138"/>
      <c r="BD650" s="138"/>
      <c r="BE650" s="138"/>
      <c r="BF650" s="138"/>
      <c r="BG650" s="138"/>
      <c r="BH650" s="138"/>
      <c r="BI650" s="138"/>
      <c r="BJ650" s="138"/>
      <c r="BK650" s="138"/>
      <c r="BL650" s="138"/>
      <c r="BM650" s="138"/>
      <c r="BN650" s="138"/>
      <c r="BO650" s="138"/>
    </row>
    <row r="651" spans="1:67" x14ac:dyDescent="0.2">
      <c r="A651" s="177"/>
      <c r="B651" s="178"/>
      <c r="C651" s="179"/>
      <c r="D651" s="180"/>
      <c r="E651" s="180"/>
      <c r="F651" s="180"/>
      <c r="G651" s="180"/>
      <c r="H651" s="248"/>
      <c r="I651" s="188" t="s">
        <v>932</v>
      </c>
      <c r="J651" s="207" t="s">
        <v>594</v>
      </c>
      <c r="K651" s="343">
        <f>K654*30%</f>
        <v>30000</v>
      </c>
      <c r="L651" s="179"/>
      <c r="M651" s="185"/>
      <c r="AV651" s="138"/>
      <c r="AW651" s="138"/>
      <c r="AX651" s="138"/>
      <c r="AY651" s="138"/>
      <c r="AZ651" s="138"/>
      <c r="BA651" s="138"/>
      <c r="BB651" s="138"/>
      <c r="BC651" s="138"/>
      <c r="BD651" s="138"/>
      <c r="BE651" s="138"/>
      <c r="BF651" s="138"/>
      <c r="BG651" s="138"/>
      <c r="BH651" s="138"/>
      <c r="BI651" s="138"/>
      <c r="BJ651" s="138"/>
      <c r="BK651" s="138"/>
      <c r="BL651" s="138"/>
      <c r="BM651" s="138"/>
      <c r="BN651" s="138"/>
      <c r="BO651" s="138"/>
    </row>
    <row r="652" spans="1:67" x14ac:dyDescent="0.2">
      <c r="A652" s="177"/>
      <c r="B652" s="178"/>
      <c r="C652" s="179"/>
      <c r="D652" s="180"/>
      <c r="E652" s="180"/>
      <c r="F652" s="180"/>
      <c r="G652" s="180"/>
      <c r="H652" s="248"/>
      <c r="I652" s="188" t="s">
        <v>933</v>
      </c>
      <c r="J652" s="207" t="s">
        <v>594</v>
      </c>
      <c r="K652" s="343">
        <f>K654*10%</f>
        <v>10000</v>
      </c>
      <c r="L652" s="179"/>
      <c r="M652" s="185"/>
      <c r="AV652" s="138"/>
      <c r="AW652" s="138"/>
      <c r="AX652" s="138"/>
      <c r="AY652" s="138"/>
      <c r="AZ652" s="138"/>
      <c r="BA652" s="138"/>
      <c r="BB652" s="138"/>
      <c r="BC652" s="138"/>
      <c r="BD652" s="138"/>
      <c r="BE652" s="138"/>
      <c r="BF652" s="138"/>
      <c r="BG652" s="138"/>
      <c r="BH652" s="138"/>
      <c r="BI652" s="138"/>
      <c r="BJ652" s="138"/>
      <c r="BK652" s="138"/>
      <c r="BL652" s="138"/>
      <c r="BM652" s="138"/>
      <c r="BN652" s="138"/>
      <c r="BO652" s="138"/>
    </row>
    <row r="653" spans="1:67" x14ac:dyDescent="0.2">
      <c r="A653" s="177"/>
      <c r="B653" s="178"/>
      <c r="C653" s="179"/>
      <c r="D653" s="180"/>
      <c r="E653" s="180"/>
      <c r="F653" s="180"/>
      <c r="G653" s="180"/>
      <c r="H653" s="248"/>
      <c r="I653" s="188" t="s">
        <v>934</v>
      </c>
      <c r="J653" s="207" t="s">
        <v>594</v>
      </c>
      <c r="K653" s="343">
        <f>K654*10%</f>
        <v>10000</v>
      </c>
      <c r="L653" s="179"/>
      <c r="M653" s="185"/>
      <c r="AV653" s="138"/>
      <c r="AW653" s="138"/>
      <c r="AX653" s="138"/>
      <c r="AY653" s="138"/>
      <c r="AZ653" s="138"/>
      <c r="BA653" s="138"/>
      <c r="BB653" s="138"/>
      <c r="BC653" s="138"/>
      <c r="BD653" s="138"/>
      <c r="BE653" s="138"/>
      <c r="BF653" s="138"/>
      <c r="BG653" s="138"/>
      <c r="BH653" s="138"/>
      <c r="BI653" s="138"/>
      <c r="BJ653" s="138"/>
      <c r="BK653" s="138"/>
      <c r="BL653" s="138"/>
      <c r="BM653" s="138"/>
      <c r="BN653" s="138"/>
      <c r="BO653" s="138"/>
    </row>
    <row r="654" spans="1:67" x14ac:dyDescent="0.2">
      <c r="A654" s="189"/>
      <c r="B654" s="190"/>
      <c r="C654" s="191"/>
      <c r="D654" s="192"/>
      <c r="E654" s="192"/>
      <c r="F654" s="192"/>
      <c r="G654" s="192"/>
      <c r="H654" s="249"/>
      <c r="I654" s="203"/>
      <c r="J654" s="204"/>
      <c r="K654" s="354">
        <v>100000</v>
      </c>
      <c r="L654" s="191"/>
      <c r="M654" s="197"/>
      <c r="AV654" s="138"/>
      <c r="AW654" s="138"/>
      <c r="AX654" s="138"/>
      <c r="AY654" s="138"/>
      <c r="AZ654" s="138"/>
      <c r="BA654" s="138"/>
      <c r="BB654" s="138"/>
      <c r="BC654" s="138"/>
      <c r="BD654" s="138"/>
      <c r="BE654" s="138"/>
      <c r="BF654" s="138"/>
      <c r="BG654" s="138"/>
      <c r="BH654" s="138"/>
      <c r="BI654" s="138"/>
      <c r="BJ654" s="138"/>
      <c r="BK654" s="138"/>
      <c r="BL654" s="138"/>
      <c r="BM654" s="138"/>
      <c r="BN654" s="138"/>
      <c r="BO654" s="138"/>
    </row>
    <row r="655" spans="1:67" ht="21" customHeight="1" x14ac:dyDescent="0.2">
      <c r="A655" s="167">
        <v>159</v>
      </c>
      <c r="B655" s="168" t="s">
        <v>935</v>
      </c>
      <c r="C655" s="169"/>
      <c r="D655" s="170" t="s">
        <v>163</v>
      </c>
      <c r="E655" s="170"/>
      <c r="F655" s="170"/>
      <c r="G655" s="170"/>
      <c r="H655" s="170" t="s">
        <v>108</v>
      </c>
      <c r="I655" s="355" t="s">
        <v>936</v>
      </c>
      <c r="J655" s="223" t="s">
        <v>252</v>
      </c>
      <c r="K655" s="356">
        <f>K659*40%</f>
        <v>2000</v>
      </c>
      <c r="L655" s="169" t="s">
        <v>166</v>
      </c>
      <c r="M655" s="175" t="s">
        <v>937</v>
      </c>
      <c r="AV655" s="138"/>
      <c r="AW655" s="138"/>
      <c r="AX655" s="138"/>
      <c r="AY655" s="138"/>
      <c r="AZ655" s="138"/>
      <c r="BA655" s="138"/>
      <c r="BB655" s="138"/>
      <c r="BC655" s="138"/>
      <c r="BD655" s="138"/>
      <c r="BE655" s="138"/>
      <c r="BF655" s="138"/>
      <c r="BG655" s="138"/>
      <c r="BH655" s="138"/>
      <c r="BI655" s="138"/>
      <c r="BJ655" s="138"/>
      <c r="BK655" s="138"/>
      <c r="BL655" s="138"/>
      <c r="BM655" s="138"/>
      <c r="BN655" s="138"/>
      <c r="BO655" s="138"/>
    </row>
    <row r="656" spans="1:67" ht="21" customHeight="1" x14ac:dyDescent="0.2">
      <c r="A656" s="177"/>
      <c r="B656" s="178"/>
      <c r="C656" s="179"/>
      <c r="D656" s="180"/>
      <c r="E656" s="180"/>
      <c r="F656" s="180"/>
      <c r="G656" s="180"/>
      <c r="H656" s="180"/>
      <c r="I656" s="357" t="s">
        <v>938</v>
      </c>
      <c r="J656" s="207" t="s">
        <v>252</v>
      </c>
      <c r="K656" s="343">
        <f>K659*20%</f>
        <v>1000</v>
      </c>
      <c r="L656" s="179"/>
      <c r="M656" s="185"/>
      <c r="AV656" s="138"/>
      <c r="AW656" s="138"/>
      <c r="AX656" s="138"/>
      <c r="AY656" s="138"/>
      <c r="AZ656" s="138"/>
      <c r="BA656" s="138"/>
      <c r="BB656" s="138"/>
      <c r="BC656" s="138"/>
      <c r="BD656" s="138"/>
      <c r="BE656" s="138"/>
      <c r="BF656" s="138"/>
      <c r="BG656" s="138"/>
      <c r="BH656" s="138"/>
      <c r="BI656" s="138"/>
      <c r="BJ656" s="138"/>
      <c r="BK656" s="138"/>
      <c r="BL656" s="138"/>
      <c r="BM656" s="138"/>
      <c r="BN656" s="138"/>
      <c r="BO656" s="138"/>
    </row>
    <row r="657" spans="1:67" ht="21" customHeight="1" x14ac:dyDescent="0.2">
      <c r="A657" s="177"/>
      <c r="B657" s="178"/>
      <c r="C657" s="179"/>
      <c r="D657" s="180"/>
      <c r="E657" s="180"/>
      <c r="F657" s="180"/>
      <c r="G657" s="180"/>
      <c r="H657" s="180"/>
      <c r="I657" s="357" t="s">
        <v>939</v>
      </c>
      <c r="J657" s="207" t="s">
        <v>252</v>
      </c>
      <c r="K657" s="343">
        <f>K659*20%</f>
        <v>1000</v>
      </c>
      <c r="L657" s="179"/>
      <c r="M657" s="185"/>
      <c r="AV657" s="138"/>
      <c r="AW657" s="138"/>
      <c r="AX657" s="138"/>
      <c r="AY657" s="138"/>
      <c r="AZ657" s="138"/>
      <c r="BA657" s="138"/>
      <c r="BB657" s="138"/>
      <c r="BC657" s="138"/>
      <c r="BD657" s="138"/>
      <c r="BE657" s="138"/>
      <c r="BF657" s="138"/>
      <c r="BG657" s="138"/>
      <c r="BH657" s="138"/>
      <c r="BI657" s="138"/>
      <c r="BJ657" s="138"/>
      <c r="BK657" s="138"/>
      <c r="BL657" s="138"/>
      <c r="BM657" s="138"/>
      <c r="BN657" s="138"/>
      <c r="BO657" s="138"/>
    </row>
    <row r="658" spans="1:67" ht="21" customHeight="1" x14ac:dyDescent="0.2">
      <c r="A658" s="177"/>
      <c r="B658" s="178"/>
      <c r="C658" s="179"/>
      <c r="D658" s="180"/>
      <c r="E658" s="180"/>
      <c r="F658" s="180"/>
      <c r="G658" s="180"/>
      <c r="H658" s="180"/>
      <c r="I658" s="357" t="s">
        <v>940</v>
      </c>
      <c r="J658" s="207" t="s">
        <v>594</v>
      </c>
      <c r="K658" s="343">
        <f>K659*20%</f>
        <v>1000</v>
      </c>
      <c r="L658" s="179"/>
      <c r="M658" s="185"/>
      <c r="AV658" s="138"/>
      <c r="AW658" s="138"/>
      <c r="AX658" s="138"/>
      <c r="AY658" s="138"/>
      <c r="AZ658" s="138"/>
      <c r="BA658" s="138"/>
      <c r="BB658" s="138"/>
      <c r="BC658" s="138"/>
      <c r="BD658" s="138"/>
      <c r="BE658" s="138"/>
      <c r="BF658" s="138"/>
      <c r="BG658" s="138"/>
      <c r="BH658" s="138"/>
      <c r="BI658" s="138"/>
      <c r="BJ658" s="138"/>
      <c r="BK658" s="138"/>
      <c r="BL658" s="138"/>
      <c r="BM658" s="138"/>
      <c r="BN658" s="138"/>
      <c r="BO658" s="138"/>
    </row>
    <row r="659" spans="1:67" ht="21" customHeight="1" x14ac:dyDescent="0.2">
      <c r="A659" s="189"/>
      <c r="B659" s="190"/>
      <c r="C659" s="191"/>
      <c r="D659" s="192"/>
      <c r="E659" s="192"/>
      <c r="F659" s="192"/>
      <c r="G659" s="192"/>
      <c r="H659" s="192"/>
      <c r="I659" s="358"/>
      <c r="J659" s="204"/>
      <c r="K659" s="349">
        <v>5000</v>
      </c>
      <c r="L659" s="191"/>
      <c r="M659" s="197"/>
      <c r="AV659" s="138"/>
      <c r="AW659" s="138"/>
      <c r="AX659" s="138"/>
      <c r="AY659" s="138"/>
      <c r="AZ659" s="138"/>
      <c r="BA659" s="138"/>
      <c r="BB659" s="138"/>
      <c r="BC659" s="138"/>
      <c r="BD659" s="138"/>
      <c r="BE659" s="138"/>
      <c r="BF659" s="138"/>
      <c r="BG659" s="138"/>
      <c r="BH659" s="138"/>
      <c r="BI659" s="138"/>
      <c r="BJ659" s="138"/>
      <c r="BK659" s="138"/>
      <c r="BL659" s="138"/>
      <c r="BM659" s="138"/>
      <c r="BN659" s="138"/>
      <c r="BO659" s="138"/>
    </row>
    <row r="660" spans="1:67" ht="48" x14ac:dyDescent="0.2">
      <c r="A660" s="167">
        <v>160</v>
      </c>
      <c r="B660" s="168" t="s">
        <v>941</v>
      </c>
      <c r="C660" s="169"/>
      <c r="D660" s="170" t="s">
        <v>163</v>
      </c>
      <c r="E660" s="170"/>
      <c r="F660" s="170"/>
      <c r="G660" s="170"/>
      <c r="H660" s="246" t="s">
        <v>108</v>
      </c>
      <c r="I660" s="217" t="s">
        <v>942</v>
      </c>
      <c r="J660" s="223" t="s">
        <v>594</v>
      </c>
      <c r="K660" s="353">
        <f>K664*70%</f>
        <v>70308</v>
      </c>
      <c r="L660" s="169" t="s">
        <v>166</v>
      </c>
      <c r="M660" s="175" t="s">
        <v>943</v>
      </c>
      <c r="AV660" s="138"/>
      <c r="AW660" s="138"/>
      <c r="AX660" s="138"/>
      <c r="AY660" s="138"/>
      <c r="AZ660" s="138"/>
      <c r="BA660" s="138"/>
      <c r="BB660" s="138"/>
      <c r="BC660" s="138"/>
      <c r="BD660" s="138"/>
      <c r="BE660" s="138"/>
      <c r="BF660" s="138"/>
      <c r="BG660" s="138"/>
      <c r="BH660" s="138"/>
      <c r="BI660" s="138"/>
      <c r="BJ660" s="138"/>
      <c r="BK660" s="138"/>
      <c r="BL660" s="138"/>
      <c r="BM660" s="138"/>
      <c r="BN660" s="138"/>
      <c r="BO660" s="138"/>
    </row>
    <row r="661" spans="1:67" ht="22.5" customHeight="1" x14ac:dyDescent="0.2">
      <c r="A661" s="177"/>
      <c r="B661" s="178"/>
      <c r="C661" s="179"/>
      <c r="D661" s="180"/>
      <c r="E661" s="180"/>
      <c r="F661" s="180"/>
      <c r="G661" s="180"/>
      <c r="H661" s="248"/>
      <c r="I661" s="188" t="s">
        <v>944</v>
      </c>
      <c r="J661" s="207" t="s">
        <v>252</v>
      </c>
      <c r="K661" s="343">
        <f>K664*10%</f>
        <v>10044</v>
      </c>
      <c r="L661" s="179"/>
      <c r="M661" s="185"/>
      <c r="AV661" s="138"/>
      <c r="AW661" s="138"/>
      <c r="AX661" s="138"/>
      <c r="AY661" s="138"/>
      <c r="AZ661" s="138"/>
      <c r="BA661" s="138"/>
      <c r="BB661" s="138"/>
      <c r="BC661" s="138"/>
      <c r="BD661" s="138"/>
      <c r="BE661" s="138"/>
      <c r="BF661" s="138"/>
      <c r="BG661" s="138"/>
      <c r="BH661" s="138"/>
      <c r="BI661" s="138"/>
      <c r="BJ661" s="138"/>
      <c r="BK661" s="138"/>
      <c r="BL661" s="138"/>
      <c r="BM661" s="138"/>
      <c r="BN661" s="138"/>
      <c r="BO661" s="138"/>
    </row>
    <row r="662" spans="1:67" ht="23.25" customHeight="1" x14ac:dyDescent="0.2">
      <c r="A662" s="177"/>
      <c r="B662" s="178"/>
      <c r="C662" s="179"/>
      <c r="D662" s="180"/>
      <c r="E662" s="180"/>
      <c r="F662" s="180"/>
      <c r="G662" s="180"/>
      <c r="H662" s="248"/>
      <c r="I662" s="188" t="s">
        <v>945</v>
      </c>
      <c r="J662" s="207" t="s">
        <v>252</v>
      </c>
      <c r="K662" s="343">
        <f>K664*10%</f>
        <v>10044</v>
      </c>
      <c r="L662" s="179"/>
      <c r="M662" s="185"/>
      <c r="AV662" s="138"/>
      <c r="AW662" s="138"/>
      <c r="AX662" s="138"/>
      <c r="AY662" s="138"/>
      <c r="AZ662" s="138"/>
      <c r="BA662" s="138"/>
      <c r="BB662" s="138"/>
      <c r="BC662" s="138"/>
      <c r="BD662" s="138"/>
      <c r="BE662" s="138"/>
      <c r="BF662" s="138"/>
      <c r="BG662" s="138"/>
      <c r="BH662" s="138"/>
      <c r="BI662" s="138"/>
      <c r="BJ662" s="138"/>
      <c r="BK662" s="138"/>
      <c r="BL662" s="138"/>
      <c r="BM662" s="138"/>
      <c r="BN662" s="138"/>
      <c r="BO662" s="138"/>
    </row>
    <row r="663" spans="1:67" x14ac:dyDescent="0.2">
      <c r="A663" s="177"/>
      <c r="B663" s="178"/>
      <c r="C663" s="179"/>
      <c r="D663" s="180"/>
      <c r="E663" s="180"/>
      <c r="F663" s="180"/>
      <c r="G663" s="180"/>
      <c r="H663" s="248"/>
      <c r="I663" s="188" t="s">
        <v>824</v>
      </c>
      <c r="J663" s="207" t="s">
        <v>594</v>
      </c>
      <c r="K663" s="343">
        <f>K664*10%</f>
        <v>10044</v>
      </c>
      <c r="L663" s="179"/>
      <c r="M663" s="185"/>
      <c r="AV663" s="138"/>
      <c r="AW663" s="138"/>
      <c r="AX663" s="138"/>
      <c r="AY663" s="138"/>
      <c r="AZ663" s="138"/>
      <c r="BA663" s="138"/>
      <c r="BB663" s="138"/>
      <c r="BC663" s="138"/>
      <c r="BD663" s="138"/>
      <c r="BE663" s="138"/>
      <c r="BF663" s="138"/>
      <c r="BG663" s="138"/>
      <c r="BH663" s="138"/>
      <c r="BI663" s="138"/>
      <c r="BJ663" s="138"/>
      <c r="BK663" s="138"/>
      <c r="BL663" s="138"/>
      <c r="BM663" s="138"/>
      <c r="BN663" s="138"/>
      <c r="BO663" s="138"/>
    </row>
    <row r="664" spans="1:67" x14ac:dyDescent="0.2">
      <c r="A664" s="189"/>
      <c r="B664" s="190"/>
      <c r="C664" s="191"/>
      <c r="D664" s="192"/>
      <c r="E664" s="192"/>
      <c r="F664" s="192"/>
      <c r="G664" s="192"/>
      <c r="H664" s="249"/>
      <c r="I664" s="203"/>
      <c r="J664" s="204"/>
      <c r="K664" s="354">
        <v>100440</v>
      </c>
      <c r="L664" s="191"/>
      <c r="M664" s="197"/>
      <c r="AV664" s="138"/>
      <c r="AW664" s="138"/>
      <c r="AX664" s="138"/>
      <c r="AY664" s="138"/>
      <c r="AZ664" s="138"/>
      <c r="BA664" s="138"/>
      <c r="BB664" s="138"/>
      <c r="BC664" s="138"/>
      <c r="BD664" s="138"/>
      <c r="BE664" s="138"/>
      <c r="BF664" s="138"/>
      <c r="BG664" s="138"/>
      <c r="BH664" s="138"/>
      <c r="BI664" s="138"/>
      <c r="BJ664" s="138"/>
      <c r="BK664" s="138"/>
      <c r="BL664" s="138"/>
      <c r="BM664" s="138"/>
      <c r="BN664" s="138"/>
      <c r="BO664" s="138"/>
    </row>
    <row r="665" spans="1:67" ht="22.5" customHeight="1" x14ac:dyDescent="0.2">
      <c r="A665" s="167">
        <v>161</v>
      </c>
      <c r="B665" s="168" t="s">
        <v>946</v>
      </c>
      <c r="C665" s="169"/>
      <c r="D665" s="170" t="s">
        <v>163</v>
      </c>
      <c r="E665" s="170"/>
      <c r="F665" s="170"/>
      <c r="G665" s="170"/>
      <c r="H665" s="170" t="s">
        <v>164</v>
      </c>
      <c r="I665" s="359" t="s">
        <v>947</v>
      </c>
      <c r="J665" s="247" t="s">
        <v>252</v>
      </c>
      <c r="K665" s="356">
        <f>K667*90%</f>
        <v>45832.5</v>
      </c>
      <c r="L665" s="169" t="s">
        <v>166</v>
      </c>
      <c r="M665" s="175" t="s">
        <v>948</v>
      </c>
      <c r="AV665" s="138"/>
      <c r="AW665" s="138"/>
      <c r="AX665" s="138"/>
      <c r="AY665" s="138"/>
      <c r="AZ665" s="138"/>
      <c r="BA665" s="138"/>
      <c r="BB665" s="138"/>
      <c r="BC665" s="138"/>
      <c r="BD665" s="138"/>
      <c r="BE665" s="138"/>
      <c r="BF665" s="138"/>
      <c r="BG665" s="138"/>
      <c r="BH665" s="138"/>
      <c r="BI665" s="138"/>
      <c r="BJ665" s="138"/>
      <c r="BK665" s="138"/>
      <c r="BL665" s="138"/>
      <c r="BM665" s="138"/>
      <c r="BN665" s="138"/>
      <c r="BO665" s="138"/>
    </row>
    <row r="666" spans="1:67" x14ac:dyDescent="0.2">
      <c r="A666" s="177"/>
      <c r="B666" s="178"/>
      <c r="C666" s="179"/>
      <c r="D666" s="180"/>
      <c r="E666" s="180"/>
      <c r="F666" s="180"/>
      <c r="G666" s="180"/>
      <c r="H666" s="180"/>
      <c r="I666" s="357" t="s">
        <v>949</v>
      </c>
      <c r="J666" s="207" t="s">
        <v>594</v>
      </c>
      <c r="K666" s="343">
        <f>K667*10%</f>
        <v>5092.5</v>
      </c>
      <c r="L666" s="179"/>
      <c r="M666" s="185"/>
      <c r="AV666" s="138"/>
      <c r="AW666" s="138"/>
      <c r="AX666" s="138"/>
      <c r="AY666" s="138"/>
      <c r="AZ666" s="138"/>
      <c r="BA666" s="138"/>
      <c r="BB666" s="138"/>
      <c r="BC666" s="138"/>
      <c r="BD666" s="138"/>
      <c r="BE666" s="138"/>
      <c r="BF666" s="138"/>
      <c r="BG666" s="138"/>
      <c r="BH666" s="138"/>
      <c r="BI666" s="138"/>
      <c r="BJ666" s="138"/>
      <c r="BK666" s="138"/>
      <c r="BL666" s="138"/>
      <c r="BM666" s="138"/>
      <c r="BN666" s="138"/>
      <c r="BO666" s="138"/>
    </row>
    <row r="667" spans="1:67" x14ac:dyDescent="0.2">
      <c r="A667" s="189"/>
      <c r="B667" s="190"/>
      <c r="C667" s="191"/>
      <c r="D667" s="192"/>
      <c r="E667" s="192"/>
      <c r="F667" s="192"/>
      <c r="G667" s="192"/>
      <c r="H667" s="192"/>
      <c r="I667" s="360"/>
      <c r="J667" s="226"/>
      <c r="K667" s="349">
        <v>50925</v>
      </c>
      <c r="L667" s="191"/>
      <c r="M667" s="197"/>
      <c r="AV667" s="138"/>
      <c r="AW667" s="138"/>
      <c r="AX667" s="138"/>
      <c r="AY667" s="138"/>
      <c r="AZ667" s="138"/>
      <c r="BA667" s="138"/>
      <c r="BB667" s="138"/>
      <c r="BC667" s="138"/>
      <c r="BD667" s="138"/>
      <c r="BE667" s="138"/>
      <c r="BF667" s="138"/>
      <c r="BG667" s="138"/>
      <c r="BH667" s="138"/>
      <c r="BI667" s="138"/>
      <c r="BJ667" s="138"/>
      <c r="BK667" s="138"/>
      <c r="BL667" s="138"/>
      <c r="BM667" s="138"/>
      <c r="BN667" s="138"/>
      <c r="BO667" s="138"/>
    </row>
    <row r="668" spans="1:67" ht="21" customHeight="1" x14ac:dyDescent="0.2">
      <c r="A668" s="167">
        <v>162</v>
      </c>
      <c r="B668" s="168" t="s">
        <v>950</v>
      </c>
      <c r="C668" s="169"/>
      <c r="D668" s="170" t="s">
        <v>163</v>
      </c>
      <c r="E668" s="170"/>
      <c r="F668" s="170"/>
      <c r="G668" s="170"/>
      <c r="H668" s="170" t="s">
        <v>137</v>
      </c>
      <c r="I668" s="355" t="s">
        <v>951</v>
      </c>
      <c r="J668" s="223" t="s">
        <v>252</v>
      </c>
      <c r="K668" s="353">
        <f>K671*70%</f>
        <v>66514</v>
      </c>
      <c r="L668" s="169" t="s">
        <v>166</v>
      </c>
      <c r="M668" s="175" t="s">
        <v>952</v>
      </c>
      <c r="AV668" s="138"/>
      <c r="AW668" s="138"/>
      <c r="AX668" s="138"/>
      <c r="AY668" s="138"/>
      <c r="AZ668" s="138"/>
      <c r="BA668" s="138"/>
      <c r="BB668" s="138"/>
      <c r="BC668" s="138"/>
      <c r="BD668" s="138"/>
      <c r="BE668" s="138"/>
      <c r="BF668" s="138"/>
      <c r="BG668" s="138"/>
      <c r="BH668" s="138"/>
      <c r="BI668" s="138"/>
      <c r="BJ668" s="138"/>
      <c r="BK668" s="138"/>
      <c r="BL668" s="138"/>
      <c r="BM668" s="138"/>
      <c r="BN668" s="138"/>
      <c r="BO668" s="138"/>
    </row>
    <row r="669" spans="1:67" ht="24" customHeight="1" x14ac:dyDescent="0.2">
      <c r="A669" s="177"/>
      <c r="B669" s="178"/>
      <c r="C669" s="179"/>
      <c r="D669" s="180"/>
      <c r="E669" s="180"/>
      <c r="F669" s="180"/>
      <c r="G669" s="180"/>
      <c r="H669" s="180"/>
      <c r="I669" s="357" t="s">
        <v>953</v>
      </c>
      <c r="J669" s="207" t="s">
        <v>252</v>
      </c>
      <c r="K669" s="343">
        <f>K671*20%</f>
        <v>19004</v>
      </c>
      <c r="L669" s="179"/>
      <c r="M669" s="185"/>
      <c r="AV669" s="138"/>
      <c r="AW669" s="138"/>
      <c r="AX669" s="138"/>
      <c r="AY669" s="138"/>
      <c r="AZ669" s="138"/>
      <c r="BA669" s="138"/>
      <c r="BB669" s="138"/>
      <c r="BC669" s="138"/>
      <c r="BD669" s="138"/>
      <c r="BE669" s="138"/>
      <c r="BF669" s="138"/>
      <c r="BG669" s="138"/>
      <c r="BH669" s="138"/>
      <c r="BI669" s="138"/>
      <c r="BJ669" s="138"/>
      <c r="BK669" s="138"/>
      <c r="BL669" s="138"/>
      <c r="BM669" s="138"/>
      <c r="BN669" s="138"/>
      <c r="BO669" s="138"/>
    </row>
    <row r="670" spans="1:67" ht="48" x14ac:dyDescent="0.2">
      <c r="A670" s="177"/>
      <c r="B670" s="178"/>
      <c r="C670" s="179"/>
      <c r="D670" s="180"/>
      <c r="E670" s="180"/>
      <c r="F670" s="180"/>
      <c r="G670" s="180"/>
      <c r="H670" s="180"/>
      <c r="I670" s="357" t="s">
        <v>954</v>
      </c>
      <c r="J670" s="207" t="s">
        <v>594</v>
      </c>
      <c r="K670" s="343">
        <f>K671*10%</f>
        <v>9502</v>
      </c>
      <c r="L670" s="179"/>
      <c r="M670" s="185"/>
      <c r="AV670" s="138"/>
      <c r="AW670" s="138"/>
      <c r="AX670" s="138"/>
      <c r="AY670" s="138"/>
      <c r="AZ670" s="138"/>
      <c r="BA670" s="138"/>
      <c r="BB670" s="138"/>
      <c r="BC670" s="138"/>
      <c r="BD670" s="138"/>
      <c r="BE670" s="138"/>
      <c r="BF670" s="138"/>
      <c r="BG670" s="138"/>
      <c r="BH670" s="138"/>
      <c r="BI670" s="138"/>
      <c r="BJ670" s="138"/>
      <c r="BK670" s="138"/>
      <c r="BL670" s="138"/>
      <c r="BM670" s="138"/>
      <c r="BN670" s="138"/>
      <c r="BO670" s="138"/>
    </row>
    <row r="671" spans="1:67" x14ac:dyDescent="0.2">
      <c r="A671" s="189"/>
      <c r="B671" s="190"/>
      <c r="C671" s="191"/>
      <c r="D671" s="192"/>
      <c r="E671" s="192"/>
      <c r="F671" s="192"/>
      <c r="G671" s="192"/>
      <c r="H671" s="192"/>
      <c r="I671" s="358"/>
      <c r="J671" s="204"/>
      <c r="K671" s="354">
        <v>95020</v>
      </c>
      <c r="L671" s="191"/>
      <c r="M671" s="197"/>
      <c r="AV671" s="138"/>
      <c r="AW671" s="138"/>
      <c r="AX671" s="138"/>
      <c r="AY671" s="138"/>
      <c r="AZ671" s="138"/>
      <c r="BA671" s="138"/>
      <c r="BB671" s="138"/>
      <c r="BC671" s="138"/>
      <c r="BD671" s="138"/>
      <c r="BE671" s="138"/>
      <c r="BF671" s="138"/>
      <c r="BG671" s="138"/>
      <c r="BH671" s="138"/>
      <c r="BI671" s="138"/>
      <c r="BJ671" s="138"/>
      <c r="BK671" s="138"/>
      <c r="BL671" s="138"/>
      <c r="BM671" s="138"/>
      <c r="BN671" s="138"/>
      <c r="BO671" s="138"/>
    </row>
    <row r="672" spans="1:67" ht="23.25" customHeight="1" x14ac:dyDescent="0.2">
      <c r="A672" s="167">
        <v>163</v>
      </c>
      <c r="B672" s="168" t="s">
        <v>955</v>
      </c>
      <c r="C672" s="169"/>
      <c r="D672" s="170" t="s">
        <v>163</v>
      </c>
      <c r="E672" s="170"/>
      <c r="F672" s="170"/>
      <c r="G672" s="170"/>
      <c r="H672" s="170" t="s">
        <v>164</v>
      </c>
      <c r="I672" s="359" t="s">
        <v>956</v>
      </c>
      <c r="J672" s="247" t="s">
        <v>252</v>
      </c>
      <c r="K672" s="361">
        <f>K674*95%</f>
        <v>105621</v>
      </c>
      <c r="L672" s="169" t="s">
        <v>166</v>
      </c>
      <c r="M672" s="175" t="s">
        <v>957</v>
      </c>
      <c r="AV672" s="138"/>
      <c r="AW672" s="138"/>
      <c r="AX672" s="138"/>
      <c r="AY672" s="138"/>
      <c r="AZ672" s="138"/>
      <c r="BA672" s="138"/>
      <c r="BB672" s="138"/>
      <c r="BC672" s="138"/>
      <c r="BD672" s="138"/>
      <c r="BE672" s="138"/>
      <c r="BF672" s="138"/>
      <c r="BG672" s="138"/>
      <c r="BH672" s="138"/>
      <c r="BI672" s="138"/>
      <c r="BJ672" s="138"/>
      <c r="BK672" s="138"/>
      <c r="BL672" s="138"/>
      <c r="BM672" s="138"/>
      <c r="BN672" s="138"/>
      <c r="BO672" s="138"/>
    </row>
    <row r="673" spans="1:67" ht="48" x14ac:dyDescent="0.2">
      <c r="A673" s="177"/>
      <c r="B673" s="178"/>
      <c r="C673" s="179"/>
      <c r="D673" s="180"/>
      <c r="E673" s="180"/>
      <c r="F673" s="180"/>
      <c r="G673" s="180"/>
      <c r="H673" s="180"/>
      <c r="I673" s="357" t="s">
        <v>958</v>
      </c>
      <c r="J673" s="207" t="s">
        <v>594</v>
      </c>
      <c r="K673" s="343">
        <f>K674*5%</f>
        <v>5559</v>
      </c>
      <c r="L673" s="179"/>
      <c r="M673" s="185"/>
      <c r="AV673" s="138"/>
      <c r="AW673" s="138"/>
      <c r="AX673" s="138"/>
      <c r="AY673" s="138"/>
      <c r="AZ673" s="138"/>
      <c r="BA673" s="138"/>
      <c r="BB673" s="138"/>
      <c r="BC673" s="138"/>
      <c r="BD673" s="138"/>
      <c r="BE673" s="138"/>
      <c r="BF673" s="138"/>
      <c r="BG673" s="138"/>
      <c r="BH673" s="138"/>
      <c r="BI673" s="138"/>
      <c r="BJ673" s="138"/>
      <c r="BK673" s="138"/>
      <c r="BL673" s="138"/>
      <c r="BM673" s="138"/>
      <c r="BN673" s="138"/>
      <c r="BO673" s="138"/>
    </row>
    <row r="674" spans="1:67" x14ac:dyDescent="0.2">
      <c r="A674" s="189"/>
      <c r="B674" s="190"/>
      <c r="C674" s="191"/>
      <c r="D674" s="192"/>
      <c r="E674" s="192"/>
      <c r="F674" s="192"/>
      <c r="G674" s="192"/>
      <c r="H674" s="192"/>
      <c r="I674" s="360"/>
      <c r="J674" s="226"/>
      <c r="K674" s="349">
        <v>111180</v>
      </c>
      <c r="L674" s="191"/>
      <c r="M674" s="197"/>
      <c r="AV674" s="138"/>
      <c r="AW674" s="138"/>
      <c r="AX674" s="138"/>
      <c r="AY674" s="138"/>
      <c r="AZ674" s="138"/>
      <c r="BA674" s="138"/>
      <c r="BB674" s="138"/>
      <c r="BC674" s="138"/>
      <c r="BD674" s="138"/>
      <c r="BE674" s="138"/>
      <c r="BF674" s="138"/>
      <c r="BG674" s="138"/>
      <c r="BH674" s="138"/>
      <c r="BI674" s="138"/>
      <c r="BJ674" s="138"/>
      <c r="BK674" s="138"/>
      <c r="BL674" s="138"/>
      <c r="BM674" s="138"/>
      <c r="BN674" s="138"/>
      <c r="BO674" s="138"/>
    </row>
    <row r="675" spans="1:67" ht="24" customHeight="1" x14ac:dyDescent="0.2">
      <c r="A675" s="167">
        <v>164</v>
      </c>
      <c r="B675" s="168" t="s">
        <v>959</v>
      </c>
      <c r="C675" s="169"/>
      <c r="D675" s="170" t="s">
        <v>163</v>
      </c>
      <c r="E675" s="170"/>
      <c r="F675" s="170"/>
      <c r="G675" s="170"/>
      <c r="H675" s="170" t="s">
        <v>164</v>
      </c>
      <c r="I675" s="355" t="s">
        <v>960</v>
      </c>
      <c r="J675" s="223" t="s">
        <v>252</v>
      </c>
      <c r="K675" s="353">
        <f>K677*95%</f>
        <v>80631.25</v>
      </c>
      <c r="L675" s="169" t="s">
        <v>166</v>
      </c>
      <c r="M675" s="175" t="s">
        <v>961</v>
      </c>
      <c r="AV675" s="138"/>
      <c r="AW675" s="138"/>
      <c r="AX675" s="138"/>
      <c r="AY675" s="138"/>
      <c r="AZ675" s="138"/>
      <c r="BA675" s="138"/>
      <c r="BB675" s="138"/>
      <c r="BC675" s="138"/>
      <c r="BD675" s="138"/>
      <c r="BE675" s="138"/>
      <c r="BF675" s="138"/>
      <c r="BG675" s="138"/>
      <c r="BH675" s="138"/>
      <c r="BI675" s="138"/>
      <c r="BJ675" s="138"/>
      <c r="BK675" s="138"/>
      <c r="BL675" s="138"/>
      <c r="BM675" s="138"/>
      <c r="BN675" s="138"/>
      <c r="BO675" s="138"/>
    </row>
    <row r="676" spans="1:67" ht="48" x14ac:dyDescent="0.2">
      <c r="A676" s="177"/>
      <c r="B676" s="178"/>
      <c r="C676" s="179"/>
      <c r="D676" s="180"/>
      <c r="E676" s="180"/>
      <c r="F676" s="180"/>
      <c r="G676" s="180"/>
      <c r="H676" s="180"/>
      <c r="I676" s="357" t="s">
        <v>962</v>
      </c>
      <c r="J676" s="207" t="s">
        <v>594</v>
      </c>
      <c r="K676" s="343">
        <f>K677*5%</f>
        <v>4243.75</v>
      </c>
      <c r="L676" s="179"/>
      <c r="M676" s="185"/>
      <c r="AV676" s="138"/>
      <c r="AW676" s="138"/>
      <c r="AX676" s="138"/>
      <c r="AY676" s="138"/>
      <c r="AZ676" s="138"/>
      <c r="BA676" s="138"/>
      <c r="BB676" s="138"/>
      <c r="BC676" s="138"/>
      <c r="BD676" s="138"/>
      <c r="BE676" s="138"/>
      <c r="BF676" s="138"/>
      <c r="BG676" s="138"/>
      <c r="BH676" s="138"/>
      <c r="BI676" s="138"/>
      <c r="BJ676" s="138"/>
      <c r="BK676" s="138"/>
      <c r="BL676" s="138"/>
      <c r="BM676" s="138"/>
      <c r="BN676" s="138"/>
      <c r="BO676" s="138"/>
    </row>
    <row r="677" spans="1:67" x14ac:dyDescent="0.2">
      <c r="A677" s="189"/>
      <c r="B677" s="190"/>
      <c r="C677" s="191"/>
      <c r="D677" s="192"/>
      <c r="E677" s="192"/>
      <c r="F677" s="192"/>
      <c r="G677" s="192"/>
      <c r="H677" s="192"/>
      <c r="I677" s="358"/>
      <c r="J677" s="204"/>
      <c r="K677" s="354">
        <v>84875</v>
      </c>
      <c r="L677" s="191"/>
      <c r="M677" s="197"/>
      <c r="AV677" s="138"/>
      <c r="AW677" s="138"/>
      <c r="AX677" s="138"/>
      <c r="AY677" s="138"/>
      <c r="AZ677" s="138"/>
      <c r="BA677" s="138"/>
      <c r="BB677" s="138"/>
      <c r="BC677" s="138"/>
      <c r="BD677" s="138"/>
      <c r="BE677" s="138"/>
      <c r="BF677" s="138"/>
      <c r="BG677" s="138"/>
      <c r="BH677" s="138"/>
      <c r="BI677" s="138"/>
      <c r="BJ677" s="138"/>
      <c r="BK677" s="138"/>
      <c r="BL677" s="138"/>
      <c r="BM677" s="138"/>
      <c r="BN677" s="138"/>
      <c r="BO677" s="138"/>
    </row>
    <row r="678" spans="1:67" ht="25.5" customHeight="1" x14ac:dyDescent="0.2">
      <c r="A678" s="167">
        <v>165</v>
      </c>
      <c r="B678" s="168" t="s">
        <v>963</v>
      </c>
      <c r="C678" s="169"/>
      <c r="D678" s="170" t="s">
        <v>163</v>
      </c>
      <c r="E678" s="170"/>
      <c r="F678" s="170"/>
      <c r="G678" s="170"/>
      <c r="H678" s="170" t="s">
        <v>964</v>
      </c>
      <c r="I678" s="359" t="s">
        <v>965</v>
      </c>
      <c r="J678" s="247" t="s">
        <v>252</v>
      </c>
      <c r="K678" s="356">
        <f>K683*30%</f>
        <v>2316</v>
      </c>
      <c r="L678" s="169" t="s">
        <v>166</v>
      </c>
      <c r="M678" s="175" t="s">
        <v>966</v>
      </c>
      <c r="AV678" s="138"/>
      <c r="AW678" s="138"/>
      <c r="AX678" s="138"/>
      <c r="AY678" s="138"/>
      <c r="AZ678" s="138"/>
      <c r="BA678" s="138"/>
      <c r="BB678" s="138"/>
      <c r="BC678" s="138"/>
      <c r="BD678" s="138"/>
      <c r="BE678" s="138"/>
      <c r="BF678" s="138"/>
      <c r="BG678" s="138"/>
      <c r="BH678" s="138"/>
      <c r="BI678" s="138"/>
      <c r="BJ678" s="138"/>
      <c r="BK678" s="138"/>
      <c r="BL678" s="138"/>
      <c r="BM678" s="138"/>
      <c r="BN678" s="138"/>
      <c r="BO678" s="138"/>
    </row>
    <row r="679" spans="1:67" ht="20.25" customHeight="1" x14ac:dyDescent="0.2">
      <c r="A679" s="177"/>
      <c r="B679" s="178"/>
      <c r="C679" s="179"/>
      <c r="D679" s="180"/>
      <c r="E679" s="180"/>
      <c r="F679" s="180"/>
      <c r="G679" s="180"/>
      <c r="H679" s="180"/>
      <c r="I679" s="357" t="s">
        <v>967</v>
      </c>
      <c r="J679" s="207" t="s">
        <v>252</v>
      </c>
      <c r="K679" s="343">
        <f>K683*25%</f>
        <v>1930</v>
      </c>
      <c r="L679" s="179"/>
      <c r="M679" s="185"/>
      <c r="AV679" s="138"/>
      <c r="AW679" s="138"/>
      <c r="AX679" s="138"/>
      <c r="AY679" s="138"/>
      <c r="AZ679" s="138"/>
      <c r="BA679" s="138"/>
      <c r="BB679" s="138"/>
      <c r="BC679" s="138"/>
      <c r="BD679" s="138"/>
      <c r="BE679" s="138"/>
      <c r="BF679" s="138"/>
      <c r="BG679" s="138"/>
      <c r="BH679" s="138"/>
      <c r="BI679" s="138"/>
      <c r="BJ679" s="138"/>
      <c r="BK679" s="138"/>
      <c r="BL679" s="138"/>
      <c r="BM679" s="138"/>
      <c r="BN679" s="138"/>
      <c r="BO679" s="138"/>
    </row>
    <row r="680" spans="1:67" ht="25.5" customHeight="1" x14ac:dyDescent="0.2">
      <c r="A680" s="177"/>
      <c r="B680" s="178"/>
      <c r="C680" s="179"/>
      <c r="D680" s="180"/>
      <c r="E680" s="180"/>
      <c r="F680" s="180"/>
      <c r="G680" s="180"/>
      <c r="H680" s="180"/>
      <c r="I680" s="357" t="s">
        <v>968</v>
      </c>
      <c r="J680" s="207" t="s">
        <v>252</v>
      </c>
      <c r="K680" s="343">
        <f>K683*10%</f>
        <v>772</v>
      </c>
      <c r="L680" s="179"/>
      <c r="M680" s="185"/>
      <c r="AV680" s="138"/>
      <c r="AW680" s="138"/>
      <c r="AX680" s="138"/>
      <c r="AY680" s="138"/>
      <c r="AZ680" s="138"/>
      <c r="BA680" s="138"/>
      <c r="BB680" s="138"/>
      <c r="BC680" s="138"/>
      <c r="BD680" s="138"/>
      <c r="BE680" s="138"/>
      <c r="BF680" s="138"/>
      <c r="BG680" s="138"/>
      <c r="BH680" s="138"/>
      <c r="BI680" s="138"/>
      <c r="BJ680" s="138"/>
      <c r="BK680" s="138"/>
      <c r="BL680" s="138"/>
      <c r="BM680" s="138"/>
      <c r="BN680" s="138"/>
      <c r="BO680" s="138"/>
    </row>
    <row r="681" spans="1:67" ht="24.75" customHeight="1" x14ac:dyDescent="0.2">
      <c r="A681" s="177"/>
      <c r="B681" s="178"/>
      <c r="C681" s="179"/>
      <c r="D681" s="180"/>
      <c r="E681" s="180"/>
      <c r="F681" s="180"/>
      <c r="G681" s="180"/>
      <c r="H681" s="180"/>
      <c r="I681" s="357" t="s">
        <v>969</v>
      </c>
      <c r="J681" s="207" t="s">
        <v>252</v>
      </c>
      <c r="K681" s="343">
        <f>K683*10%</f>
        <v>772</v>
      </c>
      <c r="L681" s="179"/>
      <c r="M681" s="185"/>
      <c r="AV681" s="138"/>
      <c r="AW681" s="138"/>
      <c r="AX681" s="138"/>
      <c r="AY681" s="138"/>
      <c r="AZ681" s="138"/>
      <c r="BA681" s="138"/>
      <c r="BB681" s="138"/>
      <c r="BC681" s="138"/>
      <c r="BD681" s="138"/>
      <c r="BE681" s="138"/>
      <c r="BF681" s="138"/>
      <c r="BG681" s="138"/>
      <c r="BH681" s="138"/>
      <c r="BI681" s="138"/>
      <c r="BJ681" s="138"/>
      <c r="BK681" s="138"/>
      <c r="BL681" s="138"/>
      <c r="BM681" s="138"/>
      <c r="BN681" s="138"/>
      <c r="BO681" s="138"/>
    </row>
    <row r="682" spans="1:67" ht="25.5" customHeight="1" x14ac:dyDescent="0.2">
      <c r="A682" s="177"/>
      <c r="B682" s="178"/>
      <c r="C682" s="179"/>
      <c r="D682" s="180"/>
      <c r="E682" s="180"/>
      <c r="F682" s="180"/>
      <c r="G682" s="180"/>
      <c r="H682" s="180"/>
      <c r="I682" s="357" t="s">
        <v>970</v>
      </c>
      <c r="J682" s="207" t="s">
        <v>594</v>
      </c>
      <c r="K682" s="343">
        <f>K683*25%</f>
        <v>1930</v>
      </c>
      <c r="L682" s="179"/>
      <c r="M682" s="185"/>
      <c r="AV682" s="138"/>
      <c r="AW682" s="138"/>
      <c r="AX682" s="138"/>
      <c r="AY682" s="138"/>
      <c r="AZ682" s="138"/>
      <c r="BA682" s="138"/>
      <c r="BB682" s="138"/>
      <c r="BC682" s="138"/>
      <c r="BD682" s="138"/>
      <c r="BE682" s="138"/>
      <c r="BF682" s="138"/>
      <c r="BG682" s="138"/>
      <c r="BH682" s="138"/>
      <c r="BI682" s="138"/>
      <c r="BJ682" s="138"/>
      <c r="BK682" s="138"/>
      <c r="BL682" s="138"/>
      <c r="BM682" s="138"/>
      <c r="BN682" s="138"/>
      <c r="BO682" s="138"/>
    </row>
    <row r="683" spans="1:67" ht="25.5" customHeight="1" x14ac:dyDescent="0.2">
      <c r="A683" s="189"/>
      <c r="B683" s="190"/>
      <c r="C683" s="191"/>
      <c r="D683" s="192"/>
      <c r="E683" s="192"/>
      <c r="F683" s="192"/>
      <c r="G683" s="192"/>
      <c r="H683" s="192"/>
      <c r="I683" s="360"/>
      <c r="J683" s="226"/>
      <c r="K683" s="349">
        <v>7720</v>
      </c>
      <c r="L683" s="191"/>
      <c r="M683" s="197"/>
      <c r="AV683" s="138"/>
      <c r="AW683" s="138"/>
      <c r="AX683" s="138"/>
      <c r="AY683" s="138"/>
      <c r="AZ683" s="138"/>
      <c r="BA683" s="138"/>
      <c r="BB683" s="138"/>
      <c r="BC683" s="138"/>
      <c r="BD683" s="138"/>
      <c r="BE683" s="138"/>
      <c r="BF683" s="138"/>
      <c r="BG683" s="138"/>
      <c r="BH683" s="138"/>
      <c r="BI683" s="138"/>
      <c r="BJ683" s="138"/>
      <c r="BK683" s="138"/>
      <c r="BL683" s="138"/>
      <c r="BM683" s="138"/>
      <c r="BN683" s="138"/>
      <c r="BO683" s="138"/>
    </row>
    <row r="684" spans="1:67" ht="22.5" customHeight="1" x14ac:dyDescent="0.2">
      <c r="A684" s="167">
        <v>166</v>
      </c>
      <c r="B684" s="168" t="s">
        <v>971</v>
      </c>
      <c r="C684" s="169"/>
      <c r="D684" s="170" t="s">
        <v>163</v>
      </c>
      <c r="E684" s="170"/>
      <c r="F684" s="170"/>
      <c r="G684" s="170"/>
      <c r="H684" s="246" t="s">
        <v>137</v>
      </c>
      <c r="I684" s="217" t="s">
        <v>972</v>
      </c>
      <c r="J684" s="223" t="s">
        <v>252</v>
      </c>
      <c r="K684" s="353">
        <f>K687*50%</f>
        <v>75000</v>
      </c>
      <c r="L684" s="169" t="s">
        <v>166</v>
      </c>
      <c r="M684" s="175" t="s">
        <v>973</v>
      </c>
      <c r="AV684" s="138"/>
      <c r="AW684" s="138"/>
      <c r="AX684" s="138"/>
      <c r="AY684" s="138"/>
      <c r="AZ684" s="138"/>
      <c r="BA684" s="138"/>
      <c r="BB684" s="138"/>
      <c r="BC684" s="138"/>
      <c r="BD684" s="138"/>
      <c r="BE684" s="138"/>
      <c r="BF684" s="138"/>
      <c r="BG684" s="138"/>
      <c r="BH684" s="138"/>
      <c r="BI684" s="138"/>
      <c r="BJ684" s="138"/>
      <c r="BK684" s="138"/>
      <c r="BL684" s="138"/>
      <c r="BM684" s="138"/>
      <c r="BN684" s="138"/>
      <c r="BO684" s="138"/>
    </row>
    <row r="685" spans="1:67" ht="24" customHeight="1" x14ac:dyDescent="0.2">
      <c r="A685" s="177"/>
      <c r="B685" s="178"/>
      <c r="C685" s="179"/>
      <c r="D685" s="180"/>
      <c r="E685" s="180"/>
      <c r="F685" s="180"/>
      <c r="G685" s="180"/>
      <c r="H685" s="248"/>
      <c r="I685" s="188" t="s">
        <v>974</v>
      </c>
      <c r="J685" s="207" t="s">
        <v>252</v>
      </c>
      <c r="K685" s="343">
        <f>K687*15%</f>
        <v>22500</v>
      </c>
      <c r="L685" s="179"/>
      <c r="M685" s="185"/>
      <c r="AV685" s="138"/>
      <c r="AW685" s="138"/>
      <c r="AX685" s="138"/>
      <c r="AY685" s="138"/>
      <c r="AZ685" s="138"/>
      <c r="BA685" s="138"/>
      <c r="BB685" s="138"/>
      <c r="BC685" s="138"/>
      <c r="BD685" s="138"/>
      <c r="BE685" s="138"/>
      <c r="BF685" s="138"/>
      <c r="BG685" s="138"/>
      <c r="BH685" s="138"/>
      <c r="BI685" s="138"/>
      <c r="BJ685" s="138"/>
      <c r="BK685" s="138"/>
      <c r="BL685" s="138"/>
      <c r="BM685" s="138"/>
      <c r="BN685" s="138"/>
      <c r="BO685" s="138"/>
    </row>
    <row r="686" spans="1:67" ht="24" customHeight="1" x14ac:dyDescent="0.2">
      <c r="A686" s="177"/>
      <c r="B686" s="178"/>
      <c r="C686" s="179"/>
      <c r="D686" s="180"/>
      <c r="E686" s="180"/>
      <c r="F686" s="180"/>
      <c r="G686" s="180"/>
      <c r="H686" s="248"/>
      <c r="I686" s="188" t="s">
        <v>975</v>
      </c>
      <c r="J686" s="207" t="s">
        <v>594</v>
      </c>
      <c r="K686" s="343">
        <f>K687*35%</f>
        <v>52500</v>
      </c>
      <c r="L686" s="179"/>
      <c r="M686" s="185"/>
      <c r="AV686" s="138"/>
      <c r="AW686" s="138"/>
      <c r="AX686" s="138"/>
      <c r="AY686" s="138"/>
      <c r="AZ686" s="138"/>
      <c r="BA686" s="138"/>
      <c r="BB686" s="138"/>
      <c r="BC686" s="138"/>
      <c r="BD686" s="138"/>
      <c r="BE686" s="138"/>
      <c r="BF686" s="138"/>
      <c r="BG686" s="138"/>
      <c r="BH686" s="138"/>
      <c r="BI686" s="138"/>
      <c r="BJ686" s="138"/>
      <c r="BK686" s="138"/>
      <c r="BL686" s="138"/>
      <c r="BM686" s="138"/>
      <c r="BN686" s="138"/>
      <c r="BO686" s="138"/>
    </row>
    <row r="687" spans="1:67" ht="27" customHeight="1" x14ac:dyDescent="0.2">
      <c r="A687" s="189"/>
      <c r="B687" s="190"/>
      <c r="C687" s="191"/>
      <c r="D687" s="192"/>
      <c r="E687" s="192"/>
      <c r="F687" s="192"/>
      <c r="G687" s="192"/>
      <c r="H687" s="249"/>
      <c r="I687" s="203"/>
      <c r="J687" s="204"/>
      <c r="K687" s="354">
        <v>150000</v>
      </c>
      <c r="L687" s="191"/>
      <c r="M687" s="197"/>
      <c r="AV687" s="138"/>
      <c r="AW687" s="138"/>
      <c r="AX687" s="138"/>
      <c r="AY687" s="138"/>
      <c r="AZ687" s="138"/>
      <c r="BA687" s="138"/>
      <c r="BB687" s="138"/>
      <c r="BC687" s="138"/>
      <c r="BD687" s="138"/>
      <c r="BE687" s="138"/>
      <c r="BF687" s="138"/>
      <c r="BG687" s="138"/>
      <c r="BH687" s="138"/>
      <c r="BI687" s="138"/>
      <c r="BJ687" s="138"/>
      <c r="BK687" s="138"/>
      <c r="BL687" s="138"/>
      <c r="BM687" s="138"/>
      <c r="BN687" s="138"/>
      <c r="BO687" s="138"/>
    </row>
    <row r="688" spans="1:67" ht="23.25" customHeight="1" x14ac:dyDescent="0.2">
      <c r="A688" s="167">
        <v>167</v>
      </c>
      <c r="B688" s="168" t="s">
        <v>976</v>
      </c>
      <c r="C688" s="169"/>
      <c r="D688" s="170" t="s">
        <v>163</v>
      </c>
      <c r="E688" s="170"/>
      <c r="F688" s="170"/>
      <c r="G688" s="170"/>
      <c r="H688" s="246" t="s">
        <v>964</v>
      </c>
      <c r="I688" s="217" t="s">
        <v>977</v>
      </c>
      <c r="J688" s="247" t="s">
        <v>252</v>
      </c>
      <c r="K688" s="356">
        <f>K693*70%</f>
        <v>182000</v>
      </c>
      <c r="L688" s="169" t="s">
        <v>166</v>
      </c>
      <c r="M688" s="175" t="s">
        <v>978</v>
      </c>
      <c r="AV688" s="138"/>
      <c r="AW688" s="138"/>
      <c r="AX688" s="138"/>
      <c r="AY688" s="138"/>
      <c r="AZ688" s="138"/>
      <c r="BA688" s="138"/>
      <c r="BB688" s="138"/>
      <c r="BC688" s="138"/>
      <c r="BD688" s="138"/>
      <c r="BE688" s="138"/>
      <c r="BF688" s="138"/>
      <c r="BG688" s="138"/>
      <c r="BH688" s="138"/>
      <c r="BI688" s="138"/>
      <c r="BJ688" s="138"/>
      <c r="BK688" s="138"/>
      <c r="BL688" s="138"/>
      <c r="BM688" s="138"/>
      <c r="BN688" s="138"/>
      <c r="BO688" s="138"/>
    </row>
    <row r="689" spans="1:67" ht="23.25" customHeight="1" x14ac:dyDescent="0.2">
      <c r="A689" s="177"/>
      <c r="B689" s="178"/>
      <c r="C689" s="179"/>
      <c r="D689" s="180"/>
      <c r="E689" s="180"/>
      <c r="F689" s="180"/>
      <c r="G689" s="180"/>
      <c r="H689" s="248"/>
      <c r="I689" s="188" t="s">
        <v>979</v>
      </c>
      <c r="J689" s="207" t="s">
        <v>980</v>
      </c>
      <c r="K689" s="343">
        <f>K693*10%</f>
        <v>26000</v>
      </c>
      <c r="L689" s="179"/>
      <c r="M689" s="185"/>
      <c r="AV689" s="138"/>
      <c r="AW689" s="138"/>
      <c r="AX689" s="138"/>
      <c r="AY689" s="138"/>
      <c r="AZ689" s="138"/>
      <c r="BA689" s="138"/>
      <c r="BB689" s="138"/>
      <c r="BC689" s="138"/>
      <c r="BD689" s="138"/>
      <c r="BE689" s="138"/>
      <c r="BF689" s="138"/>
      <c r="BG689" s="138"/>
      <c r="BH689" s="138"/>
      <c r="BI689" s="138"/>
      <c r="BJ689" s="138"/>
      <c r="BK689" s="138"/>
      <c r="BL689" s="138"/>
      <c r="BM689" s="138"/>
      <c r="BN689" s="138"/>
      <c r="BO689" s="138"/>
    </row>
    <row r="690" spans="1:67" ht="22.5" customHeight="1" x14ac:dyDescent="0.2">
      <c r="A690" s="177"/>
      <c r="B690" s="178"/>
      <c r="C690" s="179"/>
      <c r="D690" s="180"/>
      <c r="E690" s="180"/>
      <c r="F690" s="180"/>
      <c r="G690" s="180"/>
      <c r="H690" s="248"/>
      <c r="I690" s="188" t="s">
        <v>981</v>
      </c>
      <c r="J690" s="207" t="s">
        <v>980</v>
      </c>
      <c r="K690" s="343">
        <f>K693*10%</f>
        <v>26000</v>
      </c>
      <c r="L690" s="179"/>
      <c r="M690" s="185"/>
      <c r="AV690" s="138"/>
      <c r="AW690" s="138"/>
      <c r="AX690" s="138"/>
      <c r="AY690" s="138"/>
      <c r="AZ690" s="138"/>
      <c r="BA690" s="138"/>
      <c r="BB690" s="138"/>
      <c r="BC690" s="138"/>
      <c r="BD690" s="138"/>
      <c r="BE690" s="138"/>
      <c r="BF690" s="138"/>
      <c r="BG690" s="138"/>
      <c r="BH690" s="138"/>
      <c r="BI690" s="138"/>
      <c r="BJ690" s="138"/>
      <c r="BK690" s="138"/>
      <c r="BL690" s="138"/>
      <c r="BM690" s="138"/>
      <c r="BN690" s="138"/>
      <c r="BO690" s="138"/>
    </row>
    <row r="691" spans="1:67" ht="21" customHeight="1" x14ac:dyDescent="0.2">
      <c r="A691" s="177"/>
      <c r="B691" s="178"/>
      <c r="C691" s="179"/>
      <c r="D691" s="180"/>
      <c r="E691" s="180"/>
      <c r="F691" s="180"/>
      <c r="G691" s="180"/>
      <c r="H691" s="248"/>
      <c r="I691" s="188" t="s">
        <v>982</v>
      </c>
      <c r="J691" s="207" t="s">
        <v>983</v>
      </c>
      <c r="K691" s="343">
        <f>K693*5%</f>
        <v>13000</v>
      </c>
      <c r="L691" s="179"/>
      <c r="M691" s="185"/>
      <c r="AV691" s="138"/>
      <c r="AW691" s="138"/>
      <c r="AX691" s="138"/>
      <c r="AY691" s="138"/>
      <c r="AZ691" s="138"/>
      <c r="BA691" s="138"/>
      <c r="BB691" s="138"/>
      <c r="BC691" s="138"/>
      <c r="BD691" s="138"/>
      <c r="BE691" s="138"/>
      <c r="BF691" s="138"/>
      <c r="BG691" s="138"/>
      <c r="BH691" s="138"/>
      <c r="BI691" s="138"/>
      <c r="BJ691" s="138"/>
      <c r="BK691" s="138"/>
      <c r="BL691" s="138"/>
      <c r="BM691" s="138"/>
      <c r="BN691" s="138"/>
      <c r="BO691" s="138"/>
    </row>
    <row r="692" spans="1:67" ht="23.25" customHeight="1" x14ac:dyDescent="0.2">
      <c r="A692" s="177"/>
      <c r="B692" s="178"/>
      <c r="C692" s="179"/>
      <c r="D692" s="180"/>
      <c r="E692" s="180"/>
      <c r="F692" s="180"/>
      <c r="G692" s="180"/>
      <c r="H692" s="248"/>
      <c r="I692" s="188" t="s">
        <v>694</v>
      </c>
      <c r="J692" s="207" t="s">
        <v>274</v>
      </c>
      <c r="K692" s="343">
        <f>K693*5%</f>
        <v>13000</v>
      </c>
      <c r="L692" s="179"/>
      <c r="M692" s="185"/>
      <c r="AV692" s="138"/>
      <c r="AW692" s="138"/>
      <c r="AX692" s="138"/>
      <c r="AY692" s="138"/>
      <c r="AZ692" s="138"/>
      <c r="BA692" s="138"/>
      <c r="BB692" s="138"/>
      <c r="BC692" s="138"/>
      <c r="BD692" s="138"/>
      <c r="BE692" s="138"/>
      <c r="BF692" s="138"/>
      <c r="BG692" s="138"/>
      <c r="BH692" s="138"/>
      <c r="BI692" s="138"/>
      <c r="BJ692" s="138"/>
      <c r="BK692" s="138"/>
      <c r="BL692" s="138"/>
      <c r="BM692" s="138"/>
      <c r="BN692" s="138"/>
      <c r="BO692" s="138"/>
    </row>
    <row r="693" spans="1:67" ht="27" customHeight="1" x14ac:dyDescent="0.2">
      <c r="A693" s="189"/>
      <c r="B693" s="190"/>
      <c r="C693" s="191"/>
      <c r="D693" s="192"/>
      <c r="E693" s="192"/>
      <c r="F693" s="192"/>
      <c r="G693" s="192"/>
      <c r="H693" s="192"/>
      <c r="I693" s="171"/>
      <c r="J693" s="172"/>
      <c r="K693" s="351">
        <v>260000</v>
      </c>
      <c r="L693" s="191"/>
      <c r="M693" s="197"/>
      <c r="AV693" s="138"/>
      <c r="AW693" s="138"/>
      <c r="AX693" s="138"/>
      <c r="AY693" s="138"/>
      <c r="AZ693" s="138"/>
      <c r="BA693" s="138"/>
      <c r="BB693" s="138"/>
      <c r="BC693" s="138"/>
      <c r="BD693" s="138"/>
      <c r="BE693" s="138"/>
      <c r="BF693" s="138"/>
      <c r="BG693" s="138"/>
      <c r="BH693" s="138"/>
      <c r="BI693" s="138"/>
      <c r="BJ693" s="138"/>
      <c r="BK693" s="138"/>
      <c r="BL693" s="138"/>
      <c r="BM693" s="138"/>
      <c r="BN693" s="138"/>
      <c r="BO693" s="138"/>
    </row>
    <row r="694" spans="1:67" ht="23.25" customHeight="1" x14ac:dyDescent="0.2">
      <c r="A694" s="167">
        <v>168</v>
      </c>
      <c r="B694" s="168" t="s">
        <v>984</v>
      </c>
      <c r="C694" s="169"/>
      <c r="D694" s="170" t="s">
        <v>163</v>
      </c>
      <c r="E694" s="170"/>
      <c r="F694" s="170"/>
      <c r="G694" s="170"/>
      <c r="H694" s="246" t="s">
        <v>985</v>
      </c>
      <c r="I694" s="217" t="s">
        <v>986</v>
      </c>
      <c r="J694" s="223" t="s">
        <v>179</v>
      </c>
      <c r="K694" s="353">
        <f>K705*30%</f>
        <v>45000</v>
      </c>
      <c r="L694" s="169" t="s">
        <v>166</v>
      </c>
      <c r="M694" s="175" t="s">
        <v>987</v>
      </c>
      <c r="AV694" s="138"/>
      <c r="AW694" s="138"/>
      <c r="AX694" s="138"/>
      <c r="AY694" s="138"/>
      <c r="AZ694" s="138"/>
      <c r="BA694" s="138"/>
      <c r="BB694" s="138"/>
      <c r="BC694" s="138"/>
      <c r="BD694" s="138"/>
      <c r="BE694" s="138"/>
      <c r="BF694" s="138"/>
      <c r="BG694" s="138"/>
      <c r="BH694" s="138"/>
      <c r="BI694" s="138"/>
      <c r="BJ694" s="138"/>
      <c r="BK694" s="138"/>
      <c r="BL694" s="138"/>
      <c r="BM694" s="138"/>
      <c r="BN694" s="138"/>
      <c r="BO694" s="138"/>
    </row>
    <row r="695" spans="1:67" ht="22.5" customHeight="1" x14ac:dyDescent="0.2">
      <c r="A695" s="177"/>
      <c r="B695" s="178"/>
      <c r="C695" s="179"/>
      <c r="D695" s="180"/>
      <c r="E695" s="180"/>
      <c r="F695" s="180"/>
      <c r="G695" s="180"/>
      <c r="H695" s="248"/>
      <c r="I695" s="188" t="s">
        <v>988</v>
      </c>
      <c r="J695" s="207" t="s">
        <v>989</v>
      </c>
      <c r="K695" s="343">
        <f>K705*10%</f>
        <v>15000</v>
      </c>
      <c r="L695" s="179"/>
      <c r="M695" s="185"/>
      <c r="N695" s="176"/>
      <c r="AV695" s="138"/>
      <c r="AW695" s="138"/>
      <c r="AX695" s="138"/>
      <c r="AY695" s="138"/>
      <c r="AZ695" s="138"/>
      <c r="BA695" s="138"/>
      <c r="BB695" s="138"/>
      <c r="BC695" s="138"/>
      <c r="BD695" s="138"/>
      <c r="BE695" s="138"/>
      <c r="BF695" s="138"/>
      <c r="BG695" s="138"/>
      <c r="BH695" s="138"/>
      <c r="BI695" s="138"/>
      <c r="BJ695" s="138"/>
      <c r="BK695" s="138"/>
      <c r="BL695" s="138"/>
      <c r="BM695" s="138"/>
      <c r="BN695" s="138"/>
      <c r="BO695" s="138"/>
    </row>
    <row r="696" spans="1:67" ht="24" customHeight="1" x14ac:dyDescent="0.2">
      <c r="A696" s="177"/>
      <c r="B696" s="178"/>
      <c r="C696" s="179"/>
      <c r="D696" s="180"/>
      <c r="E696" s="180"/>
      <c r="F696" s="180"/>
      <c r="G696" s="180"/>
      <c r="H696" s="248"/>
      <c r="I696" s="188" t="s">
        <v>990</v>
      </c>
      <c r="J696" s="207" t="s">
        <v>179</v>
      </c>
      <c r="K696" s="343">
        <f>K705*10%</f>
        <v>15000</v>
      </c>
      <c r="L696" s="179"/>
      <c r="M696" s="185"/>
      <c r="AV696" s="138"/>
      <c r="AW696" s="138"/>
      <c r="AX696" s="138"/>
      <c r="AY696" s="138"/>
      <c r="AZ696" s="138"/>
      <c r="BA696" s="138"/>
      <c r="BB696" s="138"/>
      <c r="BC696" s="138"/>
      <c r="BD696" s="138"/>
      <c r="BE696" s="138"/>
      <c r="BF696" s="138"/>
      <c r="BG696" s="138"/>
      <c r="BH696" s="138"/>
      <c r="BI696" s="138"/>
      <c r="BJ696" s="138"/>
      <c r="BK696" s="138"/>
      <c r="BL696" s="138"/>
      <c r="BM696" s="138"/>
      <c r="BN696" s="138"/>
      <c r="BO696" s="138"/>
    </row>
    <row r="697" spans="1:67" ht="21.75" customHeight="1" x14ac:dyDescent="0.2">
      <c r="A697" s="177"/>
      <c r="B697" s="178"/>
      <c r="C697" s="179"/>
      <c r="D697" s="180"/>
      <c r="E697" s="180"/>
      <c r="F697" s="180"/>
      <c r="G697" s="180"/>
      <c r="H697" s="248"/>
      <c r="I697" s="188" t="s">
        <v>991</v>
      </c>
      <c r="J697" s="207" t="s">
        <v>179</v>
      </c>
      <c r="K697" s="343">
        <f>K705*10%</f>
        <v>15000</v>
      </c>
      <c r="L697" s="179"/>
      <c r="M697" s="185"/>
      <c r="AV697" s="138"/>
      <c r="AW697" s="138"/>
      <c r="AX697" s="138"/>
      <c r="AY697" s="138"/>
      <c r="AZ697" s="138"/>
      <c r="BA697" s="138"/>
      <c r="BB697" s="138"/>
      <c r="BC697" s="138"/>
      <c r="BD697" s="138"/>
      <c r="BE697" s="138"/>
      <c r="BF697" s="138"/>
      <c r="BG697" s="138"/>
      <c r="BH697" s="138"/>
      <c r="BI697" s="138"/>
      <c r="BJ697" s="138"/>
      <c r="BK697" s="138"/>
      <c r="BL697" s="138"/>
      <c r="BM697" s="138"/>
      <c r="BN697" s="138"/>
      <c r="BO697" s="138"/>
    </row>
    <row r="698" spans="1:67" ht="21.75" customHeight="1" x14ac:dyDescent="0.2">
      <c r="A698" s="177"/>
      <c r="B698" s="178"/>
      <c r="C698" s="179"/>
      <c r="D698" s="180"/>
      <c r="E698" s="180"/>
      <c r="F698" s="180"/>
      <c r="G698" s="180"/>
      <c r="H698" s="248"/>
      <c r="I698" s="188" t="s">
        <v>992</v>
      </c>
      <c r="J698" s="207" t="s">
        <v>179</v>
      </c>
      <c r="K698" s="343">
        <f>K705*10%</f>
        <v>15000</v>
      </c>
      <c r="L698" s="179"/>
      <c r="M698" s="185"/>
      <c r="AV698" s="138"/>
      <c r="AW698" s="138"/>
      <c r="AX698" s="138"/>
      <c r="AY698" s="138"/>
      <c r="AZ698" s="138"/>
      <c r="BA698" s="138"/>
      <c r="BB698" s="138"/>
      <c r="BC698" s="138"/>
      <c r="BD698" s="138"/>
      <c r="BE698" s="138"/>
      <c r="BF698" s="138"/>
      <c r="BG698" s="138"/>
      <c r="BH698" s="138"/>
      <c r="BI698" s="138"/>
      <c r="BJ698" s="138"/>
      <c r="BK698" s="138"/>
      <c r="BL698" s="138"/>
      <c r="BM698" s="138"/>
      <c r="BN698" s="138"/>
      <c r="BO698" s="138"/>
    </row>
    <row r="699" spans="1:67" ht="21.75" customHeight="1" x14ac:dyDescent="0.2">
      <c r="A699" s="177"/>
      <c r="B699" s="178"/>
      <c r="C699" s="179"/>
      <c r="D699" s="180"/>
      <c r="E699" s="180"/>
      <c r="F699" s="180"/>
      <c r="G699" s="180"/>
      <c r="H699" s="248"/>
      <c r="I699" s="188" t="s">
        <v>993</v>
      </c>
      <c r="J699" s="207" t="s">
        <v>186</v>
      </c>
      <c r="K699" s="343">
        <f>K705*5%</f>
        <v>7500</v>
      </c>
      <c r="L699" s="179"/>
      <c r="M699" s="185"/>
      <c r="N699" s="176"/>
      <c r="AV699" s="138"/>
      <c r="AW699" s="138"/>
      <c r="AX699" s="138"/>
      <c r="AY699" s="138"/>
      <c r="AZ699" s="138"/>
      <c r="BA699" s="138"/>
      <c r="BB699" s="138"/>
      <c r="BC699" s="138"/>
      <c r="BD699" s="138"/>
      <c r="BE699" s="138"/>
      <c r="BF699" s="138"/>
      <c r="BG699" s="138"/>
      <c r="BH699" s="138"/>
      <c r="BI699" s="138"/>
      <c r="BJ699" s="138"/>
      <c r="BK699" s="138"/>
      <c r="BL699" s="138"/>
      <c r="BM699" s="138"/>
      <c r="BN699" s="138"/>
      <c r="BO699" s="138"/>
    </row>
    <row r="700" spans="1:67" ht="21.75" customHeight="1" x14ac:dyDescent="0.2">
      <c r="A700" s="177"/>
      <c r="B700" s="178"/>
      <c r="C700" s="179"/>
      <c r="D700" s="180"/>
      <c r="E700" s="180"/>
      <c r="F700" s="180"/>
      <c r="G700" s="180"/>
      <c r="H700" s="248"/>
      <c r="I700" s="188" t="s">
        <v>994</v>
      </c>
      <c r="J700" s="207" t="s">
        <v>176</v>
      </c>
      <c r="K700" s="343">
        <f>K705*5%</f>
        <v>7500</v>
      </c>
      <c r="L700" s="179"/>
      <c r="M700" s="185"/>
      <c r="AV700" s="138"/>
      <c r="AW700" s="138"/>
      <c r="AX700" s="138"/>
      <c r="AY700" s="138"/>
      <c r="AZ700" s="138"/>
      <c r="BA700" s="138"/>
      <c r="BB700" s="138"/>
      <c r="BC700" s="138"/>
      <c r="BD700" s="138"/>
      <c r="BE700" s="138"/>
      <c r="BF700" s="138"/>
      <c r="BG700" s="138"/>
      <c r="BH700" s="138"/>
      <c r="BI700" s="138"/>
      <c r="BJ700" s="138"/>
      <c r="BK700" s="138"/>
      <c r="BL700" s="138"/>
      <c r="BM700" s="138"/>
      <c r="BN700" s="138"/>
      <c r="BO700" s="138"/>
    </row>
    <row r="701" spans="1:67" ht="21.75" customHeight="1" x14ac:dyDescent="0.2">
      <c r="A701" s="177"/>
      <c r="B701" s="178"/>
      <c r="C701" s="179"/>
      <c r="D701" s="180"/>
      <c r="E701" s="180"/>
      <c r="F701" s="180"/>
      <c r="G701" s="180"/>
      <c r="H701" s="248"/>
      <c r="I701" s="188" t="s">
        <v>995</v>
      </c>
      <c r="J701" s="207" t="s">
        <v>996</v>
      </c>
      <c r="K701" s="343">
        <f>K705*5%</f>
        <v>7500</v>
      </c>
      <c r="L701" s="179"/>
      <c r="M701" s="185"/>
      <c r="N701" s="176"/>
      <c r="AV701" s="138"/>
      <c r="AW701" s="138"/>
      <c r="AX701" s="138"/>
      <c r="AY701" s="138"/>
      <c r="AZ701" s="138"/>
      <c r="BA701" s="138"/>
      <c r="BB701" s="138"/>
      <c r="BC701" s="138"/>
      <c r="BD701" s="138"/>
      <c r="BE701" s="138"/>
      <c r="BF701" s="138"/>
      <c r="BG701" s="138"/>
      <c r="BH701" s="138"/>
      <c r="BI701" s="138"/>
      <c r="BJ701" s="138"/>
      <c r="BK701" s="138"/>
      <c r="BL701" s="138"/>
      <c r="BM701" s="138"/>
      <c r="BN701" s="138"/>
      <c r="BO701" s="138"/>
    </row>
    <row r="702" spans="1:67" ht="21.75" customHeight="1" x14ac:dyDescent="0.2">
      <c r="A702" s="177"/>
      <c r="B702" s="178"/>
      <c r="C702" s="179"/>
      <c r="D702" s="180"/>
      <c r="E702" s="180"/>
      <c r="F702" s="180"/>
      <c r="G702" s="180"/>
      <c r="H702" s="248"/>
      <c r="I702" s="188" t="s">
        <v>997</v>
      </c>
      <c r="J702" s="207" t="s">
        <v>998</v>
      </c>
      <c r="K702" s="343">
        <f>K705*5%</f>
        <v>7500</v>
      </c>
      <c r="L702" s="179"/>
      <c r="M702" s="185"/>
      <c r="AV702" s="138"/>
      <c r="AW702" s="138"/>
      <c r="AX702" s="138"/>
      <c r="AY702" s="138"/>
      <c r="AZ702" s="138"/>
      <c r="BA702" s="138"/>
      <c r="BB702" s="138"/>
      <c r="BC702" s="138"/>
      <c r="BD702" s="138"/>
      <c r="BE702" s="138"/>
      <c r="BF702" s="138"/>
      <c r="BG702" s="138"/>
      <c r="BH702" s="138"/>
      <c r="BI702" s="138"/>
      <c r="BJ702" s="138"/>
      <c r="BK702" s="138"/>
      <c r="BL702" s="138"/>
      <c r="BM702" s="138"/>
      <c r="BN702" s="138"/>
      <c r="BO702" s="138"/>
    </row>
    <row r="703" spans="1:67" ht="21.75" customHeight="1" x14ac:dyDescent="0.2">
      <c r="A703" s="177"/>
      <c r="B703" s="178"/>
      <c r="C703" s="179"/>
      <c r="D703" s="180"/>
      <c r="E703" s="180"/>
      <c r="F703" s="180"/>
      <c r="G703" s="180"/>
      <c r="H703" s="248"/>
      <c r="I703" s="188" t="s">
        <v>999</v>
      </c>
      <c r="J703" s="207" t="s">
        <v>1000</v>
      </c>
      <c r="K703" s="343">
        <f>K705*5%</f>
        <v>7500</v>
      </c>
      <c r="L703" s="179"/>
      <c r="M703" s="185"/>
      <c r="N703" s="176"/>
      <c r="AV703" s="138"/>
      <c r="AW703" s="138"/>
      <c r="AX703" s="138"/>
      <c r="AY703" s="138"/>
      <c r="AZ703" s="138"/>
      <c r="BA703" s="138"/>
      <c r="BB703" s="138"/>
      <c r="BC703" s="138"/>
      <c r="BD703" s="138"/>
      <c r="BE703" s="138"/>
      <c r="BF703" s="138"/>
      <c r="BG703" s="138"/>
      <c r="BH703" s="138"/>
      <c r="BI703" s="138"/>
      <c r="BJ703" s="138"/>
      <c r="BK703" s="138"/>
      <c r="BL703" s="138"/>
      <c r="BM703" s="138"/>
      <c r="BN703" s="138"/>
      <c r="BO703" s="138"/>
    </row>
    <row r="704" spans="1:67" ht="21.75" customHeight="1" x14ac:dyDescent="0.2">
      <c r="A704" s="177"/>
      <c r="B704" s="178"/>
      <c r="C704" s="179"/>
      <c r="D704" s="180"/>
      <c r="E704" s="180"/>
      <c r="F704" s="180"/>
      <c r="G704" s="180"/>
      <c r="H704" s="248"/>
      <c r="I704" s="188" t="s">
        <v>1001</v>
      </c>
      <c r="J704" s="207" t="s">
        <v>1002</v>
      </c>
      <c r="K704" s="343">
        <f>K705*5%</f>
        <v>7500</v>
      </c>
      <c r="L704" s="179"/>
      <c r="M704" s="185"/>
      <c r="AV704" s="138"/>
      <c r="AW704" s="138"/>
      <c r="AX704" s="138"/>
      <c r="AY704" s="138"/>
      <c r="AZ704" s="138"/>
      <c r="BA704" s="138"/>
      <c r="BB704" s="138"/>
      <c r="BC704" s="138"/>
      <c r="BD704" s="138"/>
      <c r="BE704" s="138"/>
      <c r="BF704" s="138"/>
      <c r="BG704" s="138"/>
      <c r="BH704" s="138"/>
      <c r="BI704" s="138"/>
      <c r="BJ704" s="138"/>
      <c r="BK704" s="138"/>
      <c r="BL704" s="138"/>
      <c r="BM704" s="138"/>
      <c r="BN704" s="138"/>
      <c r="BO704" s="138"/>
    </row>
    <row r="705" spans="1:67" ht="27" customHeight="1" x14ac:dyDescent="0.2">
      <c r="A705" s="177"/>
      <c r="B705" s="190"/>
      <c r="C705" s="191"/>
      <c r="D705" s="180"/>
      <c r="E705" s="180"/>
      <c r="F705" s="180"/>
      <c r="G705" s="180"/>
      <c r="H705" s="249"/>
      <c r="I705" s="203"/>
      <c r="J705" s="204"/>
      <c r="K705" s="354">
        <v>150000</v>
      </c>
      <c r="L705" s="191"/>
      <c r="M705" s="197"/>
      <c r="AV705" s="138"/>
      <c r="AW705" s="138"/>
      <c r="AX705" s="138"/>
      <c r="AY705" s="138"/>
      <c r="AZ705" s="138"/>
      <c r="BA705" s="138"/>
      <c r="BB705" s="138"/>
      <c r="BC705" s="138"/>
      <c r="BD705" s="138"/>
      <c r="BE705" s="138"/>
      <c r="BF705" s="138"/>
      <c r="BG705" s="138"/>
      <c r="BH705" s="138"/>
      <c r="BI705" s="138"/>
      <c r="BJ705" s="138"/>
      <c r="BK705" s="138"/>
      <c r="BL705" s="138"/>
      <c r="BM705" s="138"/>
      <c r="BN705" s="138"/>
      <c r="BO705" s="138"/>
    </row>
    <row r="706" spans="1:67" x14ac:dyDescent="0.2">
      <c r="A706" s="170">
        <v>169</v>
      </c>
      <c r="B706" s="168" t="s">
        <v>1003</v>
      </c>
      <c r="C706" s="169"/>
      <c r="D706" s="170" t="s">
        <v>25</v>
      </c>
      <c r="E706" s="170"/>
      <c r="F706" s="170"/>
      <c r="G706" s="170"/>
      <c r="H706" s="170" t="s">
        <v>750</v>
      </c>
      <c r="I706" s="362" t="s">
        <v>1004</v>
      </c>
      <c r="J706" s="259" t="s">
        <v>655</v>
      </c>
      <c r="K706" s="363">
        <v>7972400</v>
      </c>
      <c r="L706" s="175" t="s">
        <v>1005</v>
      </c>
      <c r="M706" s="175" t="s">
        <v>1006</v>
      </c>
      <c r="AV706" s="138"/>
      <c r="AW706" s="138"/>
      <c r="AX706" s="138"/>
      <c r="AY706" s="138"/>
      <c r="AZ706" s="138"/>
      <c r="BA706" s="138"/>
      <c r="BB706" s="138"/>
      <c r="BC706" s="138"/>
      <c r="BD706" s="138"/>
      <c r="BE706" s="138"/>
      <c r="BF706" s="138"/>
      <c r="BG706" s="138"/>
      <c r="BH706" s="138"/>
      <c r="BI706" s="138"/>
      <c r="BJ706" s="138"/>
      <c r="BK706" s="138"/>
      <c r="BL706" s="138"/>
      <c r="BM706" s="138"/>
      <c r="BN706" s="138"/>
      <c r="BO706" s="138"/>
    </row>
    <row r="707" spans="1:67" x14ac:dyDescent="0.2">
      <c r="A707" s="180"/>
      <c r="B707" s="178"/>
      <c r="C707" s="179"/>
      <c r="D707" s="180"/>
      <c r="E707" s="180"/>
      <c r="F707" s="180"/>
      <c r="G707" s="180"/>
      <c r="H707" s="180"/>
      <c r="I707" s="332" t="s">
        <v>1007</v>
      </c>
      <c r="J707" s="364" t="s">
        <v>655</v>
      </c>
      <c r="K707" s="199">
        <v>1594480</v>
      </c>
      <c r="L707" s="185"/>
      <c r="M707" s="185"/>
      <c r="AV707" s="138"/>
      <c r="AW707" s="138"/>
      <c r="AX707" s="138"/>
      <c r="AY707" s="138"/>
      <c r="AZ707" s="138"/>
      <c r="BA707" s="138"/>
      <c r="BB707" s="138"/>
      <c r="BC707" s="138"/>
      <c r="BD707" s="138"/>
      <c r="BE707" s="138"/>
      <c r="BF707" s="138"/>
      <c r="BG707" s="138"/>
      <c r="BH707" s="138"/>
      <c r="BI707" s="138"/>
      <c r="BJ707" s="138"/>
      <c r="BK707" s="138"/>
      <c r="BL707" s="138"/>
      <c r="BM707" s="138"/>
      <c r="BN707" s="138"/>
      <c r="BO707" s="138"/>
    </row>
    <row r="708" spans="1:67" x14ac:dyDescent="0.2">
      <c r="A708" s="180"/>
      <c r="B708" s="178"/>
      <c r="C708" s="179"/>
      <c r="D708" s="180"/>
      <c r="E708" s="180"/>
      <c r="F708" s="180"/>
      <c r="G708" s="180"/>
      <c r="H708" s="180"/>
      <c r="I708" s="332" t="s">
        <v>1008</v>
      </c>
      <c r="J708" s="172" t="s">
        <v>655</v>
      </c>
      <c r="K708" s="199">
        <v>1594480</v>
      </c>
      <c r="L708" s="185"/>
      <c r="M708" s="185"/>
      <c r="AV708" s="138"/>
      <c r="AW708" s="138"/>
      <c r="AX708" s="138"/>
      <c r="AY708" s="138"/>
      <c r="AZ708" s="138"/>
      <c r="BA708" s="138"/>
      <c r="BB708" s="138"/>
      <c r="BC708" s="138"/>
      <c r="BD708" s="138"/>
      <c r="BE708" s="138"/>
      <c r="BF708" s="138"/>
      <c r="BG708" s="138"/>
      <c r="BH708" s="138"/>
      <c r="BI708" s="138"/>
      <c r="BJ708" s="138"/>
      <c r="BK708" s="138"/>
      <c r="BL708" s="138"/>
      <c r="BM708" s="138"/>
      <c r="BN708" s="138"/>
      <c r="BO708" s="138"/>
    </row>
    <row r="709" spans="1:67" ht="48" x14ac:dyDescent="0.2">
      <c r="A709" s="180"/>
      <c r="B709" s="178"/>
      <c r="C709" s="179"/>
      <c r="D709" s="180"/>
      <c r="E709" s="180"/>
      <c r="F709" s="180"/>
      <c r="G709" s="180"/>
      <c r="H709" s="180"/>
      <c r="I709" s="331" t="s">
        <v>568</v>
      </c>
      <c r="J709" s="226" t="s">
        <v>196</v>
      </c>
      <c r="K709" s="199">
        <v>1594480</v>
      </c>
      <c r="L709" s="185"/>
      <c r="M709" s="185"/>
      <c r="AV709" s="138"/>
      <c r="AW709" s="138"/>
      <c r="AX709" s="138"/>
      <c r="AY709" s="138"/>
      <c r="AZ709" s="138"/>
      <c r="BA709" s="138"/>
      <c r="BB709" s="138"/>
      <c r="BC709" s="138"/>
      <c r="BD709" s="138"/>
      <c r="BE709" s="138"/>
      <c r="BF709" s="138"/>
      <c r="BG709" s="138"/>
      <c r="BH709" s="138"/>
      <c r="BI709" s="138"/>
      <c r="BJ709" s="138"/>
      <c r="BK709" s="138"/>
      <c r="BL709" s="138"/>
      <c r="BM709" s="138"/>
      <c r="BN709" s="138"/>
      <c r="BO709" s="138"/>
    </row>
    <row r="710" spans="1:67" x14ac:dyDescent="0.2">
      <c r="A710" s="180"/>
      <c r="B710" s="178"/>
      <c r="C710" s="179"/>
      <c r="D710" s="180"/>
      <c r="E710" s="180"/>
      <c r="F710" s="180"/>
      <c r="G710" s="180"/>
      <c r="H710" s="180"/>
      <c r="I710" s="365" t="s">
        <v>1009</v>
      </c>
      <c r="J710" s="366" t="s">
        <v>190</v>
      </c>
      <c r="K710" s="199">
        <v>1594480</v>
      </c>
      <c r="L710" s="185"/>
      <c r="M710" s="185"/>
      <c r="AV710" s="138"/>
      <c r="AW710" s="138"/>
      <c r="AX710" s="138"/>
      <c r="AY710" s="138"/>
      <c r="AZ710" s="138"/>
      <c r="BA710" s="138"/>
      <c r="BB710" s="138"/>
      <c r="BC710" s="138"/>
      <c r="BD710" s="138"/>
      <c r="BE710" s="138"/>
      <c r="BF710" s="138"/>
      <c r="BG710" s="138"/>
      <c r="BH710" s="138"/>
      <c r="BI710" s="138"/>
      <c r="BJ710" s="138"/>
      <c r="BK710" s="138"/>
      <c r="BL710" s="138"/>
      <c r="BM710" s="138"/>
      <c r="BN710" s="138"/>
      <c r="BO710" s="138"/>
    </row>
    <row r="711" spans="1:67" x14ac:dyDescent="0.2">
      <c r="A711" s="180"/>
      <c r="B711" s="178"/>
      <c r="C711" s="179"/>
      <c r="D711" s="180"/>
      <c r="E711" s="180"/>
      <c r="F711" s="180"/>
      <c r="G711" s="180"/>
      <c r="H711" s="180"/>
      <c r="I711" s="332" t="s">
        <v>1010</v>
      </c>
      <c r="J711" s="340" t="s">
        <v>655</v>
      </c>
      <c r="K711" s="199">
        <v>797240</v>
      </c>
      <c r="L711" s="185"/>
      <c r="M711" s="185"/>
      <c r="AV711" s="138"/>
      <c r="AW711" s="138"/>
      <c r="AX711" s="138"/>
      <c r="AY711" s="138"/>
      <c r="AZ711" s="138"/>
      <c r="BA711" s="138"/>
      <c r="BB711" s="138"/>
      <c r="BC711" s="138"/>
      <c r="BD711" s="138"/>
      <c r="BE711" s="138"/>
      <c r="BF711" s="138"/>
      <c r="BG711" s="138"/>
      <c r="BH711" s="138"/>
      <c r="BI711" s="138"/>
      <c r="BJ711" s="138"/>
      <c r="BK711" s="138"/>
      <c r="BL711" s="138"/>
      <c r="BM711" s="138"/>
      <c r="BN711" s="138"/>
      <c r="BO711" s="138"/>
    </row>
    <row r="712" spans="1:67" x14ac:dyDescent="0.2">
      <c r="A712" s="180"/>
      <c r="B712" s="178"/>
      <c r="C712" s="179"/>
      <c r="D712" s="180"/>
      <c r="E712" s="180"/>
      <c r="F712" s="180"/>
      <c r="G712" s="180"/>
      <c r="H712" s="180"/>
      <c r="I712" s="331" t="s">
        <v>621</v>
      </c>
      <c r="J712" s="330" t="s">
        <v>190</v>
      </c>
      <c r="K712" s="214">
        <v>797240</v>
      </c>
      <c r="L712" s="185"/>
      <c r="M712" s="185"/>
      <c r="AV712" s="138"/>
      <c r="AW712" s="138"/>
      <c r="AX712" s="138"/>
      <c r="AY712" s="138"/>
      <c r="AZ712" s="138"/>
      <c r="BA712" s="138"/>
      <c r="BB712" s="138"/>
      <c r="BC712" s="138"/>
      <c r="BD712" s="138"/>
      <c r="BE712" s="138"/>
      <c r="BF712" s="138"/>
      <c r="BG712" s="138"/>
      <c r="BH712" s="138"/>
      <c r="BI712" s="138"/>
      <c r="BJ712" s="138"/>
      <c r="BK712" s="138"/>
      <c r="BL712" s="138"/>
      <c r="BM712" s="138"/>
      <c r="BN712" s="138"/>
      <c r="BO712" s="138"/>
    </row>
    <row r="713" spans="1:67" x14ac:dyDescent="0.2">
      <c r="A713" s="192"/>
      <c r="B713" s="190"/>
      <c r="C713" s="191"/>
      <c r="D713" s="192"/>
      <c r="E713" s="192"/>
      <c r="F713" s="192"/>
      <c r="G713" s="192"/>
      <c r="H713" s="192"/>
      <c r="I713" s="367"/>
      <c r="J713" s="333"/>
      <c r="K713" s="245">
        <v>15944800</v>
      </c>
      <c r="L713" s="197"/>
      <c r="M713" s="197"/>
      <c r="AV713" s="138"/>
      <c r="AW713" s="138"/>
      <c r="AX713" s="138"/>
      <c r="AY713" s="138"/>
      <c r="AZ713" s="138"/>
      <c r="BA713" s="138"/>
      <c r="BB713" s="138"/>
      <c r="BC713" s="138"/>
      <c r="BD713" s="138"/>
      <c r="BE713" s="138"/>
      <c r="BF713" s="138"/>
      <c r="BG713" s="138"/>
      <c r="BH713" s="138"/>
      <c r="BI713" s="138"/>
      <c r="BJ713" s="138"/>
      <c r="BK713" s="138"/>
      <c r="BL713" s="138"/>
      <c r="BM713" s="138"/>
      <c r="BN713" s="138"/>
      <c r="BO713" s="138"/>
    </row>
    <row r="714" spans="1:67" x14ac:dyDescent="0.2">
      <c r="A714" s="170">
        <v>170</v>
      </c>
      <c r="B714" s="168" t="s">
        <v>1011</v>
      </c>
      <c r="C714" s="169"/>
      <c r="D714" s="250" t="s">
        <v>107</v>
      </c>
      <c r="E714" s="170"/>
      <c r="F714" s="170"/>
      <c r="G714" s="170"/>
      <c r="H714" s="170"/>
      <c r="I714" s="171" t="s">
        <v>1012</v>
      </c>
      <c r="J714" s="198" t="s">
        <v>594</v>
      </c>
      <c r="K714" s="173">
        <f>7000*85%</f>
        <v>5950</v>
      </c>
      <c r="L714" s="174" t="s">
        <v>111</v>
      </c>
      <c r="M714" s="175" t="s">
        <v>1013</v>
      </c>
      <c r="AV714" s="138"/>
      <c r="AW714" s="138"/>
      <c r="AX714" s="138"/>
      <c r="AY714" s="138"/>
      <c r="AZ714" s="138"/>
      <c r="BA714" s="138"/>
      <c r="BB714" s="138"/>
      <c r="BC714" s="138"/>
      <c r="BD714" s="138"/>
      <c r="BE714" s="138"/>
      <c r="BF714" s="138"/>
      <c r="BG714" s="138"/>
      <c r="BH714" s="138"/>
      <c r="BI714" s="138"/>
      <c r="BJ714" s="138"/>
      <c r="BK714" s="138"/>
      <c r="BL714" s="138"/>
      <c r="BM714" s="138"/>
      <c r="BN714" s="138"/>
      <c r="BO714" s="138"/>
    </row>
    <row r="715" spans="1:67" x14ac:dyDescent="0.2">
      <c r="A715" s="180"/>
      <c r="B715" s="178"/>
      <c r="C715" s="179"/>
      <c r="D715" s="243"/>
      <c r="E715" s="180"/>
      <c r="F715" s="180"/>
      <c r="G715" s="180"/>
      <c r="H715" s="180"/>
      <c r="I715" s="188" t="s">
        <v>1014</v>
      </c>
      <c r="J715" s="291" t="s">
        <v>594</v>
      </c>
      <c r="K715" s="208">
        <f>7000*5%</f>
        <v>350</v>
      </c>
      <c r="L715" s="184"/>
      <c r="M715" s="185"/>
      <c r="AV715" s="138"/>
      <c r="AW715" s="138"/>
      <c r="AX715" s="138"/>
      <c r="AY715" s="138"/>
      <c r="AZ715" s="138"/>
      <c r="BA715" s="138"/>
      <c r="BB715" s="138"/>
      <c r="BC715" s="138"/>
      <c r="BD715" s="138"/>
      <c r="BE715" s="138"/>
      <c r="BF715" s="138"/>
      <c r="BG715" s="138"/>
      <c r="BH715" s="138"/>
      <c r="BI715" s="138"/>
      <c r="BJ715" s="138"/>
      <c r="BK715" s="138"/>
      <c r="BL715" s="138"/>
      <c r="BM715" s="138"/>
      <c r="BN715" s="138"/>
      <c r="BO715" s="138"/>
    </row>
    <row r="716" spans="1:67" x14ac:dyDescent="0.2">
      <c r="A716" s="180"/>
      <c r="B716" s="178"/>
      <c r="C716" s="179"/>
      <c r="D716" s="243"/>
      <c r="E716" s="180"/>
      <c r="F716" s="180"/>
      <c r="G716" s="180"/>
      <c r="H716" s="180"/>
      <c r="I716" s="188" t="s">
        <v>1015</v>
      </c>
      <c r="J716" s="172" t="s">
        <v>594</v>
      </c>
      <c r="K716" s="229">
        <f>7000*5%</f>
        <v>350</v>
      </c>
      <c r="L716" s="184"/>
      <c r="M716" s="185"/>
      <c r="AV716" s="138"/>
      <c r="AW716" s="138"/>
      <c r="AX716" s="138"/>
      <c r="AY716" s="138"/>
      <c r="AZ716" s="138"/>
      <c r="BA716" s="138"/>
      <c r="BB716" s="138"/>
      <c r="BC716" s="138"/>
      <c r="BD716" s="138"/>
      <c r="BE716" s="138"/>
      <c r="BF716" s="138"/>
      <c r="BG716" s="138"/>
      <c r="BH716" s="138"/>
      <c r="BI716" s="138"/>
      <c r="BJ716" s="138"/>
      <c r="BK716" s="138"/>
      <c r="BL716" s="138"/>
      <c r="BM716" s="138"/>
      <c r="BN716" s="138"/>
      <c r="BO716" s="138"/>
    </row>
    <row r="717" spans="1:67" ht="48" x14ac:dyDescent="0.2">
      <c r="A717" s="180"/>
      <c r="B717" s="178"/>
      <c r="C717" s="179"/>
      <c r="D717" s="243"/>
      <c r="E717" s="180"/>
      <c r="F717" s="180"/>
      <c r="G717" s="180"/>
      <c r="H717" s="180"/>
      <c r="I717" s="188" t="s">
        <v>1016</v>
      </c>
      <c r="J717" s="182" t="s">
        <v>594</v>
      </c>
      <c r="K717" s="208">
        <f>7000*5%</f>
        <v>350</v>
      </c>
      <c r="L717" s="184"/>
      <c r="M717" s="185"/>
      <c r="AV717" s="138"/>
      <c r="AW717" s="138"/>
      <c r="AX717" s="138"/>
      <c r="AY717" s="138"/>
      <c r="AZ717" s="138"/>
      <c r="BA717" s="138"/>
      <c r="BB717" s="138"/>
      <c r="BC717" s="138"/>
      <c r="BD717" s="138"/>
      <c r="BE717" s="138"/>
      <c r="BF717" s="138"/>
      <c r="BG717" s="138"/>
      <c r="BH717" s="138"/>
      <c r="BI717" s="138"/>
      <c r="BJ717" s="138"/>
      <c r="BK717" s="138"/>
      <c r="BL717" s="138"/>
      <c r="BM717" s="138"/>
      <c r="BN717" s="138"/>
      <c r="BO717" s="138"/>
    </row>
    <row r="718" spans="1:67" x14ac:dyDescent="0.2">
      <c r="A718" s="192"/>
      <c r="B718" s="190"/>
      <c r="C718" s="191"/>
      <c r="D718" s="244"/>
      <c r="E718" s="192"/>
      <c r="F718" s="192"/>
      <c r="G718" s="192"/>
      <c r="H718" s="192"/>
      <c r="I718" s="193"/>
      <c r="J718" s="215"/>
      <c r="K718" s="209">
        <f>SUM(K714:K717)</f>
        <v>7000</v>
      </c>
      <c r="L718" s="196"/>
      <c r="M718" s="197"/>
      <c r="AV718" s="138"/>
      <c r="AW718" s="138"/>
      <c r="AX718" s="138"/>
      <c r="AY718" s="138"/>
      <c r="AZ718" s="138"/>
      <c r="BA718" s="138"/>
      <c r="BB718" s="138"/>
      <c r="BC718" s="138"/>
      <c r="BD718" s="138"/>
      <c r="BE718" s="138"/>
      <c r="BF718" s="138"/>
      <c r="BG718" s="138"/>
      <c r="BH718" s="138"/>
      <c r="BI718" s="138"/>
      <c r="BJ718" s="138"/>
      <c r="BK718" s="138"/>
      <c r="BL718" s="138"/>
      <c r="BM718" s="138"/>
      <c r="BN718" s="138"/>
      <c r="BO718" s="138"/>
    </row>
    <row r="719" spans="1:67" x14ac:dyDescent="0.2">
      <c r="A719" s="170">
        <v>171</v>
      </c>
      <c r="B719" s="168" t="s">
        <v>1017</v>
      </c>
      <c r="C719" s="169"/>
      <c r="D719" s="250" t="s">
        <v>107</v>
      </c>
      <c r="E719" s="170"/>
      <c r="F719" s="170"/>
      <c r="G719" s="170"/>
      <c r="H719" s="170"/>
      <c r="I719" s="171" t="s">
        <v>1018</v>
      </c>
      <c r="J719" s="198" t="s">
        <v>594</v>
      </c>
      <c r="K719" s="206">
        <f>6500*80%</f>
        <v>5200</v>
      </c>
      <c r="L719" s="174" t="s">
        <v>111</v>
      </c>
      <c r="M719" s="175" t="s">
        <v>1019</v>
      </c>
      <c r="AV719" s="138"/>
      <c r="AW719" s="138"/>
      <c r="AX719" s="138"/>
      <c r="AY719" s="138"/>
      <c r="AZ719" s="138"/>
      <c r="BA719" s="138"/>
      <c r="BB719" s="138"/>
      <c r="BC719" s="138"/>
      <c r="BD719" s="138"/>
      <c r="BE719" s="138"/>
      <c r="BF719" s="138"/>
      <c r="BG719" s="138"/>
      <c r="BH719" s="138"/>
      <c r="BI719" s="138"/>
      <c r="BJ719" s="138"/>
      <c r="BK719" s="138"/>
      <c r="BL719" s="138"/>
      <c r="BM719" s="138"/>
      <c r="BN719" s="138"/>
      <c r="BO719" s="138"/>
    </row>
    <row r="720" spans="1:67" x14ac:dyDescent="0.2">
      <c r="A720" s="180"/>
      <c r="B720" s="178"/>
      <c r="C720" s="179"/>
      <c r="D720" s="243"/>
      <c r="E720" s="180"/>
      <c r="F720" s="180"/>
      <c r="G720" s="180"/>
      <c r="H720" s="180"/>
      <c r="I720" s="181" t="s">
        <v>1020</v>
      </c>
      <c r="J720" s="172" t="s">
        <v>594</v>
      </c>
      <c r="K720" s="202">
        <f>6500*10%</f>
        <v>650</v>
      </c>
      <c r="L720" s="184"/>
      <c r="M720" s="185"/>
      <c r="AV720" s="138"/>
      <c r="AW720" s="138"/>
      <c r="AX720" s="138"/>
      <c r="AY720" s="138"/>
      <c r="AZ720" s="138"/>
      <c r="BA720" s="138"/>
      <c r="BB720" s="138"/>
      <c r="BC720" s="138"/>
      <c r="BD720" s="138"/>
      <c r="BE720" s="138"/>
      <c r="BF720" s="138"/>
      <c r="BG720" s="138"/>
      <c r="BH720" s="138"/>
      <c r="BI720" s="138"/>
      <c r="BJ720" s="138"/>
      <c r="BK720" s="138"/>
      <c r="BL720" s="138"/>
      <c r="BM720" s="138"/>
      <c r="BN720" s="138"/>
      <c r="BO720" s="138"/>
    </row>
    <row r="721" spans="1:67" x14ac:dyDescent="0.2">
      <c r="A721" s="180"/>
      <c r="B721" s="178"/>
      <c r="C721" s="179"/>
      <c r="D721" s="243"/>
      <c r="E721" s="180"/>
      <c r="F721" s="180"/>
      <c r="G721" s="180"/>
      <c r="H721" s="180"/>
      <c r="I721" s="181" t="s">
        <v>1021</v>
      </c>
      <c r="J721" s="182" t="s">
        <v>594</v>
      </c>
      <c r="K721" s="208">
        <f>6500*10%</f>
        <v>650</v>
      </c>
      <c r="L721" s="184"/>
      <c r="M721" s="185"/>
      <c r="AV721" s="138"/>
      <c r="AW721" s="138"/>
      <c r="AX721" s="138"/>
      <c r="AY721" s="138"/>
      <c r="AZ721" s="138"/>
      <c r="BA721" s="138"/>
      <c r="BB721" s="138"/>
      <c r="BC721" s="138"/>
      <c r="BD721" s="138"/>
      <c r="BE721" s="138"/>
      <c r="BF721" s="138"/>
      <c r="BG721" s="138"/>
      <c r="BH721" s="138"/>
      <c r="BI721" s="138"/>
      <c r="BJ721" s="138"/>
      <c r="BK721" s="138"/>
      <c r="BL721" s="138"/>
      <c r="BM721" s="138"/>
      <c r="BN721" s="138"/>
      <c r="BO721" s="138"/>
    </row>
    <row r="722" spans="1:67" x14ac:dyDescent="0.2">
      <c r="A722" s="192"/>
      <c r="B722" s="190"/>
      <c r="C722" s="191"/>
      <c r="D722" s="244"/>
      <c r="E722" s="192"/>
      <c r="F722" s="192"/>
      <c r="G722" s="192"/>
      <c r="H722" s="192"/>
      <c r="I722" s="203"/>
      <c r="J722" s="215"/>
      <c r="K722" s="209">
        <f>SUM(K719:K721)</f>
        <v>6500</v>
      </c>
      <c r="L722" s="196"/>
      <c r="M722" s="197"/>
      <c r="AV722" s="138"/>
      <c r="AW722" s="138"/>
      <c r="AX722" s="138"/>
      <c r="AY722" s="138"/>
      <c r="AZ722" s="138"/>
      <c r="BA722" s="138"/>
      <c r="BB722" s="138"/>
      <c r="BC722" s="138"/>
      <c r="BD722" s="138"/>
      <c r="BE722" s="138"/>
      <c r="BF722" s="138"/>
      <c r="BG722" s="138"/>
      <c r="BH722" s="138"/>
      <c r="BI722" s="138"/>
      <c r="BJ722" s="138"/>
      <c r="BK722" s="138"/>
      <c r="BL722" s="138"/>
      <c r="BM722" s="138"/>
      <c r="BN722" s="138"/>
      <c r="BO722" s="138"/>
    </row>
    <row r="723" spans="1:67" x14ac:dyDescent="0.2">
      <c r="A723" s="170">
        <v>172</v>
      </c>
      <c r="B723" s="168" t="s">
        <v>1022</v>
      </c>
      <c r="C723" s="169"/>
      <c r="D723" s="250" t="s">
        <v>107</v>
      </c>
      <c r="E723" s="170"/>
      <c r="F723" s="170"/>
      <c r="G723" s="170"/>
      <c r="H723" s="170"/>
      <c r="I723" s="171" t="s">
        <v>1023</v>
      </c>
      <c r="J723" s="198" t="s">
        <v>594</v>
      </c>
      <c r="K723" s="206">
        <f>7000*90%</f>
        <v>6300</v>
      </c>
      <c r="L723" s="174" t="s">
        <v>111</v>
      </c>
      <c r="M723" s="175" t="s">
        <v>1024</v>
      </c>
      <c r="AV723" s="138"/>
      <c r="AW723" s="138"/>
      <c r="AX723" s="138"/>
      <c r="AY723" s="138"/>
      <c r="AZ723" s="138"/>
      <c r="BA723" s="138"/>
      <c r="BB723" s="138"/>
      <c r="BC723" s="138"/>
      <c r="BD723" s="138"/>
      <c r="BE723" s="138"/>
      <c r="BF723" s="138"/>
      <c r="BG723" s="138"/>
      <c r="BH723" s="138"/>
      <c r="BI723" s="138"/>
      <c r="BJ723" s="138"/>
      <c r="BK723" s="138"/>
      <c r="BL723" s="138"/>
      <c r="BM723" s="138"/>
      <c r="BN723" s="138"/>
      <c r="BO723" s="138"/>
    </row>
    <row r="724" spans="1:67" x14ac:dyDescent="0.2">
      <c r="A724" s="180"/>
      <c r="B724" s="178"/>
      <c r="C724" s="179"/>
      <c r="D724" s="243"/>
      <c r="E724" s="180"/>
      <c r="F724" s="180"/>
      <c r="G724" s="180"/>
      <c r="H724" s="180"/>
      <c r="I724" s="188" t="s">
        <v>1014</v>
      </c>
      <c r="J724" s="291" t="s">
        <v>594</v>
      </c>
      <c r="K724" s="208">
        <f>7000*5%</f>
        <v>350</v>
      </c>
      <c r="L724" s="184"/>
      <c r="M724" s="185"/>
      <c r="AV724" s="138"/>
      <c r="AW724" s="138"/>
      <c r="AX724" s="138"/>
      <c r="AY724" s="138"/>
      <c r="AZ724" s="138"/>
      <c r="BA724" s="138"/>
      <c r="BB724" s="138"/>
      <c r="BC724" s="138"/>
      <c r="BD724" s="138"/>
      <c r="BE724" s="138"/>
      <c r="BF724" s="138"/>
      <c r="BG724" s="138"/>
      <c r="BH724" s="138"/>
      <c r="BI724" s="138"/>
      <c r="BJ724" s="138"/>
      <c r="BK724" s="138"/>
      <c r="BL724" s="138"/>
      <c r="BM724" s="138"/>
      <c r="BN724" s="138"/>
      <c r="BO724" s="138"/>
    </row>
    <row r="725" spans="1:67" x14ac:dyDescent="0.2">
      <c r="A725" s="180"/>
      <c r="B725" s="178"/>
      <c r="C725" s="179"/>
      <c r="D725" s="243"/>
      <c r="E725" s="180"/>
      <c r="F725" s="180"/>
      <c r="G725" s="180"/>
      <c r="H725" s="180"/>
      <c r="I725" s="188" t="s">
        <v>1025</v>
      </c>
      <c r="J725" s="291" t="s">
        <v>594</v>
      </c>
      <c r="K725" s="202">
        <f>7000*5%</f>
        <v>350</v>
      </c>
      <c r="L725" s="184"/>
      <c r="M725" s="185"/>
      <c r="AV725" s="138"/>
      <c r="AW725" s="138"/>
      <c r="AX725" s="138"/>
      <c r="AY725" s="138"/>
      <c r="AZ725" s="138"/>
      <c r="BA725" s="138"/>
      <c r="BB725" s="138"/>
      <c r="BC725" s="138"/>
      <c r="BD725" s="138"/>
      <c r="BE725" s="138"/>
      <c r="BF725" s="138"/>
      <c r="BG725" s="138"/>
      <c r="BH725" s="138"/>
      <c r="BI725" s="138"/>
      <c r="BJ725" s="138"/>
      <c r="BK725" s="138"/>
      <c r="BL725" s="138"/>
      <c r="BM725" s="138"/>
      <c r="BN725" s="138"/>
      <c r="BO725" s="138"/>
    </row>
    <row r="726" spans="1:67" x14ac:dyDescent="0.2">
      <c r="A726" s="192"/>
      <c r="B726" s="190"/>
      <c r="C726" s="191"/>
      <c r="D726" s="244"/>
      <c r="E726" s="192"/>
      <c r="F726" s="192"/>
      <c r="G726" s="192"/>
      <c r="H726" s="192"/>
      <c r="I726" s="193"/>
      <c r="J726" s="215"/>
      <c r="K726" s="216">
        <f>SUM(K723:K725)</f>
        <v>7000</v>
      </c>
      <c r="L726" s="196"/>
      <c r="M726" s="197"/>
      <c r="AV726" s="138"/>
      <c r="AW726" s="138"/>
      <c r="AX726" s="138"/>
      <c r="AY726" s="138"/>
      <c r="AZ726" s="138"/>
      <c r="BA726" s="138"/>
      <c r="BB726" s="138"/>
      <c r="BC726" s="138"/>
      <c r="BD726" s="138"/>
      <c r="BE726" s="138"/>
      <c r="BF726" s="138"/>
      <c r="BG726" s="138"/>
      <c r="BH726" s="138"/>
      <c r="BI726" s="138"/>
      <c r="BJ726" s="138"/>
      <c r="BK726" s="138"/>
      <c r="BL726" s="138"/>
      <c r="BM726" s="138"/>
      <c r="BN726" s="138"/>
      <c r="BO726" s="138"/>
    </row>
    <row r="727" spans="1:67" x14ac:dyDescent="0.2">
      <c r="A727" s="170">
        <v>173</v>
      </c>
      <c r="B727" s="314" t="s">
        <v>1026</v>
      </c>
      <c r="C727" s="315"/>
      <c r="D727" s="250" t="s">
        <v>107</v>
      </c>
      <c r="E727" s="170"/>
      <c r="F727" s="170"/>
      <c r="G727" s="170"/>
      <c r="H727" s="170"/>
      <c r="I727" s="171" t="s">
        <v>1027</v>
      </c>
      <c r="J727" s="172" t="s">
        <v>594</v>
      </c>
      <c r="K727" s="212">
        <f>6500*80%</f>
        <v>5200</v>
      </c>
      <c r="L727" s="174" t="s">
        <v>111</v>
      </c>
      <c r="M727" s="175" t="s">
        <v>1028</v>
      </c>
      <c r="AV727" s="138"/>
      <c r="AW727" s="138"/>
      <c r="AX727" s="138"/>
      <c r="AY727" s="138"/>
      <c r="AZ727" s="138"/>
      <c r="BA727" s="138"/>
      <c r="BB727" s="138"/>
      <c r="BC727" s="138"/>
      <c r="BD727" s="138"/>
      <c r="BE727" s="138"/>
      <c r="BF727" s="138"/>
      <c r="BG727" s="138"/>
      <c r="BH727" s="138"/>
      <c r="BI727" s="138"/>
      <c r="BJ727" s="138"/>
      <c r="BK727" s="138"/>
      <c r="BL727" s="138"/>
      <c r="BM727" s="138"/>
      <c r="BN727" s="138"/>
      <c r="BO727" s="138"/>
    </row>
    <row r="728" spans="1:67" x14ac:dyDescent="0.2">
      <c r="A728" s="180"/>
      <c r="B728" s="319"/>
      <c r="C728" s="320"/>
      <c r="D728" s="243"/>
      <c r="E728" s="180"/>
      <c r="F728" s="180"/>
      <c r="G728" s="180"/>
      <c r="H728" s="180"/>
      <c r="I728" s="188" t="s">
        <v>1029</v>
      </c>
      <c r="J728" s="182" t="s">
        <v>594</v>
      </c>
      <c r="K728" s="202">
        <f>6500*5%</f>
        <v>325</v>
      </c>
      <c r="L728" s="184"/>
      <c r="M728" s="185"/>
      <c r="AV728" s="138"/>
      <c r="AW728" s="138"/>
      <c r="AX728" s="138"/>
      <c r="AY728" s="138"/>
      <c r="AZ728" s="138"/>
      <c r="BA728" s="138"/>
      <c r="BB728" s="138"/>
      <c r="BC728" s="138"/>
      <c r="BD728" s="138"/>
      <c r="BE728" s="138"/>
      <c r="BF728" s="138"/>
      <c r="BG728" s="138"/>
      <c r="BH728" s="138"/>
      <c r="BI728" s="138"/>
      <c r="BJ728" s="138"/>
      <c r="BK728" s="138"/>
      <c r="BL728" s="138"/>
      <c r="BM728" s="138"/>
      <c r="BN728" s="138"/>
      <c r="BO728" s="138"/>
    </row>
    <row r="729" spans="1:67" x14ac:dyDescent="0.2">
      <c r="A729" s="180"/>
      <c r="B729" s="319"/>
      <c r="C729" s="320"/>
      <c r="D729" s="243"/>
      <c r="E729" s="180"/>
      <c r="F729" s="180"/>
      <c r="G729" s="180"/>
      <c r="H729" s="180"/>
      <c r="I729" s="188" t="s">
        <v>1025</v>
      </c>
      <c r="J729" s="172" t="s">
        <v>594</v>
      </c>
      <c r="K729" s="186">
        <f>6500*5%</f>
        <v>325</v>
      </c>
      <c r="L729" s="184"/>
      <c r="M729" s="185"/>
      <c r="AV729" s="138"/>
      <c r="AW729" s="138"/>
      <c r="AX729" s="138"/>
      <c r="AY729" s="138"/>
      <c r="AZ729" s="138"/>
      <c r="BA729" s="138"/>
      <c r="BB729" s="138"/>
      <c r="BC729" s="138"/>
      <c r="BD729" s="138"/>
      <c r="BE729" s="138"/>
      <c r="BF729" s="138"/>
      <c r="BG729" s="138"/>
      <c r="BH729" s="138"/>
      <c r="BI729" s="138"/>
      <c r="BJ729" s="138"/>
      <c r="BK729" s="138"/>
      <c r="BL729" s="138"/>
      <c r="BM729" s="138"/>
      <c r="BN729" s="138"/>
      <c r="BO729" s="138"/>
    </row>
    <row r="730" spans="1:67" x14ac:dyDescent="0.2">
      <c r="A730" s="180"/>
      <c r="B730" s="319"/>
      <c r="C730" s="320"/>
      <c r="D730" s="243"/>
      <c r="E730" s="180"/>
      <c r="F730" s="180"/>
      <c r="G730" s="180"/>
      <c r="H730" s="180"/>
      <c r="I730" s="188" t="s">
        <v>1030</v>
      </c>
      <c r="J730" s="182" t="s">
        <v>594</v>
      </c>
      <c r="K730" s="183">
        <f>6500*5%</f>
        <v>325</v>
      </c>
      <c r="L730" s="184"/>
      <c r="M730" s="185"/>
      <c r="AV730" s="138"/>
      <c r="AW730" s="138"/>
      <c r="AX730" s="138"/>
      <c r="AY730" s="138"/>
      <c r="AZ730" s="138"/>
      <c r="BA730" s="138"/>
      <c r="BB730" s="138"/>
      <c r="BC730" s="138"/>
      <c r="BD730" s="138"/>
      <c r="BE730" s="138"/>
      <c r="BF730" s="138"/>
      <c r="BG730" s="138"/>
      <c r="BH730" s="138"/>
      <c r="BI730" s="138"/>
      <c r="BJ730" s="138"/>
      <c r="BK730" s="138"/>
      <c r="BL730" s="138"/>
      <c r="BM730" s="138"/>
      <c r="BN730" s="138"/>
      <c r="BO730" s="138"/>
    </row>
    <row r="731" spans="1:67" x14ac:dyDescent="0.2">
      <c r="A731" s="180"/>
      <c r="B731" s="319"/>
      <c r="C731" s="320"/>
      <c r="D731" s="243"/>
      <c r="E731" s="180"/>
      <c r="F731" s="180"/>
      <c r="G731" s="180"/>
      <c r="H731" s="180"/>
      <c r="I731" s="188" t="s">
        <v>1031</v>
      </c>
      <c r="J731" s="182" t="s">
        <v>594</v>
      </c>
      <c r="K731" s="183">
        <f>6500*5%</f>
        <v>325</v>
      </c>
      <c r="L731" s="184"/>
      <c r="M731" s="185"/>
      <c r="AV731" s="138"/>
      <c r="AW731" s="138"/>
      <c r="AX731" s="138"/>
      <c r="AY731" s="138"/>
      <c r="AZ731" s="138"/>
      <c r="BA731" s="138"/>
      <c r="BB731" s="138"/>
      <c r="BC731" s="138"/>
      <c r="BD731" s="138"/>
      <c r="BE731" s="138"/>
      <c r="BF731" s="138"/>
      <c r="BG731" s="138"/>
      <c r="BH731" s="138"/>
      <c r="BI731" s="138"/>
      <c r="BJ731" s="138"/>
      <c r="BK731" s="138"/>
      <c r="BL731" s="138"/>
      <c r="BM731" s="138"/>
      <c r="BN731" s="138"/>
      <c r="BO731" s="138"/>
    </row>
    <row r="732" spans="1:67" x14ac:dyDescent="0.2">
      <c r="A732" s="192"/>
      <c r="B732" s="321"/>
      <c r="C732" s="322"/>
      <c r="D732" s="244"/>
      <c r="E732" s="192"/>
      <c r="F732" s="192"/>
      <c r="G732" s="192"/>
      <c r="H732" s="192"/>
      <c r="I732" s="193"/>
      <c r="J732" s="215"/>
      <c r="K732" s="216">
        <f>SUM(K727:K731)</f>
        <v>6500</v>
      </c>
      <c r="L732" s="196"/>
      <c r="M732" s="197"/>
      <c r="AV732" s="138"/>
      <c r="AW732" s="138"/>
      <c r="AX732" s="138"/>
      <c r="AY732" s="138"/>
      <c r="AZ732" s="138"/>
      <c r="BA732" s="138"/>
      <c r="BB732" s="138"/>
      <c r="BC732" s="138"/>
      <c r="BD732" s="138"/>
      <c r="BE732" s="138"/>
      <c r="BF732" s="138"/>
      <c r="BG732" s="138"/>
      <c r="BH732" s="138"/>
      <c r="BI732" s="138"/>
      <c r="BJ732" s="138"/>
      <c r="BK732" s="138"/>
      <c r="BL732" s="138"/>
      <c r="BM732" s="138"/>
      <c r="BN732" s="138"/>
      <c r="BO732" s="138"/>
    </row>
    <row r="733" spans="1:67" x14ac:dyDescent="0.2">
      <c r="A733" s="170">
        <v>174</v>
      </c>
      <c r="B733" s="168" t="s">
        <v>1032</v>
      </c>
      <c r="C733" s="169"/>
      <c r="D733" s="250" t="s">
        <v>107</v>
      </c>
      <c r="E733" s="170"/>
      <c r="F733" s="170"/>
      <c r="G733" s="170"/>
      <c r="H733" s="170"/>
      <c r="I733" s="171" t="s">
        <v>1033</v>
      </c>
      <c r="J733" s="172" t="s">
        <v>594</v>
      </c>
      <c r="K733" s="212">
        <f>6000*25%</f>
        <v>1500</v>
      </c>
      <c r="L733" s="174" t="s">
        <v>111</v>
      </c>
      <c r="M733" s="175" t="s">
        <v>1034</v>
      </c>
      <c r="AV733" s="138"/>
      <c r="AW733" s="138"/>
      <c r="AX733" s="138"/>
      <c r="AY733" s="138"/>
      <c r="AZ733" s="138"/>
      <c r="BA733" s="138"/>
      <c r="BB733" s="138"/>
      <c r="BC733" s="138"/>
      <c r="BD733" s="138"/>
      <c r="BE733" s="138"/>
      <c r="BF733" s="138"/>
      <c r="BG733" s="138"/>
      <c r="BH733" s="138"/>
      <c r="BI733" s="138"/>
      <c r="BJ733" s="138"/>
      <c r="BK733" s="138"/>
      <c r="BL733" s="138"/>
      <c r="BM733" s="138"/>
      <c r="BN733" s="138"/>
      <c r="BO733" s="138"/>
    </row>
    <row r="734" spans="1:67" x14ac:dyDescent="0.2">
      <c r="A734" s="180"/>
      <c r="B734" s="178"/>
      <c r="C734" s="179"/>
      <c r="D734" s="243"/>
      <c r="E734" s="180"/>
      <c r="F734" s="180"/>
      <c r="G734" s="180"/>
      <c r="H734" s="180"/>
      <c r="I734" s="181" t="s">
        <v>1035</v>
      </c>
      <c r="J734" s="182" t="s">
        <v>594</v>
      </c>
      <c r="K734" s="202">
        <f>6000*6%</f>
        <v>360</v>
      </c>
      <c r="L734" s="184"/>
      <c r="M734" s="185"/>
      <c r="AV734" s="138"/>
      <c r="AW734" s="138"/>
      <c r="AX734" s="138"/>
      <c r="AY734" s="138"/>
      <c r="AZ734" s="138"/>
      <c r="BA734" s="138"/>
      <c r="BB734" s="138"/>
      <c r="BC734" s="138"/>
      <c r="BD734" s="138"/>
      <c r="BE734" s="138"/>
      <c r="BF734" s="138"/>
      <c r="BG734" s="138"/>
      <c r="BH734" s="138"/>
      <c r="BI734" s="138"/>
      <c r="BJ734" s="138"/>
      <c r="BK734" s="138"/>
      <c r="BL734" s="138"/>
      <c r="BM734" s="138"/>
      <c r="BN734" s="138"/>
      <c r="BO734" s="138"/>
    </row>
    <row r="735" spans="1:67" x14ac:dyDescent="0.2">
      <c r="A735" s="180"/>
      <c r="B735" s="178"/>
      <c r="C735" s="179"/>
      <c r="D735" s="243"/>
      <c r="E735" s="180"/>
      <c r="F735" s="180"/>
      <c r="G735" s="180"/>
      <c r="H735" s="180"/>
      <c r="I735" s="188" t="s">
        <v>1036</v>
      </c>
      <c r="J735" s="172" t="s">
        <v>594</v>
      </c>
      <c r="K735" s="229">
        <f>6000*5%</f>
        <v>300</v>
      </c>
      <c r="L735" s="184"/>
      <c r="M735" s="185"/>
      <c r="AV735" s="138"/>
      <c r="AW735" s="138"/>
      <c r="AX735" s="138"/>
      <c r="AY735" s="138"/>
      <c r="AZ735" s="138"/>
      <c r="BA735" s="138"/>
      <c r="BB735" s="138"/>
      <c r="BC735" s="138"/>
      <c r="BD735" s="138"/>
      <c r="BE735" s="138"/>
      <c r="BF735" s="138"/>
      <c r="BG735" s="138"/>
      <c r="BH735" s="138"/>
      <c r="BI735" s="138"/>
      <c r="BJ735" s="138"/>
      <c r="BK735" s="138"/>
      <c r="BL735" s="138"/>
      <c r="BM735" s="138"/>
      <c r="BN735" s="138"/>
      <c r="BO735" s="138"/>
    </row>
    <row r="736" spans="1:67" x14ac:dyDescent="0.2">
      <c r="A736" s="180"/>
      <c r="B736" s="178"/>
      <c r="C736" s="179"/>
      <c r="D736" s="243"/>
      <c r="E736" s="180"/>
      <c r="F736" s="180"/>
      <c r="G736" s="180"/>
      <c r="H736" s="180"/>
      <c r="I736" s="188" t="s">
        <v>1037</v>
      </c>
      <c r="J736" s="182" t="s">
        <v>594</v>
      </c>
      <c r="K736" s="208">
        <f>6000*35%</f>
        <v>2100</v>
      </c>
      <c r="L736" s="184"/>
      <c r="M736" s="185"/>
      <c r="AV736" s="138"/>
      <c r="AW736" s="138"/>
      <c r="AX736" s="138"/>
      <c r="AY736" s="138"/>
      <c r="AZ736" s="138"/>
      <c r="BA736" s="138"/>
      <c r="BB736" s="138"/>
      <c r="BC736" s="138"/>
      <c r="BD736" s="138"/>
      <c r="BE736" s="138"/>
      <c r="BF736" s="138"/>
      <c r="BG736" s="138"/>
      <c r="BH736" s="138"/>
      <c r="BI736" s="138"/>
      <c r="BJ736" s="138"/>
      <c r="BK736" s="138"/>
      <c r="BL736" s="138"/>
      <c r="BM736" s="138"/>
      <c r="BN736" s="138"/>
      <c r="BO736" s="138"/>
    </row>
    <row r="737" spans="1:67" ht="48" x14ac:dyDescent="0.2">
      <c r="A737" s="180"/>
      <c r="B737" s="178"/>
      <c r="C737" s="179"/>
      <c r="D737" s="243"/>
      <c r="E737" s="180"/>
      <c r="F737" s="180"/>
      <c r="G737" s="180"/>
      <c r="H737" s="180"/>
      <c r="I737" s="188" t="s">
        <v>1038</v>
      </c>
      <c r="J737" s="291" t="s">
        <v>594</v>
      </c>
      <c r="K737" s="208">
        <f>6000*5%</f>
        <v>300</v>
      </c>
      <c r="L737" s="184"/>
      <c r="M737" s="185"/>
      <c r="AV737" s="138"/>
      <c r="AW737" s="138"/>
      <c r="AX737" s="138"/>
      <c r="AY737" s="138"/>
      <c r="AZ737" s="138"/>
      <c r="BA737" s="138"/>
      <c r="BB737" s="138"/>
      <c r="BC737" s="138"/>
      <c r="BD737" s="138"/>
      <c r="BE737" s="138"/>
      <c r="BF737" s="138"/>
      <c r="BG737" s="138"/>
      <c r="BH737" s="138"/>
      <c r="BI737" s="138"/>
      <c r="BJ737" s="138"/>
      <c r="BK737" s="138"/>
      <c r="BL737" s="138"/>
      <c r="BM737" s="138"/>
      <c r="BN737" s="138"/>
      <c r="BO737" s="138"/>
    </row>
    <row r="738" spans="1:67" x14ac:dyDescent="0.2">
      <c r="A738" s="180"/>
      <c r="B738" s="178"/>
      <c r="C738" s="179"/>
      <c r="D738" s="243"/>
      <c r="E738" s="180"/>
      <c r="F738" s="180"/>
      <c r="G738" s="180"/>
      <c r="H738" s="180"/>
      <c r="I738" s="188" t="s">
        <v>1039</v>
      </c>
      <c r="J738" s="291" t="s">
        <v>594</v>
      </c>
      <c r="K738" s="208">
        <f>6000*5%</f>
        <v>300</v>
      </c>
      <c r="L738" s="184"/>
      <c r="M738" s="185"/>
      <c r="AV738" s="138"/>
      <c r="AW738" s="138"/>
      <c r="AX738" s="138"/>
      <c r="AY738" s="138"/>
      <c r="AZ738" s="138"/>
      <c r="BA738" s="138"/>
      <c r="BB738" s="138"/>
      <c r="BC738" s="138"/>
      <c r="BD738" s="138"/>
      <c r="BE738" s="138"/>
      <c r="BF738" s="138"/>
      <c r="BG738" s="138"/>
      <c r="BH738" s="138"/>
      <c r="BI738" s="138"/>
      <c r="BJ738" s="138"/>
      <c r="BK738" s="138"/>
      <c r="BL738" s="138"/>
      <c r="BM738" s="138"/>
      <c r="BN738" s="138"/>
      <c r="BO738" s="138"/>
    </row>
    <row r="739" spans="1:67" x14ac:dyDescent="0.2">
      <c r="A739" s="180"/>
      <c r="B739" s="178"/>
      <c r="C739" s="179"/>
      <c r="D739" s="243"/>
      <c r="E739" s="180"/>
      <c r="F739" s="180"/>
      <c r="G739" s="180"/>
      <c r="H739" s="180"/>
      <c r="I739" s="188" t="s">
        <v>1040</v>
      </c>
      <c r="J739" s="172" t="s">
        <v>594</v>
      </c>
      <c r="K739" s="202">
        <f t="shared" ref="K739:K745" si="10">6000*2%</f>
        <v>120</v>
      </c>
      <c r="L739" s="184"/>
      <c r="M739" s="185"/>
      <c r="AV739" s="138"/>
      <c r="AW739" s="138"/>
      <c r="AX739" s="138"/>
      <c r="AY739" s="138"/>
      <c r="AZ739" s="138"/>
      <c r="BA739" s="138"/>
      <c r="BB739" s="138"/>
      <c r="BC739" s="138"/>
      <c r="BD739" s="138"/>
      <c r="BE739" s="138"/>
      <c r="BF739" s="138"/>
      <c r="BG739" s="138"/>
      <c r="BH739" s="138"/>
      <c r="BI739" s="138"/>
      <c r="BJ739" s="138"/>
      <c r="BK739" s="138"/>
      <c r="BL739" s="138"/>
      <c r="BM739" s="138"/>
      <c r="BN739" s="138"/>
      <c r="BO739" s="138"/>
    </row>
    <row r="740" spans="1:67" x14ac:dyDescent="0.2">
      <c r="A740" s="180"/>
      <c r="B740" s="178"/>
      <c r="C740" s="179"/>
      <c r="D740" s="243"/>
      <c r="E740" s="180"/>
      <c r="F740" s="180"/>
      <c r="G740" s="180"/>
      <c r="H740" s="180"/>
      <c r="I740" s="188" t="s">
        <v>1041</v>
      </c>
      <c r="J740" s="182" t="s">
        <v>594</v>
      </c>
      <c r="K740" s="208">
        <f t="shared" si="10"/>
        <v>120</v>
      </c>
      <c r="L740" s="184"/>
      <c r="M740" s="185"/>
      <c r="AV740" s="138"/>
      <c r="AW740" s="138"/>
      <c r="AX740" s="138"/>
      <c r="AY740" s="138"/>
      <c r="AZ740" s="138"/>
      <c r="BA740" s="138"/>
      <c r="BB740" s="138"/>
      <c r="BC740" s="138"/>
      <c r="BD740" s="138"/>
      <c r="BE740" s="138"/>
      <c r="BF740" s="138"/>
      <c r="BG740" s="138"/>
      <c r="BH740" s="138"/>
      <c r="BI740" s="138"/>
      <c r="BJ740" s="138"/>
      <c r="BK740" s="138"/>
      <c r="BL740" s="138"/>
      <c r="BM740" s="138"/>
      <c r="BN740" s="138"/>
      <c r="BO740" s="138"/>
    </row>
    <row r="741" spans="1:67" x14ac:dyDescent="0.2">
      <c r="A741" s="180"/>
      <c r="B741" s="178"/>
      <c r="C741" s="179"/>
      <c r="D741" s="243"/>
      <c r="E741" s="180"/>
      <c r="F741" s="180"/>
      <c r="G741" s="180"/>
      <c r="H741" s="180"/>
      <c r="I741" s="171" t="s">
        <v>1042</v>
      </c>
      <c r="J741" s="182" t="s">
        <v>594</v>
      </c>
      <c r="K741" s="202">
        <f t="shared" si="10"/>
        <v>120</v>
      </c>
      <c r="L741" s="184"/>
      <c r="M741" s="185"/>
      <c r="AV741" s="138"/>
      <c r="AW741" s="138"/>
      <c r="AX741" s="138"/>
      <c r="AY741" s="138"/>
      <c r="AZ741" s="138"/>
      <c r="BA741" s="138"/>
      <c r="BB741" s="138"/>
      <c r="BC741" s="138"/>
      <c r="BD741" s="138"/>
      <c r="BE741" s="138"/>
      <c r="BF741" s="138"/>
      <c r="BG741" s="138"/>
      <c r="BH741" s="138"/>
      <c r="BI741" s="138"/>
      <c r="BJ741" s="138"/>
      <c r="BK741" s="138"/>
      <c r="BL741" s="138"/>
      <c r="BM741" s="138"/>
      <c r="BN741" s="138"/>
      <c r="BO741" s="138"/>
    </row>
    <row r="742" spans="1:67" x14ac:dyDescent="0.2">
      <c r="A742" s="180"/>
      <c r="B742" s="178"/>
      <c r="C742" s="179"/>
      <c r="D742" s="243"/>
      <c r="E742" s="180"/>
      <c r="F742" s="180"/>
      <c r="G742" s="180"/>
      <c r="H742" s="180"/>
      <c r="I742" s="188" t="s">
        <v>1043</v>
      </c>
      <c r="J742" s="182" t="s">
        <v>594</v>
      </c>
      <c r="K742" s="183">
        <f t="shared" si="10"/>
        <v>120</v>
      </c>
      <c r="L742" s="184"/>
      <c r="M742" s="185"/>
      <c r="AV742" s="138"/>
      <c r="AW742" s="138"/>
      <c r="AX742" s="138"/>
      <c r="AY742" s="138"/>
      <c r="AZ742" s="138"/>
      <c r="BA742" s="138"/>
      <c r="BB742" s="138"/>
      <c r="BC742" s="138"/>
      <c r="BD742" s="138"/>
      <c r="BE742" s="138"/>
      <c r="BF742" s="138"/>
      <c r="BG742" s="138"/>
      <c r="BH742" s="138"/>
      <c r="BI742" s="138"/>
      <c r="BJ742" s="138"/>
      <c r="BK742" s="138"/>
      <c r="BL742" s="138"/>
      <c r="BM742" s="138"/>
      <c r="BN742" s="138"/>
      <c r="BO742" s="138"/>
    </row>
    <row r="743" spans="1:67" x14ac:dyDescent="0.2">
      <c r="A743" s="180"/>
      <c r="B743" s="178"/>
      <c r="C743" s="179"/>
      <c r="D743" s="243"/>
      <c r="E743" s="180"/>
      <c r="F743" s="180"/>
      <c r="G743" s="180"/>
      <c r="H743" s="180"/>
      <c r="I743" s="188" t="s">
        <v>1044</v>
      </c>
      <c r="J743" s="182" t="s">
        <v>594</v>
      </c>
      <c r="K743" s="208">
        <f t="shared" si="10"/>
        <v>120</v>
      </c>
      <c r="L743" s="184"/>
      <c r="M743" s="185"/>
      <c r="AV743" s="138"/>
      <c r="AW743" s="138"/>
      <c r="AX743" s="138"/>
      <c r="AY743" s="138"/>
      <c r="AZ743" s="138"/>
      <c r="BA743" s="138"/>
      <c r="BB743" s="138"/>
      <c r="BC743" s="138"/>
      <c r="BD743" s="138"/>
      <c r="BE743" s="138"/>
      <c r="BF743" s="138"/>
      <c r="BG743" s="138"/>
      <c r="BH743" s="138"/>
      <c r="BI743" s="138"/>
      <c r="BJ743" s="138"/>
      <c r="BK743" s="138"/>
      <c r="BL743" s="138"/>
      <c r="BM743" s="138"/>
      <c r="BN743" s="138"/>
      <c r="BO743" s="138"/>
    </row>
    <row r="744" spans="1:67" x14ac:dyDescent="0.2">
      <c r="A744" s="180"/>
      <c r="B744" s="178"/>
      <c r="C744" s="179"/>
      <c r="D744" s="243"/>
      <c r="E744" s="180"/>
      <c r="F744" s="180"/>
      <c r="G744" s="180"/>
      <c r="H744" s="180"/>
      <c r="I744" s="171" t="s">
        <v>1045</v>
      </c>
      <c r="J744" s="182" t="s">
        <v>594</v>
      </c>
      <c r="K744" s="208">
        <f t="shared" si="10"/>
        <v>120</v>
      </c>
      <c r="L744" s="184"/>
      <c r="M744" s="185"/>
      <c r="AV744" s="138"/>
      <c r="AW744" s="138"/>
      <c r="AX744" s="138"/>
      <c r="AY744" s="138"/>
      <c r="AZ744" s="138"/>
      <c r="BA744" s="138"/>
      <c r="BB744" s="138"/>
      <c r="BC744" s="138"/>
      <c r="BD744" s="138"/>
      <c r="BE744" s="138"/>
      <c r="BF744" s="138"/>
      <c r="BG744" s="138"/>
      <c r="BH744" s="138"/>
      <c r="BI744" s="138"/>
      <c r="BJ744" s="138"/>
      <c r="BK744" s="138"/>
      <c r="BL744" s="138"/>
      <c r="BM744" s="138"/>
      <c r="BN744" s="138"/>
      <c r="BO744" s="138"/>
    </row>
    <row r="745" spans="1:67" x14ac:dyDescent="0.2">
      <c r="A745" s="180"/>
      <c r="B745" s="178"/>
      <c r="C745" s="179"/>
      <c r="D745" s="243"/>
      <c r="E745" s="180"/>
      <c r="F745" s="180"/>
      <c r="G745" s="180"/>
      <c r="H745" s="180"/>
      <c r="I745" s="181" t="s">
        <v>1046</v>
      </c>
      <c r="J745" s="182" t="s">
        <v>594</v>
      </c>
      <c r="K745" s="208">
        <f t="shared" si="10"/>
        <v>120</v>
      </c>
      <c r="L745" s="184"/>
      <c r="M745" s="185"/>
      <c r="AV745" s="138"/>
      <c r="AW745" s="138"/>
      <c r="AX745" s="138"/>
      <c r="AY745" s="138"/>
      <c r="AZ745" s="138"/>
      <c r="BA745" s="138"/>
      <c r="BB745" s="138"/>
      <c r="BC745" s="138"/>
      <c r="BD745" s="138"/>
      <c r="BE745" s="138"/>
      <c r="BF745" s="138"/>
      <c r="BG745" s="138"/>
      <c r="BH745" s="138"/>
      <c r="BI745" s="138"/>
      <c r="BJ745" s="138"/>
      <c r="BK745" s="138"/>
      <c r="BL745" s="138"/>
      <c r="BM745" s="138"/>
      <c r="BN745" s="138"/>
      <c r="BO745" s="138"/>
    </row>
    <row r="746" spans="1:67" ht="48" x14ac:dyDescent="0.2">
      <c r="A746" s="180"/>
      <c r="B746" s="178"/>
      <c r="C746" s="179"/>
      <c r="D746" s="243"/>
      <c r="E746" s="180"/>
      <c r="F746" s="180"/>
      <c r="G746" s="180"/>
      <c r="H746" s="180"/>
      <c r="I746" s="188" t="s">
        <v>1047</v>
      </c>
      <c r="J746" s="291" t="s">
        <v>594</v>
      </c>
      <c r="K746" s="208">
        <f>6000*5%</f>
        <v>300</v>
      </c>
      <c r="L746" s="184"/>
      <c r="M746" s="185"/>
      <c r="AV746" s="138"/>
      <c r="AW746" s="138"/>
      <c r="AX746" s="138"/>
      <c r="AY746" s="138"/>
      <c r="AZ746" s="138"/>
      <c r="BA746" s="138"/>
      <c r="BB746" s="138"/>
      <c r="BC746" s="138"/>
      <c r="BD746" s="138"/>
      <c r="BE746" s="138"/>
      <c r="BF746" s="138"/>
      <c r="BG746" s="138"/>
      <c r="BH746" s="138"/>
      <c r="BI746" s="138"/>
      <c r="BJ746" s="138"/>
      <c r="BK746" s="138"/>
      <c r="BL746" s="138"/>
      <c r="BM746" s="138"/>
      <c r="BN746" s="138"/>
      <c r="BO746" s="138"/>
    </row>
    <row r="747" spans="1:67" x14ac:dyDescent="0.2">
      <c r="A747" s="192"/>
      <c r="B747" s="190"/>
      <c r="C747" s="191"/>
      <c r="D747" s="244"/>
      <c r="E747" s="192"/>
      <c r="F747" s="192"/>
      <c r="G747" s="192"/>
      <c r="H747" s="192"/>
      <c r="I747" s="193"/>
      <c r="J747" s="215"/>
      <c r="K747" s="209">
        <f>SUM(K733:K746)</f>
        <v>6000</v>
      </c>
      <c r="L747" s="196"/>
      <c r="M747" s="197"/>
      <c r="AV747" s="138"/>
      <c r="AW747" s="138"/>
      <c r="AX747" s="138"/>
      <c r="AY747" s="138"/>
      <c r="AZ747" s="138"/>
      <c r="BA747" s="138"/>
      <c r="BB747" s="138"/>
      <c r="BC747" s="138"/>
      <c r="BD747" s="138"/>
      <c r="BE747" s="138"/>
      <c r="BF747" s="138"/>
      <c r="BG747" s="138"/>
      <c r="BH747" s="138"/>
      <c r="BI747" s="138"/>
      <c r="BJ747" s="138"/>
      <c r="BK747" s="138"/>
      <c r="BL747" s="138"/>
      <c r="BM747" s="138"/>
      <c r="BN747" s="138"/>
      <c r="BO747" s="138"/>
    </row>
    <row r="748" spans="1:67" x14ac:dyDescent="0.2">
      <c r="A748" s="170">
        <v>175</v>
      </c>
      <c r="B748" s="168" t="s">
        <v>1048</v>
      </c>
      <c r="C748" s="169"/>
      <c r="D748" s="250" t="s">
        <v>107</v>
      </c>
      <c r="E748" s="170"/>
      <c r="F748" s="170"/>
      <c r="G748" s="170"/>
      <c r="H748" s="170"/>
      <c r="I748" s="217" t="s">
        <v>1049</v>
      </c>
      <c r="J748" s="172" t="s">
        <v>594</v>
      </c>
      <c r="K748" s="173">
        <f>7000*40%</f>
        <v>2800</v>
      </c>
      <c r="L748" s="174" t="s">
        <v>111</v>
      </c>
      <c r="M748" s="175" t="s">
        <v>1050</v>
      </c>
      <c r="AV748" s="138"/>
      <c r="AW748" s="138"/>
      <c r="AX748" s="138"/>
      <c r="AY748" s="138"/>
      <c r="AZ748" s="138"/>
      <c r="BA748" s="138"/>
      <c r="BB748" s="138"/>
      <c r="BC748" s="138"/>
      <c r="BD748" s="138"/>
      <c r="BE748" s="138"/>
      <c r="BF748" s="138"/>
      <c r="BG748" s="138"/>
      <c r="BH748" s="138"/>
      <c r="BI748" s="138"/>
      <c r="BJ748" s="138"/>
      <c r="BK748" s="138"/>
      <c r="BL748" s="138"/>
      <c r="BM748" s="138"/>
      <c r="BN748" s="138"/>
      <c r="BO748" s="138"/>
    </row>
    <row r="749" spans="1:67" ht="48" x14ac:dyDescent="0.2">
      <c r="A749" s="180"/>
      <c r="B749" s="178"/>
      <c r="C749" s="179"/>
      <c r="D749" s="243"/>
      <c r="E749" s="180"/>
      <c r="F749" s="180"/>
      <c r="G749" s="180"/>
      <c r="H749" s="180"/>
      <c r="I749" s="171" t="s">
        <v>1038</v>
      </c>
      <c r="J749" s="182" t="s">
        <v>594</v>
      </c>
      <c r="K749" s="208">
        <f>7000*5%</f>
        <v>350</v>
      </c>
      <c r="L749" s="184"/>
      <c r="M749" s="185"/>
      <c r="AV749" s="138"/>
      <c r="AW749" s="138"/>
      <c r="AX749" s="138"/>
      <c r="AY749" s="138"/>
      <c r="AZ749" s="138"/>
      <c r="BA749" s="138"/>
      <c r="BB749" s="138"/>
      <c r="BC749" s="138"/>
      <c r="BD749" s="138"/>
      <c r="BE749" s="138"/>
      <c r="BF749" s="138"/>
      <c r="BG749" s="138"/>
      <c r="BH749" s="138"/>
      <c r="BI749" s="138"/>
      <c r="BJ749" s="138"/>
      <c r="BK749" s="138"/>
      <c r="BL749" s="138"/>
      <c r="BM749" s="138"/>
      <c r="BN749" s="138"/>
      <c r="BO749" s="138"/>
    </row>
    <row r="750" spans="1:67" x14ac:dyDescent="0.2">
      <c r="A750" s="180"/>
      <c r="B750" s="178"/>
      <c r="C750" s="179"/>
      <c r="D750" s="243"/>
      <c r="E750" s="180"/>
      <c r="F750" s="180"/>
      <c r="G750" s="180"/>
      <c r="H750" s="180"/>
      <c r="I750" s="188" t="s">
        <v>812</v>
      </c>
      <c r="J750" s="291" t="s">
        <v>594</v>
      </c>
      <c r="K750" s="202">
        <f>7000*2%</f>
        <v>140</v>
      </c>
      <c r="L750" s="184"/>
      <c r="M750" s="185"/>
      <c r="AV750" s="138"/>
      <c r="AW750" s="138"/>
      <c r="AX750" s="138"/>
      <c r="AY750" s="138"/>
      <c r="AZ750" s="138"/>
      <c r="BA750" s="138"/>
      <c r="BB750" s="138"/>
      <c r="BC750" s="138"/>
      <c r="BD750" s="138"/>
      <c r="BE750" s="138"/>
      <c r="BF750" s="138"/>
      <c r="BG750" s="138"/>
      <c r="BH750" s="138"/>
      <c r="BI750" s="138"/>
      <c r="BJ750" s="138"/>
      <c r="BK750" s="138"/>
      <c r="BL750" s="138"/>
      <c r="BM750" s="138"/>
      <c r="BN750" s="138"/>
      <c r="BO750" s="138"/>
    </row>
    <row r="751" spans="1:67" x14ac:dyDescent="0.2">
      <c r="A751" s="180"/>
      <c r="B751" s="178"/>
      <c r="C751" s="179"/>
      <c r="D751" s="243"/>
      <c r="E751" s="180"/>
      <c r="F751" s="180"/>
      <c r="G751" s="180"/>
      <c r="H751" s="180"/>
      <c r="I751" s="188" t="s">
        <v>1051</v>
      </c>
      <c r="J751" s="291" t="s">
        <v>594</v>
      </c>
      <c r="K751" s="183">
        <f>7000*2%</f>
        <v>140</v>
      </c>
      <c r="L751" s="184"/>
      <c r="M751" s="185"/>
      <c r="AV751" s="138"/>
      <c r="AW751" s="138"/>
      <c r="AX751" s="138"/>
      <c r="AY751" s="138"/>
      <c r="AZ751" s="138"/>
      <c r="BA751" s="138"/>
      <c r="BB751" s="138"/>
      <c r="BC751" s="138"/>
      <c r="BD751" s="138"/>
      <c r="BE751" s="138"/>
      <c r="BF751" s="138"/>
      <c r="BG751" s="138"/>
      <c r="BH751" s="138"/>
      <c r="BI751" s="138"/>
      <c r="BJ751" s="138"/>
      <c r="BK751" s="138"/>
      <c r="BL751" s="138"/>
      <c r="BM751" s="138"/>
      <c r="BN751" s="138"/>
      <c r="BO751" s="138"/>
    </row>
    <row r="752" spans="1:67" x14ac:dyDescent="0.2">
      <c r="A752" s="180"/>
      <c r="B752" s="178"/>
      <c r="C752" s="179"/>
      <c r="D752" s="243"/>
      <c r="E752" s="180"/>
      <c r="F752" s="180"/>
      <c r="G752" s="180"/>
      <c r="H752" s="180"/>
      <c r="I752" s="171" t="s">
        <v>1052</v>
      </c>
      <c r="J752" s="172" t="s">
        <v>594</v>
      </c>
      <c r="K752" s="186">
        <f>7000*2%</f>
        <v>140</v>
      </c>
      <c r="L752" s="184"/>
      <c r="M752" s="185"/>
      <c r="AV752" s="138"/>
      <c r="AW752" s="138"/>
      <c r="AX752" s="138"/>
      <c r="AY752" s="138"/>
      <c r="AZ752" s="138"/>
      <c r="BA752" s="138"/>
      <c r="BB752" s="138"/>
      <c r="BC752" s="138"/>
      <c r="BD752" s="138"/>
      <c r="BE752" s="138"/>
      <c r="BF752" s="138"/>
      <c r="BG752" s="138"/>
      <c r="BH752" s="138"/>
      <c r="BI752" s="138"/>
      <c r="BJ752" s="138"/>
      <c r="BK752" s="138"/>
      <c r="BL752" s="138"/>
      <c r="BM752" s="138"/>
      <c r="BN752" s="138"/>
      <c r="BO752" s="138"/>
    </row>
    <row r="753" spans="1:67" x14ac:dyDescent="0.2">
      <c r="A753" s="180"/>
      <c r="B753" s="178"/>
      <c r="C753" s="179"/>
      <c r="D753" s="243"/>
      <c r="E753" s="180"/>
      <c r="F753" s="180"/>
      <c r="G753" s="180"/>
      <c r="H753" s="180"/>
      <c r="I753" s="188" t="s">
        <v>1053</v>
      </c>
      <c r="J753" s="182" t="s">
        <v>594</v>
      </c>
      <c r="K753" s="183">
        <f>7000*2%</f>
        <v>140</v>
      </c>
      <c r="L753" s="184"/>
      <c r="M753" s="185"/>
      <c r="AV753" s="138"/>
      <c r="AW753" s="138"/>
      <c r="AX753" s="138"/>
      <c r="AY753" s="138"/>
      <c r="AZ753" s="138"/>
      <c r="BA753" s="138"/>
      <c r="BB753" s="138"/>
      <c r="BC753" s="138"/>
      <c r="BD753" s="138"/>
      <c r="BE753" s="138"/>
      <c r="BF753" s="138"/>
      <c r="BG753" s="138"/>
      <c r="BH753" s="138"/>
      <c r="BI753" s="138"/>
      <c r="BJ753" s="138"/>
      <c r="BK753" s="138"/>
      <c r="BL753" s="138"/>
      <c r="BM753" s="138"/>
      <c r="BN753" s="138"/>
      <c r="BO753" s="138"/>
    </row>
    <row r="754" spans="1:67" x14ac:dyDescent="0.2">
      <c r="A754" s="180"/>
      <c r="B754" s="178"/>
      <c r="C754" s="179"/>
      <c r="D754" s="243"/>
      <c r="E754" s="180"/>
      <c r="F754" s="180"/>
      <c r="G754" s="180"/>
      <c r="H754" s="180"/>
      <c r="I754" s="171" t="s">
        <v>1054</v>
      </c>
      <c r="J754" s="172" t="s">
        <v>594</v>
      </c>
      <c r="K754" s="186">
        <f>7000*2%</f>
        <v>140</v>
      </c>
      <c r="L754" s="184"/>
      <c r="M754" s="185"/>
      <c r="AV754" s="138"/>
      <c r="AW754" s="138"/>
      <c r="AX754" s="138"/>
      <c r="AY754" s="138"/>
      <c r="AZ754" s="138"/>
      <c r="BA754" s="138"/>
      <c r="BB754" s="138"/>
      <c r="BC754" s="138"/>
      <c r="BD754" s="138"/>
      <c r="BE754" s="138"/>
      <c r="BF754" s="138"/>
      <c r="BG754" s="138"/>
      <c r="BH754" s="138"/>
      <c r="BI754" s="138"/>
      <c r="BJ754" s="138"/>
      <c r="BK754" s="138"/>
      <c r="BL754" s="138"/>
      <c r="BM754" s="138"/>
      <c r="BN754" s="138"/>
      <c r="BO754" s="138"/>
    </row>
    <row r="755" spans="1:67" x14ac:dyDescent="0.2">
      <c r="A755" s="180"/>
      <c r="B755" s="178"/>
      <c r="C755" s="179"/>
      <c r="D755" s="243"/>
      <c r="E755" s="180"/>
      <c r="F755" s="180"/>
      <c r="G755" s="180"/>
      <c r="H755" s="180"/>
      <c r="I755" s="188" t="s">
        <v>1055</v>
      </c>
      <c r="J755" s="182" t="s">
        <v>594</v>
      </c>
      <c r="K755" s="208">
        <f>7000*45%</f>
        <v>3150</v>
      </c>
      <c r="L755" s="184"/>
      <c r="M755" s="185"/>
      <c r="AV755" s="138"/>
      <c r="AW755" s="138"/>
      <c r="AX755" s="138"/>
      <c r="AY755" s="138"/>
      <c r="AZ755" s="138"/>
      <c r="BA755" s="138"/>
      <c r="BB755" s="138"/>
      <c r="BC755" s="138"/>
      <c r="BD755" s="138"/>
      <c r="BE755" s="138"/>
      <c r="BF755" s="138"/>
      <c r="BG755" s="138"/>
      <c r="BH755" s="138"/>
      <c r="BI755" s="138"/>
      <c r="BJ755" s="138"/>
      <c r="BK755" s="138"/>
      <c r="BL755" s="138"/>
      <c r="BM755" s="138"/>
      <c r="BN755" s="138"/>
      <c r="BO755" s="138"/>
    </row>
    <row r="756" spans="1:67" x14ac:dyDescent="0.2">
      <c r="A756" s="192"/>
      <c r="B756" s="190"/>
      <c r="C756" s="191"/>
      <c r="D756" s="244"/>
      <c r="E756" s="192"/>
      <c r="F756" s="192"/>
      <c r="G756" s="192"/>
      <c r="H756" s="192"/>
      <c r="I756" s="193"/>
      <c r="J756" s="194"/>
      <c r="K756" s="209">
        <f>SUM(K748:K755)</f>
        <v>7000</v>
      </c>
      <c r="L756" s="196"/>
      <c r="M756" s="197"/>
      <c r="AV756" s="138"/>
      <c r="AW756" s="138"/>
      <c r="AX756" s="138"/>
      <c r="AY756" s="138"/>
      <c r="AZ756" s="138"/>
      <c r="BA756" s="138"/>
      <c r="BB756" s="138"/>
      <c r="BC756" s="138"/>
      <c r="BD756" s="138"/>
      <c r="BE756" s="138"/>
      <c r="BF756" s="138"/>
      <c r="BG756" s="138"/>
      <c r="BH756" s="138"/>
      <c r="BI756" s="138"/>
      <c r="BJ756" s="138"/>
      <c r="BK756" s="138"/>
      <c r="BL756" s="138"/>
      <c r="BM756" s="138"/>
      <c r="BN756" s="138"/>
      <c r="BO756" s="138"/>
    </row>
    <row r="757" spans="1:67" x14ac:dyDescent="0.2">
      <c r="A757" s="170">
        <v>176</v>
      </c>
      <c r="B757" s="168" t="s">
        <v>1056</v>
      </c>
      <c r="C757" s="169"/>
      <c r="D757" s="250" t="s">
        <v>107</v>
      </c>
      <c r="E757" s="170"/>
      <c r="F757" s="170"/>
      <c r="G757" s="170"/>
      <c r="H757" s="170"/>
      <c r="I757" s="171" t="s">
        <v>1057</v>
      </c>
      <c r="J757" s="172" t="s">
        <v>594</v>
      </c>
      <c r="K757" s="173">
        <f>7000*80%</f>
        <v>5600</v>
      </c>
      <c r="L757" s="169" t="s">
        <v>111</v>
      </c>
      <c r="M757" s="175" t="s">
        <v>1058</v>
      </c>
      <c r="AV757" s="138"/>
      <c r="AW757" s="138"/>
      <c r="AX757" s="138"/>
      <c r="AY757" s="138"/>
      <c r="AZ757" s="138"/>
      <c r="BA757" s="138"/>
      <c r="BB757" s="138"/>
      <c r="BC757" s="138"/>
      <c r="BD757" s="138"/>
      <c r="BE757" s="138"/>
      <c r="BF757" s="138"/>
      <c r="BG757" s="138"/>
      <c r="BH757" s="138"/>
      <c r="BI757" s="138"/>
      <c r="BJ757" s="138"/>
      <c r="BK757" s="138"/>
      <c r="BL757" s="138"/>
      <c r="BM757" s="138"/>
      <c r="BN757" s="138"/>
      <c r="BO757" s="138"/>
    </row>
    <row r="758" spans="1:67" ht="48" x14ac:dyDescent="0.2">
      <c r="A758" s="180"/>
      <c r="B758" s="178"/>
      <c r="C758" s="179"/>
      <c r="D758" s="243"/>
      <c r="E758" s="180"/>
      <c r="F758" s="180"/>
      <c r="G758" s="180"/>
      <c r="H758" s="180"/>
      <c r="I758" s="181" t="s">
        <v>1059</v>
      </c>
      <c r="J758" s="182" t="s">
        <v>636</v>
      </c>
      <c r="K758" s="201">
        <f>7000*5%</f>
        <v>350</v>
      </c>
      <c r="L758" s="179"/>
      <c r="M758" s="185"/>
      <c r="AV758" s="138"/>
      <c r="AW758" s="138"/>
      <c r="AX758" s="138"/>
      <c r="AY758" s="138"/>
      <c r="AZ758" s="138"/>
      <c r="BA758" s="138"/>
      <c r="BB758" s="138"/>
      <c r="BC758" s="138"/>
      <c r="BD758" s="138"/>
      <c r="BE758" s="138"/>
      <c r="BF758" s="138"/>
      <c r="BG758" s="138"/>
      <c r="BH758" s="138"/>
      <c r="BI758" s="138"/>
      <c r="BJ758" s="138"/>
      <c r="BK758" s="138"/>
      <c r="BL758" s="138"/>
      <c r="BM758" s="138"/>
      <c r="BN758" s="138"/>
      <c r="BO758" s="138"/>
    </row>
    <row r="759" spans="1:67" x14ac:dyDescent="0.2">
      <c r="A759" s="180"/>
      <c r="B759" s="178"/>
      <c r="C759" s="179"/>
      <c r="D759" s="243"/>
      <c r="E759" s="180"/>
      <c r="F759" s="180"/>
      <c r="G759" s="180"/>
      <c r="H759" s="180"/>
      <c r="I759" s="181" t="s">
        <v>1060</v>
      </c>
      <c r="J759" s="291" t="s">
        <v>594</v>
      </c>
      <c r="K759" s="201">
        <f>7000*5%</f>
        <v>350</v>
      </c>
      <c r="L759" s="179"/>
      <c r="M759" s="185"/>
      <c r="AV759" s="138"/>
      <c r="AW759" s="138"/>
      <c r="AX759" s="138"/>
      <c r="AY759" s="138"/>
      <c r="AZ759" s="138"/>
      <c r="BA759" s="138"/>
      <c r="BB759" s="138"/>
      <c r="BC759" s="138"/>
      <c r="BD759" s="138"/>
      <c r="BE759" s="138"/>
      <c r="BF759" s="138"/>
      <c r="BG759" s="138"/>
      <c r="BH759" s="138"/>
      <c r="BI759" s="138"/>
      <c r="BJ759" s="138"/>
      <c r="BK759" s="138"/>
      <c r="BL759" s="138"/>
      <c r="BM759" s="138"/>
      <c r="BN759" s="138"/>
      <c r="BO759" s="138"/>
    </row>
    <row r="760" spans="1:67" x14ac:dyDescent="0.2">
      <c r="A760" s="180"/>
      <c r="B760" s="178"/>
      <c r="C760" s="179"/>
      <c r="D760" s="243"/>
      <c r="E760" s="180"/>
      <c r="F760" s="180"/>
      <c r="G760" s="180"/>
      <c r="H760" s="180"/>
      <c r="I760" s="188" t="s">
        <v>1061</v>
      </c>
      <c r="J760" s="291" t="s">
        <v>636</v>
      </c>
      <c r="K760" s="202">
        <f>7000*5%</f>
        <v>350</v>
      </c>
      <c r="L760" s="179"/>
      <c r="M760" s="185"/>
      <c r="AV760" s="138"/>
      <c r="AW760" s="138"/>
      <c r="AX760" s="138"/>
      <c r="AY760" s="138"/>
      <c r="AZ760" s="138"/>
      <c r="BA760" s="138"/>
      <c r="BB760" s="138"/>
      <c r="BC760" s="138"/>
      <c r="BD760" s="138"/>
      <c r="BE760" s="138"/>
      <c r="BF760" s="138"/>
      <c r="BG760" s="138"/>
      <c r="BH760" s="138"/>
      <c r="BI760" s="138"/>
      <c r="BJ760" s="138"/>
      <c r="BK760" s="138"/>
      <c r="BL760" s="138"/>
      <c r="BM760" s="138"/>
      <c r="BN760" s="138"/>
      <c r="BO760" s="138"/>
    </row>
    <row r="761" spans="1:67" x14ac:dyDescent="0.2">
      <c r="A761" s="180"/>
      <c r="B761" s="178"/>
      <c r="C761" s="179"/>
      <c r="D761" s="243"/>
      <c r="E761" s="180"/>
      <c r="F761" s="180"/>
      <c r="G761" s="180"/>
      <c r="H761" s="180"/>
      <c r="I761" s="171" t="s">
        <v>1062</v>
      </c>
      <c r="J761" s="182" t="s">
        <v>636</v>
      </c>
      <c r="K761" s="200">
        <f>7000*5%</f>
        <v>350</v>
      </c>
      <c r="L761" s="179"/>
      <c r="M761" s="185"/>
      <c r="AV761" s="138"/>
      <c r="AW761" s="138"/>
      <c r="AX761" s="138"/>
      <c r="AY761" s="138"/>
      <c r="AZ761" s="138"/>
      <c r="BA761" s="138"/>
      <c r="BB761" s="138"/>
      <c r="BC761" s="138"/>
      <c r="BD761" s="138"/>
      <c r="BE761" s="138"/>
      <c r="BF761" s="138"/>
      <c r="BG761" s="138"/>
      <c r="BH761" s="138"/>
      <c r="BI761" s="138"/>
      <c r="BJ761" s="138"/>
      <c r="BK761" s="138"/>
      <c r="BL761" s="138"/>
      <c r="BM761" s="138"/>
      <c r="BN761" s="138"/>
      <c r="BO761" s="138"/>
    </row>
    <row r="762" spans="1:67" x14ac:dyDescent="0.2">
      <c r="A762" s="192"/>
      <c r="B762" s="190"/>
      <c r="C762" s="191"/>
      <c r="D762" s="244"/>
      <c r="E762" s="192"/>
      <c r="F762" s="192"/>
      <c r="G762" s="192"/>
      <c r="H762" s="192"/>
      <c r="I762" s="203"/>
      <c r="J762" s="215"/>
      <c r="K762" s="205">
        <f>SUM(K757:K761)</f>
        <v>7000</v>
      </c>
      <c r="L762" s="191"/>
      <c r="M762" s="197"/>
      <c r="AV762" s="138"/>
      <c r="AW762" s="138"/>
      <c r="AX762" s="138"/>
      <c r="AY762" s="138"/>
      <c r="AZ762" s="138"/>
      <c r="BA762" s="138"/>
      <c r="BB762" s="138"/>
      <c r="BC762" s="138"/>
      <c r="BD762" s="138"/>
      <c r="BE762" s="138"/>
      <c r="BF762" s="138"/>
      <c r="BG762" s="138"/>
      <c r="BH762" s="138"/>
      <c r="BI762" s="138"/>
      <c r="BJ762" s="138"/>
      <c r="BK762" s="138"/>
      <c r="BL762" s="138"/>
      <c r="BM762" s="138"/>
      <c r="BN762" s="138"/>
      <c r="BO762" s="138"/>
    </row>
    <row r="763" spans="1:67" ht="42.75" customHeight="1" x14ac:dyDescent="0.2">
      <c r="A763" s="231">
        <v>177</v>
      </c>
      <c r="B763" s="253" t="s">
        <v>1063</v>
      </c>
      <c r="C763" s="254" t="s">
        <v>1064</v>
      </c>
      <c r="D763" s="255" t="s">
        <v>107</v>
      </c>
      <c r="E763" s="256"/>
      <c r="F763" s="256"/>
      <c r="G763" s="256"/>
      <c r="H763" s="257"/>
      <c r="I763" s="193" t="s">
        <v>1065</v>
      </c>
      <c r="J763" s="215" t="s">
        <v>594</v>
      </c>
      <c r="K763" s="258">
        <v>8000</v>
      </c>
      <c r="L763" s="259" t="s">
        <v>111</v>
      </c>
      <c r="M763" s="215" t="s">
        <v>1066</v>
      </c>
      <c r="AV763" s="138"/>
      <c r="AW763" s="138"/>
      <c r="AX763" s="138"/>
      <c r="AY763" s="138"/>
      <c r="AZ763" s="138"/>
      <c r="BA763" s="138"/>
      <c r="BB763" s="138"/>
      <c r="BC763" s="138"/>
      <c r="BD763" s="138"/>
      <c r="BE763" s="138"/>
      <c r="BF763" s="138"/>
      <c r="BG763" s="138"/>
      <c r="BH763" s="138"/>
      <c r="BI763" s="138"/>
      <c r="BJ763" s="138"/>
      <c r="BK763" s="138"/>
      <c r="BL763" s="138"/>
      <c r="BM763" s="138"/>
      <c r="BN763" s="138"/>
      <c r="BO763" s="138"/>
    </row>
    <row r="764" spans="1:67" ht="42.75" customHeight="1" x14ac:dyDescent="0.2">
      <c r="A764" s="231">
        <v>178</v>
      </c>
      <c r="B764" s="253" t="s">
        <v>1067</v>
      </c>
      <c r="C764" s="254" t="s">
        <v>1067</v>
      </c>
      <c r="D764" s="255" t="s">
        <v>107</v>
      </c>
      <c r="E764" s="256"/>
      <c r="F764" s="256"/>
      <c r="G764" s="256"/>
      <c r="H764" s="257"/>
      <c r="I764" s="193" t="s">
        <v>1068</v>
      </c>
      <c r="J764" s="215" t="s">
        <v>594</v>
      </c>
      <c r="K764" s="258">
        <v>30000</v>
      </c>
      <c r="L764" s="259" t="s">
        <v>111</v>
      </c>
      <c r="M764" s="215" t="s">
        <v>1069</v>
      </c>
      <c r="AV764" s="138"/>
      <c r="AW764" s="138"/>
      <c r="AX764" s="138"/>
      <c r="AY764" s="138"/>
      <c r="AZ764" s="138"/>
      <c r="BA764" s="138"/>
      <c r="BB764" s="138"/>
      <c r="BC764" s="138"/>
      <c r="BD764" s="138"/>
      <c r="BE764" s="138"/>
      <c r="BF764" s="138"/>
      <c r="BG764" s="138"/>
      <c r="BH764" s="138"/>
      <c r="BI764" s="138"/>
      <c r="BJ764" s="138"/>
      <c r="BK764" s="138"/>
      <c r="BL764" s="138"/>
      <c r="BM764" s="138"/>
      <c r="BN764" s="138"/>
      <c r="BO764" s="138"/>
    </row>
    <row r="765" spans="1:67" ht="84.75" customHeight="1" x14ac:dyDescent="0.2">
      <c r="A765" s="231">
        <v>179</v>
      </c>
      <c r="B765" s="253" t="s">
        <v>1070</v>
      </c>
      <c r="C765" s="254" t="s">
        <v>1070</v>
      </c>
      <c r="D765" s="255" t="s">
        <v>107</v>
      </c>
      <c r="E765" s="256"/>
      <c r="F765" s="256"/>
      <c r="G765" s="256"/>
      <c r="H765" s="257"/>
      <c r="I765" s="171" t="s">
        <v>1068</v>
      </c>
      <c r="J765" s="172" t="s">
        <v>594</v>
      </c>
      <c r="K765" s="173">
        <v>20000</v>
      </c>
      <c r="L765" s="259" t="s">
        <v>111</v>
      </c>
      <c r="M765" s="215" t="s">
        <v>1071</v>
      </c>
      <c r="AV765" s="138"/>
      <c r="AW765" s="138"/>
      <c r="AX765" s="138"/>
      <c r="AY765" s="138"/>
      <c r="AZ765" s="138"/>
      <c r="BA765" s="138"/>
      <c r="BB765" s="138"/>
      <c r="BC765" s="138"/>
      <c r="BD765" s="138"/>
      <c r="BE765" s="138"/>
      <c r="BF765" s="138"/>
      <c r="BG765" s="138"/>
      <c r="BH765" s="138"/>
      <c r="BI765" s="138"/>
      <c r="BJ765" s="138"/>
      <c r="BK765" s="138"/>
      <c r="BL765" s="138"/>
      <c r="BM765" s="138"/>
      <c r="BN765" s="138"/>
      <c r="BO765" s="138"/>
    </row>
    <row r="766" spans="1:67" ht="66" customHeight="1" x14ac:dyDescent="0.2">
      <c r="A766" s="231">
        <v>180</v>
      </c>
      <c r="B766" s="253" t="s">
        <v>1072</v>
      </c>
      <c r="C766" s="254" t="s">
        <v>1072</v>
      </c>
      <c r="D766" s="255" t="s">
        <v>107</v>
      </c>
      <c r="E766" s="256"/>
      <c r="F766" s="256"/>
      <c r="G766" s="256"/>
      <c r="H766" s="257"/>
      <c r="I766" s="280" t="s">
        <v>1068</v>
      </c>
      <c r="J766" s="281" t="s">
        <v>594</v>
      </c>
      <c r="K766" s="368">
        <v>20000</v>
      </c>
      <c r="L766" s="259" t="s">
        <v>111</v>
      </c>
      <c r="M766" s="215" t="s">
        <v>1073</v>
      </c>
      <c r="AV766" s="138"/>
      <c r="AW766" s="138"/>
      <c r="AX766" s="138"/>
      <c r="AY766" s="138"/>
      <c r="AZ766" s="138"/>
      <c r="BA766" s="138"/>
      <c r="BB766" s="138"/>
      <c r="BC766" s="138"/>
      <c r="BD766" s="138"/>
      <c r="BE766" s="138"/>
      <c r="BF766" s="138"/>
      <c r="BG766" s="138"/>
      <c r="BH766" s="138"/>
      <c r="BI766" s="138"/>
      <c r="BJ766" s="138"/>
      <c r="BK766" s="138"/>
      <c r="BL766" s="138"/>
      <c r="BM766" s="138"/>
      <c r="BN766" s="138"/>
      <c r="BO766" s="138"/>
    </row>
    <row r="767" spans="1:67" x14ac:dyDescent="0.2">
      <c r="A767" s="167">
        <v>181</v>
      </c>
      <c r="B767" s="168" t="s">
        <v>1074</v>
      </c>
      <c r="C767" s="169"/>
      <c r="D767" s="250" t="s">
        <v>107</v>
      </c>
      <c r="E767" s="170"/>
      <c r="F767" s="170"/>
      <c r="G767" s="170"/>
      <c r="H767" s="246"/>
      <c r="I767" s="217" t="s">
        <v>1075</v>
      </c>
      <c r="J767" s="223" t="s">
        <v>594</v>
      </c>
      <c r="K767" s="363">
        <f>20000*90%</f>
        <v>18000</v>
      </c>
      <c r="L767" s="169" t="s">
        <v>111</v>
      </c>
      <c r="M767" s="175" t="s">
        <v>1076</v>
      </c>
      <c r="AV767" s="138"/>
      <c r="AW767" s="138"/>
      <c r="AX767" s="138"/>
      <c r="AY767" s="138"/>
      <c r="AZ767" s="138"/>
      <c r="BA767" s="138"/>
      <c r="BB767" s="138"/>
      <c r="BC767" s="138"/>
      <c r="BD767" s="138"/>
      <c r="BE767" s="138"/>
      <c r="BF767" s="138"/>
      <c r="BG767" s="138"/>
      <c r="BH767" s="138"/>
      <c r="BI767" s="138"/>
      <c r="BJ767" s="138"/>
      <c r="BK767" s="138"/>
      <c r="BL767" s="138"/>
      <c r="BM767" s="138"/>
      <c r="BN767" s="138"/>
      <c r="BO767" s="138"/>
    </row>
    <row r="768" spans="1:67" x14ac:dyDescent="0.2">
      <c r="A768" s="177"/>
      <c r="B768" s="178"/>
      <c r="C768" s="179"/>
      <c r="D768" s="243"/>
      <c r="E768" s="180"/>
      <c r="F768" s="180"/>
      <c r="G768" s="180"/>
      <c r="H768" s="248"/>
      <c r="I768" s="181" t="s">
        <v>1020</v>
      </c>
      <c r="J768" s="207" t="s">
        <v>594</v>
      </c>
      <c r="K768" s="199">
        <f>20000*10%</f>
        <v>2000</v>
      </c>
      <c r="L768" s="179"/>
      <c r="M768" s="185"/>
      <c r="AV768" s="138"/>
      <c r="AW768" s="138"/>
      <c r="AX768" s="138"/>
      <c r="AY768" s="138"/>
      <c r="AZ768" s="138"/>
      <c r="BA768" s="138"/>
      <c r="BB768" s="138"/>
      <c r="BC768" s="138"/>
      <c r="BD768" s="138"/>
      <c r="BE768" s="138"/>
      <c r="BF768" s="138"/>
      <c r="BG768" s="138"/>
      <c r="BH768" s="138"/>
      <c r="BI768" s="138"/>
      <c r="BJ768" s="138"/>
      <c r="BK768" s="138"/>
      <c r="BL768" s="138"/>
      <c r="BM768" s="138"/>
      <c r="BN768" s="138"/>
      <c r="BO768" s="138"/>
    </row>
    <row r="769" spans="1:67" x14ac:dyDescent="0.2">
      <c r="A769" s="189"/>
      <c r="B769" s="190"/>
      <c r="C769" s="191"/>
      <c r="D769" s="244"/>
      <c r="E769" s="192"/>
      <c r="F769" s="192"/>
      <c r="G769" s="192"/>
      <c r="H769" s="249"/>
      <c r="I769" s="203"/>
      <c r="J769" s="369"/>
      <c r="K769" s="245">
        <f>SUM(K767:K768)</f>
        <v>20000</v>
      </c>
      <c r="L769" s="191"/>
      <c r="M769" s="197"/>
      <c r="AV769" s="138"/>
      <c r="AW769" s="138"/>
      <c r="AX769" s="138"/>
      <c r="AY769" s="138"/>
      <c r="AZ769" s="138"/>
      <c r="BA769" s="138"/>
      <c r="BB769" s="138"/>
      <c r="BC769" s="138"/>
      <c r="BD769" s="138"/>
      <c r="BE769" s="138"/>
      <c r="BF769" s="138"/>
      <c r="BG769" s="138"/>
      <c r="BH769" s="138"/>
      <c r="BI769" s="138"/>
      <c r="BJ769" s="138"/>
      <c r="BK769" s="138"/>
      <c r="BL769" s="138"/>
      <c r="BM769" s="138"/>
      <c r="BN769" s="138"/>
      <c r="BO769" s="138"/>
    </row>
    <row r="770" spans="1:67" x14ac:dyDescent="0.2">
      <c r="A770" s="167">
        <v>182</v>
      </c>
      <c r="B770" s="168" t="s">
        <v>1077</v>
      </c>
      <c r="C770" s="169"/>
      <c r="D770" s="250" t="s">
        <v>107</v>
      </c>
      <c r="E770" s="170"/>
      <c r="F770" s="170"/>
      <c r="G770" s="170"/>
      <c r="H770" s="246"/>
      <c r="I770" s="296" t="s">
        <v>1078</v>
      </c>
      <c r="J770" s="223" t="s">
        <v>594</v>
      </c>
      <c r="K770" s="266">
        <f>18000*50%</f>
        <v>9000</v>
      </c>
      <c r="L770" s="169" t="s">
        <v>111</v>
      </c>
      <c r="M770" s="175" t="s">
        <v>1079</v>
      </c>
      <c r="AV770" s="138"/>
      <c r="AW770" s="138"/>
      <c r="AX770" s="138"/>
      <c r="AY770" s="138"/>
      <c r="AZ770" s="138"/>
      <c r="BA770" s="138"/>
      <c r="BB770" s="138"/>
      <c r="BC770" s="138"/>
      <c r="BD770" s="138"/>
      <c r="BE770" s="138"/>
      <c r="BF770" s="138"/>
      <c r="BG770" s="138"/>
      <c r="BH770" s="138"/>
      <c r="BI770" s="138"/>
      <c r="BJ770" s="138"/>
      <c r="BK770" s="138"/>
      <c r="BL770" s="138"/>
      <c r="BM770" s="138"/>
      <c r="BN770" s="138"/>
      <c r="BO770" s="138"/>
    </row>
    <row r="771" spans="1:67" x14ac:dyDescent="0.2">
      <c r="A771" s="177"/>
      <c r="B771" s="178"/>
      <c r="C771" s="179"/>
      <c r="D771" s="243"/>
      <c r="E771" s="180"/>
      <c r="F771" s="180"/>
      <c r="G771" s="180"/>
      <c r="H771" s="248"/>
      <c r="I771" s="181" t="s">
        <v>1080</v>
      </c>
      <c r="J771" s="247" t="s">
        <v>594</v>
      </c>
      <c r="K771" s="370">
        <f>18000*10%</f>
        <v>1800</v>
      </c>
      <c r="L771" s="179"/>
      <c r="M771" s="185"/>
      <c r="AV771" s="138"/>
      <c r="AW771" s="138"/>
      <c r="AX771" s="138"/>
      <c r="AY771" s="138"/>
      <c r="AZ771" s="138"/>
      <c r="BA771" s="138"/>
      <c r="BB771" s="138"/>
      <c r="BC771" s="138"/>
      <c r="BD771" s="138"/>
      <c r="BE771" s="138"/>
      <c r="BF771" s="138"/>
      <c r="BG771" s="138"/>
      <c r="BH771" s="138"/>
      <c r="BI771" s="138"/>
      <c r="BJ771" s="138"/>
      <c r="BK771" s="138"/>
      <c r="BL771" s="138"/>
      <c r="BM771" s="138"/>
      <c r="BN771" s="138"/>
      <c r="BO771" s="138"/>
    </row>
    <row r="772" spans="1:67" x14ac:dyDescent="0.2">
      <c r="A772" s="177"/>
      <c r="B772" s="178"/>
      <c r="C772" s="179"/>
      <c r="D772" s="243"/>
      <c r="E772" s="180"/>
      <c r="F772" s="180"/>
      <c r="G772" s="180"/>
      <c r="H772" s="248"/>
      <c r="I772" s="181" t="s">
        <v>1081</v>
      </c>
      <c r="J772" s="371" t="s">
        <v>594</v>
      </c>
      <c r="K772" s="214">
        <f t="shared" ref="K772:K775" si="11">18000*10%</f>
        <v>1800</v>
      </c>
      <c r="L772" s="179"/>
      <c r="M772" s="185"/>
      <c r="AV772" s="138"/>
      <c r="AW772" s="138"/>
      <c r="AX772" s="138"/>
      <c r="AY772" s="138"/>
      <c r="AZ772" s="138"/>
      <c r="BA772" s="138"/>
      <c r="BB772" s="138"/>
      <c r="BC772" s="138"/>
      <c r="BD772" s="138"/>
      <c r="BE772" s="138"/>
      <c r="BF772" s="138"/>
      <c r="BG772" s="138"/>
      <c r="BH772" s="138"/>
      <c r="BI772" s="138"/>
      <c r="BJ772" s="138"/>
      <c r="BK772" s="138"/>
      <c r="BL772" s="138"/>
      <c r="BM772" s="138"/>
      <c r="BN772" s="138"/>
      <c r="BO772" s="138"/>
    </row>
    <row r="773" spans="1:67" x14ac:dyDescent="0.2">
      <c r="A773" s="177"/>
      <c r="B773" s="178"/>
      <c r="C773" s="179"/>
      <c r="D773" s="243"/>
      <c r="E773" s="180"/>
      <c r="F773" s="180"/>
      <c r="G773" s="180"/>
      <c r="H773" s="248"/>
      <c r="I773" s="181" t="s">
        <v>1082</v>
      </c>
      <c r="J773" s="207" t="s">
        <v>594</v>
      </c>
      <c r="K773" s="370">
        <f t="shared" si="11"/>
        <v>1800</v>
      </c>
      <c r="L773" s="179"/>
      <c r="M773" s="185"/>
      <c r="AV773" s="138"/>
      <c r="AW773" s="138"/>
      <c r="AX773" s="138"/>
      <c r="AY773" s="138"/>
      <c r="AZ773" s="138"/>
      <c r="BA773" s="138"/>
      <c r="BB773" s="138"/>
      <c r="BC773" s="138"/>
      <c r="BD773" s="138"/>
      <c r="BE773" s="138"/>
      <c r="BF773" s="138"/>
      <c r="BG773" s="138"/>
      <c r="BH773" s="138"/>
      <c r="BI773" s="138"/>
      <c r="BJ773" s="138"/>
      <c r="BK773" s="138"/>
      <c r="BL773" s="138"/>
      <c r="BM773" s="138"/>
      <c r="BN773" s="138"/>
      <c r="BO773" s="138"/>
    </row>
    <row r="774" spans="1:67" x14ac:dyDescent="0.2">
      <c r="A774" s="177"/>
      <c r="B774" s="178"/>
      <c r="C774" s="179"/>
      <c r="D774" s="243"/>
      <c r="E774" s="180"/>
      <c r="F774" s="180"/>
      <c r="G774" s="180"/>
      <c r="H774" s="248"/>
      <c r="I774" s="181" t="s">
        <v>1083</v>
      </c>
      <c r="J774" s="207" t="s">
        <v>594</v>
      </c>
      <c r="K774" s="199">
        <f t="shared" si="11"/>
        <v>1800</v>
      </c>
      <c r="L774" s="179"/>
      <c r="M774" s="185"/>
      <c r="AV774" s="138"/>
      <c r="AW774" s="138"/>
      <c r="AX774" s="138"/>
      <c r="AY774" s="138"/>
      <c r="AZ774" s="138"/>
      <c r="BA774" s="138"/>
      <c r="BB774" s="138"/>
      <c r="BC774" s="138"/>
      <c r="BD774" s="138"/>
      <c r="BE774" s="138"/>
      <c r="BF774" s="138"/>
      <c r="BG774" s="138"/>
      <c r="BH774" s="138"/>
      <c r="BI774" s="138"/>
      <c r="BJ774" s="138"/>
      <c r="BK774" s="138"/>
      <c r="BL774" s="138"/>
      <c r="BM774" s="138"/>
      <c r="BN774" s="138"/>
      <c r="BO774" s="138"/>
    </row>
    <row r="775" spans="1:67" x14ac:dyDescent="0.2">
      <c r="A775" s="177"/>
      <c r="B775" s="178"/>
      <c r="C775" s="179"/>
      <c r="D775" s="243"/>
      <c r="E775" s="180"/>
      <c r="F775" s="180"/>
      <c r="G775" s="180"/>
      <c r="H775" s="248"/>
      <c r="I775" s="188" t="s">
        <v>1084</v>
      </c>
      <c r="J775" s="207" t="s">
        <v>594</v>
      </c>
      <c r="K775" s="214">
        <f t="shared" si="11"/>
        <v>1800</v>
      </c>
      <c r="L775" s="179"/>
      <c r="M775" s="185"/>
      <c r="AV775" s="138"/>
      <c r="AW775" s="138"/>
      <c r="AX775" s="138"/>
      <c r="AY775" s="138"/>
      <c r="AZ775" s="138"/>
      <c r="BA775" s="138"/>
      <c r="BB775" s="138"/>
      <c r="BC775" s="138"/>
      <c r="BD775" s="138"/>
      <c r="BE775" s="138"/>
      <c r="BF775" s="138"/>
      <c r="BG775" s="138"/>
      <c r="BH775" s="138"/>
      <c r="BI775" s="138"/>
      <c r="BJ775" s="138"/>
      <c r="BK775" s="138"/>
      <c r="BL775" s="138"/>
      <c r="BM775" s="138"/>
      <c r="BN775" s="138"/>
      <c r="BO775" s="138"/>
    </row>
    <row r="776" spans="1:67" x14ac:dyDescent="0.2">
      <c r="A776" s="189"/>
      <c r="B776" s="190"/>
      <c r="C776" s="191"/>
      <c r="D776" s="244"/>
      <c r="E776" s="192"/>
      <c r="F776" s="192"/>
      <c r="G776" s="192"/>
      <c r="H776" s="249"/>
      <c r="I776" s="193"/>
      <c r="J776" s="369"/>
      <c r="K776" s="290">
        <f>SUM(K770:K775)</f>
        <v>18000</v>
      </c>
      <c r="L776" s="191"/>
      <c r="M776" s="197"/>
      <c r="AV776" s="138"/>
      <c r="AW776" s="138"/>
      <c r="AX776" s="138"/>
      <c r="AY776" s="138"/>
      <c r="AZ776" s="138"/>
      <c r="BA776" s="138"/>
      <c r="BB776" s="138"/>
      <c r="BC776" s="138"/>
      <c r="BD776" s="138"/>
      <c r="BE776" s="138"/>
      <c r="BF776" s="138"/>
      <c r="BG776" s="138"/>
      <c r="BH776" s="138"/>
      <c r="BI776" s="138"/>
      <c r="BJ776" s="138"/>
      <c r="BK776" s="138"/>
      <c r="BL776" s="138"/>
      <c r="BM776" s="138"/>
      <c r="BN776" s="138"/>
      <c r="BO776" s="138"/>
    </row>
    <row r="777" spans="1:67" ht="69.75" customHeight="1" x14ac:dyDescent="0.2">
      <c r="A777" s="231">
        <v>183</v>
      </c>
      <c r="B777" s="253" t="s">
        <v>1085</v>
      </c>
      <c r="C777" s="254" t="s">
        <v>1085</v>
      </c>
      <c r="D777" s="255" t="s">
        <v>107</v>
      </c>
      <c r="E777" s="256"/>
      <c r="F777" s="256"/>
      <c r="G777" s="256"/>
      <c r="H777" s="257"/>
      <c r="I777" s="280" t="s">
        <v>1086</v>
      </c>
      <c r="J777" s="300" t="s">
        <v>594</v>
      </c>
      <c r="K777" s="282">
        <v>18000</v>
      </c>
      <c r="L777" s="293" t="s">
        <v>111</v>
      </c>
      <c r="M777" s="215" t="s">
        <v>1087</v>
      </c>
      <c r="AV777" s="138"/>
      <c r="AW777" s="138"/>
      <c r="AX777" s="138"/>
      <c r="AY777" s="138"/>
      <c r="AZ777" s="138"/>
      <c r="BA777" s="138"/>
      <c r="BB777" s="138"/>
      <c r="BC777" s="138"/>
      <c r="BD777" s="138"/>
      <c r="BE777" s="138"/>
      <c r="BF777" s="138"/>
      <c r="BG777" s="138"/>
      <c r="BH777" s="138"/>
      <c r="BI777" s="138"/>
      <c r="BJ777" s="138"/>
      <c r="BK777" s="138"/>
      <c r="BL777" s="138"/>
      <c r="BM777" s="138"/>
      <c r="BN777" s="138"/>
      <c r="BO777" s="138"/>
    </row>
    <row r="778" spans="1:67" x14ac:dyDescent="0.2">
      <c r="A778" s="167">
        <v>184</v>
      </c>
      <c r="B778" s="168" t="s">
        <v>1088</v>
      </c>
      <c r="C778" s="169"/>
      <c r="D778" s="250" t="s">
        <v>107</v>
      </c>
      <c r="E778" s="170"/>
      <c r="F778" s="170"/>
      <c r="G778" s="170"/>
      <c r="H778" s="246"/>
      <c r="I778" s="171" t="s">
        <v>1089</v>
      </c>
      <c r="J778" s="371" t="s">
        <v>594</v>
      </c>
      <c r="K778" s="370">
        <f>50000*60%</f>
        <v>30000</v>
      </c>
      <c r="L778" s="169" t="s">
        <v>111</v>
      </c>
      <c r="M778" s="175" t="s">
        <v>1090</v>
      </c>
      <c r="AV778" s="138"/>
      <c r="AW778" s="138"/>
      <c r="AX778" s="138"/>
      <c r="AY778" s="138"/>
      <c r="AZ778" s="138"/>
      <c r="BA778" s="138"/>
      <c r="BB778" s="138"/>
      <c r="BC778" s="138"/>
      <c r="BD778" s="138"/>
      <c r="BE778" s="138"/>
      <c r="BF778" s="138"/>
      <c r="BG778" s="138"/>
      <c r="BH778" s="138"/>
      <c r="BI778" s="138"/>
      <c r="BJ778" s="138"/>
      <c r="BK778" s="138"/>
      <c r="BL778" s="138"/>
      <c r="BM778" s="138"/>
      <c r="BN778" s="138"/>
      <c r="BO778" s="138"/>
    </row>
    <row r="779" spans="1:67" x14ac:dyDescent="0.2">
      <c r="A779" s="177"/>
      <c r="B779" s="178"/>
      <c r="C779" s="179"/>
      <c r="D779" s="243"/>
      <c r="E779" s="180"/>
      <c r="F779" s="180"/>
      <c r="G779" s="180"/>
      <c r="H779" s="248"/>
      <c r="I779" s="181" t="s">
        <v>1091</v>
      </c>
      <c r="J779" s="207" t="s">
        <v>594</v>
      </c>
      <c r="K779" s="199">
        <f>50000*20%</f>
        <v>10000</v>
      </c>
      <c r="L779" s="179"/>
      <c r="M779" s="185"/>
      <c r="AV779" s="138"/>
      <c r="AW779" s="138"/>
      <c r="AX779" s="138"/>
      <c r="AY779" s="138"/>
      <c r="AZ779" s="138"/>
      <c r="BA779" s="138"/>
      <c r="BB779" s="138"/>
      <c r="BC779" s="138"/>
      <c r="BD779" s="138"/>
      <c r="BE779" s="138"/>
      <c r="BF779" s="138"/>
      <c r="BG779" s="138"/>
      <c r="BH779" s="138"/>
      <c r="BI779" s="138"/>
      <c r="BJ779" s="138"/>
      <c r="BK779" s="138"/>
      <c r="BL779" s="138"/>
      <c r="BM779" s="138"/>
      <c r="BN779" s="138"/>
      <c r="BO779" s="138"/>
    </row>
    <row r="780" spans="1:67" x14ac:dyDescent="0.2">
      <c r="A780" s="177"/>
      <c r="B780" s="178"/>
      <c r="C780" s="179"/>
      <c r="D780" s="243"/>
      <c r="E780" s="180"/>
      <c r="F780" s="180"/>
      <c r="G780" s="180"/>
      <c r="H780" s="248"/>
      <c r="I780" s="181" t="s">
        <v>1092</v>
      </c>
      <c r="J780" s="207" t="s">
        <v>594</v>
      </c>
      <c r="K780" s="199">
        <f>50000*20%</f>
        <v>10000</v>
      </c>
      <c r="L780" s="179"/>
      <c r="M780" s="185"/>
      <c r="AV780" s="138"/>
      <c r="AW780" s="138"/>
      <c r="AX780" s="138"/>
      <c r="AY780" s="138"/>
      <c r="AZ780" s="138"/>
      <c r="BA780" s="138"/>
      <c r="BB780" s="138"/>
      <c r="BC780" s="138"/>
      <c r="BD780" s="138"/>
      <c r="BE780" s="138"/>
      <c r="BF780" s="138"/>
      <c r="BG780" s="138"/>
      <c r="BH780" s="138"/>
      <c r="BI780" s="138"/>
      <c r="BJ780" s="138"/>
      <c r="BK780" s="138"/>
      <c r="BL780" s="138"/>
      <c r="BM780" s="138"/>
      <c r="BN780" s="138"/>
      <c r="BO780" s="138"/>
    </row>
    <row r="781" spans="1:67" x14ac:dyDescent="0.2">
      <c r="A781" s="189"/>
      <c r="B781" s="190"/>
      <c r="C781" s="191"/>
      <c r="D781" s="244"/>
      <c r="E781" s="192"/>
      <c r="F781" s="192"/>
      <c r="G781" s="192"/>
      <c r="H781" s="249"/>
      <c r="I781" s="203"/>
      <c r="J781" s="371"/>
      <c r="K781" s="245">
        <f>SUM(K778:K780)</f>
        <v>50000</v>
      </c>
      <c r="L781" s="191"/>
      <c r="M781" s="197"/>
      <c r="AV781" s="138"/>
      <c r="AW781" s="138"/>
      <c r="AX781" s="138"/>
      <c r="AY781" s="138"/>
      <c r="AZ781" s="138"/>
      <c r="BA781" s="138"/>
      <c r="BB781" s="138"/>
      <c r="BC781" s="138"/>
      <c r="BD781" s="138"/>
      <c r="BE781" s="138"/>
      <c r="BF781" s="138"/>
      <c r="BG781" s="138"/>
      <c r="BH781" s="138"/>
      <c r="BI781" s="138"/>
      <c r="BJ781" s="138"/>
      <c r="BK781" s="138"/>
      <c r="BL781" s="138"/>
      <c r="BM781" s="138"/>
      <c r="BN781" s="138"/>
      <c r="BO781" s="138"/>
    </row>
    <row r="782" spans="1:67" x14ac:dyDescent="0.2">
      <c r="A782" s="167">
        <v>185</v>
      </c>
      <c r="B782" s="168" t="s">
        <v>1093</v>
      </c>
      <c r="C782" s="169"/>
      <c r="D782" s="250" t="s">
        <v>107</v>
      </c>
      <c r="E782" s="170"/>
      <c r="F782" s="170"/>
      <c r="G782" s="170"/>
      <c r="H782" s="372"/>
      <c r="I782" s="217" t="s">
        <v>1094</v>
      </c>
      <c r="J782" s="223" t="s">
        <v>594</v>
      </c>
      <c r="K782" s="363">
        <f>200000*60%</f>
        <v>120000</v>
      </c>
      <c r="L782" s="169" t="s">
        <v>111</v>
      </c>
      <c r="M782" s="175" t="s">
        <v>1095</v>
      </c>
      <c r="AV782" s="138"/>
      <c r="AW782" s="138"/>
      <c r="AX782" s="138"/>
      <c r="AY782" s="138"/>
      <c r="AZ782" s="138"/>
      <c r="BA782" s="138"/>
      <c r="BB782" s="138"/>
      <c r="BC782" s="138"/>
      <c r="BD782" s="138"/>
      <c r="BE782" s="138"/>
      <c r="BF782" s="138"/>
      <c r="BG782" s="138"/>
      <c r="BH782" s="138"/>
      <c r="BI782" s="138"/>
      <c r="BJ782" s="138"/>
      <c r="BK782" s="138"/>
      <c r="BL782" s="138"/>
      <c r="BM782" s="138"/>
      <c r="BN782" s="138"/>
      <c r="BO782" s="138"/>
    </row>
    <row r="783" spans="1:67" x14ac:dyDescent="0.2">
      <c r="A783" s="177"/>
      <c r="B783" s="178"/>
      <c r="C783" s="179"/>
      <c r="D783" s="243"/>
      <c r="E783" s="180"/>
      <c r="F783" s="180"/>
      <c r="G783" s="180"/>
      <c r="H783" s="373"/>
      <c r="I783" s="171" t="s">
        <v>1096</v>
      </c>
      <c r="J783" s="371" t="s">
        <v>1097</v>
      </c>
      <c r="K783" s="214">
        <f>200000*20%</f>
        <v>40000</v>
      </c>
      <c r="L783" s="179"/>
      <c r="M783" s="185"/>
      <c r="AV783" s="138"/>
      <c r="AW783" s="138"/>
      <c r="AX783" s="138"/>
      <c r="AY783" s="138"/>
      <c r="AZ783" s="138"/>
      <c r="BA783" s="138"/>
      <c r="BB783" s="138"/>
      <c r="BC783" s="138"/>
      <c r="BD783" s="138"/>
      <c r="BE783" s="138"/>
      <c r="BF783" s="138"/>
      <c r="BG783" s="138"/>
      <c r="BH783" s="138"/>
      <c r="BI783" s="138"/>
      <c r="BJ783" s="138"/>
      <c r="BK783" s="138"/>
      <c r="BL783" s="138"/>
      <c r="BM783" s="138"/>
      <c r="BN783" s="138"/>
      <c r="BO783" s="138"/>
    </row>
    <row r="784" spans="1:67" ht="48" x14ac:dyDescent="0.2">
      <c r="A784" s="177"/>
      <c r="B784" s="178"/>
      <c r="C784" s="179"/>
      <c r="D784" s="243"/>
      <c r="E784" s="180"/>
      <c r="F784" s="180"/>
      <c r="G784" s="180"/>
      <c r="H784" s="373"/>
      <c r="I784" s="188" t="s">
        <v>1098</v>
      </c>
      <c r="J784" s="207" t="s">
        <v>636</v>
      </c>
      <c r="K784" s="214">
        <f>200000*20%</f>
        <v>40000</v>
      </c>
      <c r="L784" s="179"/>
      <c r="M784" s="185"/>
      <c r="AV784" s="138"/>
      <c r="AW784" s="138"/>
      <c r="AX784" s="138"/>
      <c r="AY784" s="138"/>
      <c r="AZ784" s="138"/>
      <c r="BA784" s="138"/>
      <c r="BB784" s="138"/>
      <c r="BC784" s="138"/>
      <c r="BD784" s="138"/>
      <c r="BE784" s="138"/>
      <c r="BF784" s="138"/>
      <c r="BG784" s="138"/>
      <c r="BH784" s="138"/>
      <c r="BI784" s="138"/>
      <c r="BJ784" s="138"/>
      <c r="BK784" s="138"/>
      <c r="BL784" s="138"/>
      <c r="BM784" s="138"/>
      <c r="BN784" s="138"/>
      <c r="BO784" s="138"/>
    </row>
    <row r="785" spans="1:67" x14ac:dyDescent="0.2">
      <c r="A785" s="189"/>
      <c r="B785" s="190"/>
      <c r="C785" s="191"/>
      <c r="D785" s="244"/>
      <c r="E785" s="192"/>
      <c r="F785" s="192"/>
      <c r="G785" s="192"/>
      <c r="H785" s="374"/>
      <c r="I785" s="193"/>
      <c r="J785" s="369"/>
      <c r="K785" s="290">
        <f>SUM(K782:K784)</f>
        <v>200000</v>
      </c>
      <c r="L785" s="191"/>
      <c r="M785" s="197"/>
      <c r="AV785" s="138"/>
      <c r="AW785" s="138"/>
      <c r="AX785" s="138"/>
      <c r="AY785" s="138"/>
      <c r="AZ785" s="138"/>
      <c r="BA785" s="138"/>
      <c r="BB785" s="138"/>
      <c r="BC785" s="138"/>
      <c r="BD785" s="138"/>
      <c r="BE785" s="138"/>
      <c r="BF785" s="138"/>
      <c r="BG785" s="138"/>
      <c r="BH785" s="138"/>
      <c r="BI785" s="138"/>
      <c r="BJ785" s="138"/>
      <c r="BK785" s="138"/>
      <c r="BL785" s="138"/>
      <c r="BM785" s="138"/>
      <c r="BN785" s="138"/>
      <c r="BO785" s="138"/>
    </row>
    <row r="786" spans="1:67" ht="48" x14ac:dyDescent="0.2">
      <c r="A786" s="167">
        <v>186</v>
      </c>
      <c r="B786" s="168" t="s">
        <v>1099</v>
      </c>
      <c r="C786" s="169"/>
      <c r="D786" s="250" t="s">
        <v>107</v>
      </c>
      <c r="E786" s="170"/>
      <c r="F786" s="170"/>
      <c r="G786" s="170"/>
      <c r="H786" s="246"/>
      <c r="I786" s="217" t="s">
        <v>1100</v>
      </c>
      <c r="J786" s="223" t="s">
        <v>594</v>
      </c>
      <c r="K786" s="363">
        <f>10000*50%</f>
        <v>5000</v>
      </c>
      <c r="L786" s="169" t="s">
        <v>324</v>
      </c>
      <c r="M786" s="175" t="s">
        <v>1101</v>
      </c>
      <c r="AV786" s="138"/>
      <c r="AW786" s="138"/>
      <c r="AX786" s="138"/>
      <c r="AY786" s="138"/>
      <c r="AZ786" s="138"/>
      <c r="BA786" s="138"/>
      <c r="BB786" s="138"/>
      <c r="BC786" s="138"/>
      <c r="BD786" s="138"/>
      <c r="BE786" s="138"/>
      <c r="BF786" s="138"/>
      <c r="BG786" s="138"/>
      <c r="BH786" s="138"/>
      <c r="BI786" s="138"/>
      <c r="BJ786" s="138"/>
      <c r="BK786" s="138"/>
      <c r="BL786" s="138"/>
      <c r="BM786" s="138"/>
      <c r="BN786" s="138"/>
      <c r="BO786" s="138"/>
    </row>
    <row r="787" spans="1:67" x14ac:dyDescent="0.2">
      <c r="A787" s="177"/>
      <c r="B787" s="178"/>
      <c r="C787" s="179"/>
      <c r="D787" s="243"/>
      <c r="E787" s="180"/>
      <c r="F787" s="180"/>
      <c r="G787" s="180"/>
      <c r="H787" s="248"/>
      <c r="I787" s="171" t="s">
        <v>1033</v>
      </c>
      <c r="J787" s="371" t="s">
        <v>594</v>
      </c>
      <c r="K787" s="199">
        <f>10000*25%</f>
        <v>2500</v>
      </c>
      <c r="L787" s="179"/>
      <c r="M787" s="185"/>
      <c r="AV787" s="138"/>
      <c r="AW787" s="138"/>
      <c r="AX787" s="138"/>
      <c r="AY787" s="138"/>
      <c r="AZ787" s="138"/>
      <c r="BA787" s="138"/>
      <c r="BB787" s="138"/>
      <c r="BC787" s="138"/>
      <c r="BD787" s="138"/>
      <c r="BE787" s="138"/>
      <c r="BF787" s="138"/>
      <c r="BG787" s="138"/>
      <c r="BH787" s="138"/>
      <c r="BI787" s="138"/>
      <c r="BJ787" s="138"/>
      <c r="BK787" s="138"/>
      <c r="BL787" s="138"/>
      <c r="BM787" s="138"/>
      <c r="BN787" s="138"/>
      <c r="BO787" s="138"/>
    </row>
    <row r="788" spans="1:67" ht="48" x14ac:dyDescent="0.2">
      <c r="A788" s="177"/>
      <c r="B788" s="178"/>
      <c r="C788" s="179"/>
      <c r="D788" s="243"/>
      <c r="E788" s="180"/>
      <c r="F788" s="180"/>
      <c r="G788" s="180"/>
      <c r="H788" s="248"/>
      <c r="I788" s="181" t="s">
        <v>1102</v>
      </c>
      <c r="J788" s="226" t="s">
        <v>594</v>
      </c>
      <c r="K788" s="214">
        <f>10000*25%</f>
        <v>2500</v>
      </c>
      <c r="L788" s="179"/>
      <c r="M788" s="185"/>
      <c r="AV788" s="138"/>
      <c r="AW788" s="138"/>
      <c r="AX788" s="138"/>
      <c r="AY788" s="138"/>
      <c r="AZ788" s="138"/>
      <c r="BA788" s="138"/>
      <c r="BB788" s="138"/>
      <c r="BC788" s="138"/>
      <c r="BD788" s="138"/>
      <c r="BE788" s="138"/>
      <c r="BF788" s="138"/>
      <c r="BG788" s="138"/>
      <c r="BH788" s="138"/>
      <c r="BI788" s="138"/>
      <c r="BJ788" s="138"/>
      <c r="BK788" s="138"/>
      <c r="BL788" s="138"/>
      <c r="BM788" s="138"/>
      <c r="BN788" s="138"/>
      <c r="BO788" s="138"/>
    </row>
    <row r="789" spans="1:67" x14ac:dyDescent="0.2">
      <c r="A789" s="189"/>
      <c r="B789" s="190"/>
      <c r="C789" s="191"/>
      <c r="D789" s="244"/>
      <c r="E789" s="192"/>
      <c r="F789" s="192"/>
      <c r="G789" s="192"/>
      <c r="H789" s="249"/>
      <c r="I789" s="203"/>
      <c r="J789" s="204"/>
      <c r="K789" s="290">
        <f>SUM(K786:K788)</f>
        <v>10000</v>
      </c>
      <c r="L789" s="191"/>
      <c r="M789" s="197"/>
      <c r="AV789" s="138"/>
      <c r="AW789" s="138"/>
      <c r="AX789" s="138"/>
      <c r="AY789" s="138"/>
      <c r="AZ789" s="138"/>
      <c r="BA789" s="138"/>
      <c r="BB789" s="138"/>
      <c r="BC789" s="138"/>
      <c r="BD789" s="138"/>
      <c r="BE789" s="138"/>
      <c r="BF789" s="138"/>
      <c r="BG789" s="138"/>
      <c r="BH789" s="138"/>
      <c r="BI789" s="138"/>
      <c r="BJ789" s="138"/>
      <c r="BK789" s="138"/>
      <c r="BL789" s="138"/>
      <c r="BM789" s="138"/>
      <c r="BN789" s="138"/>
      <c r="BO789" s="138"/>
    </row>
    <row r="790" spans="1:67" ht="48" x14ac:dyDescent="0.2">
      <c r="A790" s="167">
        <v>187</v>
      </c>
      <c r="B790" s="168" t="s">
        <v>1103</v>
      </c>
      <c r="C790" s="169"/>
      <c r="D790" s="250" t="s">
        <v>163</v>
      </c>
      <c r="E790" s="170"/>
      <c r="F790" s="170"/>
      <c r="G790" s="170"/>
      <c r="H790" s="246"/>
      <c r="I790" s="296" t="s">
        <v>1104</v>
      </c>
      <c r="J790" s="375" t="s">
        <v>594</v>
      </c>
      <c r="K790" s="266">
        <f>110000*50%</f>
        <v>55000</v>
      </c>
      <c r="L790" s="169" t="s">
        <v>324</v>
      </c>
      <c r="M790" s="175" t="s">
        <v>1105</v>
      </c>
      <c r="AV790" s="138"/>
      <c r="AW790" s="138"/>
      <c r="AX790" s="138"/>
      <c r="AY790" s="138"/>
      <c r="AZ790" s="138"/>
      <c r="BA790" s="138"/>
      <c r="BB790" s="138"/>
      <c r="BC790" s="138"/>
      <c r="BD790" s="138"/>
      <c r="BE790" s="138"/>
      <c r="BF790" s="138"/>
      <c r="BG790" s="138"/>
      <c r="BH790" s="138"/>
      <c r="BI790" s="138"/>
      <c r="BJ790" s="138"/>
      <c r="BK790" s="138"/>
      <c r="BL790" s="138"/>
      <c r="BM790" s="138"/>
      <c r="BN790" s="138"/>
      <c r="BO790" s="138"/>
    </row>
    <row r="791" spans="1:67" x14ac:dyDescent="0.2">
      <c r="A791" s="177"/>
      <c r="B791" s="178"/>
      <c r="C791" s="179"/>
      <c r="D791" s="243"/>
      <c r="E791" s="180"/>
      <c r="F791" s="180"/>
      <c r="G791" s="180"/>
      <c r="H791" s="248"/>
      <c r="I791" s="188" t="s">
        <v>1106</v>
      </c>
      <c r="J791" s="226" t="s">
        <v>594</v>
      </c>
      <c r="K791" s="370">
        <f>110000*25%</f>
        <v>27500</v>
      </c>
      <c r="L791" s="179"/>
      <c r="M791" s="185"/>
      <c r="AV791" s="138"/>
      <c r="AW791" s="138"/>
      <c r="AX791" s="138"/>
      <c r="AY791" s="138"/>
      <c r="AZ791" s="138"/>
      <c r="BA791" s="138"/>
      <c r="BB791" s="138"/>
      <c r="BC791" s="138"/>
      <c r="BD791" s="138"/>
      <c r="BE791" s="138"/>
      <c r="BF791" s="138"/>
      <c r="BG791" s="138"/>
      <c r="BH791" s="138"/>
      <c r="BI791" s="138"/>
      <c r="BJ791" s="138"/>
      <c r="BK791" s="138"/>
      <c r="BL791" s="138"/>
      <c r="BM791" s="138"/>
      <c r="BN791" s="138"/>
      <c r="BO791" s="138"/>
    </row>
    <row r="792" spans="1:67" ht="48" x14ac:dyDescent="0.2">
      <c r="A792" s="177"/>
      <c r="B792" s="178"/>
      <c r="C792" s="179"/>
      <c r="D792" s="243"/>
      <c r="E792" s="180"/>
      <c r="F792" s="180"/>
      <c r="G792" s="180"/>
      <c r="H792" s="248"/>
      <c r="I792" s="181" t="s">
        <v>1107</v>
      </c>
      <c r="J792" s="226" t="s">
        <v>594</v>
      </c>
      <c r="K792" s="214">
        <f>110000*25%</f>
        <v>27500</v>
      </c>
      <c r="L792" s="179"/>
      <c r="M792" s="185"/>
      <c r="AV792" s="138"/>
      <c r="AW792" s="138"/>
      <c r="AX792" s="138"/>
      <c r="AY792" s="138"/>
      <c r="AZ792" s="138"/>
      <c r="BA792" s="138"/>
      <c r="BB792" s="138"/>
      <c r="BC792" s="138"/>
      <c r="BD792" s="138"/>
      <c r="BE792" s="138"/>
      <c r="BF792" s="138"/>
      <c r="BG792" s="138"/>
      <c r="BH792" s="138"/>
      <c r="BI792" s="138"/>
      <c r="BJ792" s="138"/>
      <c r="BK792" s="138"/>
      <c r="BL792" s="138"/>
      <c r="BM792" s="138"/>
      <c r="BN792" s="138"/>
      <c r="BO792" s="138"/>
    </row>
    <row r="793" spans="1:67" x14ac:dyDescent="0.2">
      <c r="A793" s="189"/>
      <c r="B793" s="190"/>
      <c r="C793" s="191"/>
      <c r="D793" s="244"/>
      <c r="E793" s="192"/>
      <c r="F793" s="192"/>
      <c r="G793" s="192"/>
      <c r="H793" s="249"/>
      <c r="I793" s="203"/>
      <c r="J793" s="204"/>
      <c r="K793" s="290">
        <f>SUM(K790:K792)</f>
        <v>110000</v>
      </c>
      <c r="L793" s="191"/>
      <c r="M793" s="197"/>
      <c r="AV793" s="138"/>
      <c r="AW793" s="138"/>
      <c r="AX793" s="138"/>
      <c r="AY793" s="138"/>
      <c r="AZ793" s="138"/>
      <c r="BA793" s="138"/>
      <c r="BB793" s="138"/>
      <c r="BC793" s="138"/>
      <c r="BD793" s="138"/>
      <c r="BE793" s="138"/>
      <c r="BF793" s="138"/>
      <c r="BG793" s="138"/>
      <c r="BH793" s="138"/>
      <c r="BI793" s="138"/>
      <c r="BJ793" s="138"/>
      <c r="BK793" s="138"/>
      <c r="BL793" s="138"/>
      <c r="BM793" s="138"/>
      <c r="BN793" s="138"/>
      <c r="BO793" s="138"/>
    </row>
    <row r="794" spans="1:67" ht="48" x14ac:dyDescent="0.2">
      <c r="A794" s="167">
        <v>188</v>
      </c>
      <c r="B794" s="168" t="s">
        <v>1108</v>
      </c>
      <c r="C794" s="169"/>
      <c r="D794" s="250" t="s">
        <v>163</v>
      </c>
      <c r="E794" s="170"/>
      <c r="F794" s="170"/>
      <c r="G794" s="170"/>
      <c r="H794" s="246"/>
      <c r="I794" s="296" t="s">
        <v>1109</v>
      </c>
      <c r="J794" s="375" t="s">
        <v>594</v>
      </c>
      <c r="K794" s="363">
        <f>126100*70%</f>
        <v>88270</v>
      </c>
      <c r="L794" s="169" t="s">
        <v>324</v>
      </c>
      <c r="M794" s="175" t="s">
        <v>1110</v>
      </c>
      <c r="AV794" s="138"/>
      <c r="AW794" s="138"/>
      <c r="AX794" s="138"/>
      <c r="AY794" s="138"/>
      <c r="AZ794" s="138"/>
      <c r="BA794" s="138"/>
      <c r="BB794" s="138"/>
      <c r="BC794" s="138"/>
      <c r="BD794" s="138"/>
      <c r="BE794" s="138"/>
      <c r="BF794" s="138"/>
      <c r="BG794" s="138"/>
      <c r="BH794" s="138"/>
      <c r="BI794" s="138"/>
      <c r="BJ794" s="138"/>
      <c r="BK794" s="138"/>
      <c r="BL794" s="138"/>
      <c r="BM794" s="138"/>
      <c r="BN794" s="138"/>
      <c r="BO794" s="138"/>
    </row>
    <row r="795" spans="1:67" x14ac:dyDescent="0.2">
      <c r="A795" s="177"/>
      <c r="B795" s="178"/>
      <c r="C795" s="179"/>
      <c r="D795" s="243"/>
      <c r="E795" s="180"/>
      <c r="F795" s="180"/>
      <c r="G795" s="180"/>
      <c r="H795" s="248"/>
      <c r="I795" s="188" t="s">
        <v>1111</v>
      </c>
      <c r="J795" s="226" t="s">
        <v>594</v>
      </c>
      <c r="K795" s="214">
        <f>126100*10%</f>
        <v>12610</v>
      </c>
      <c r="L795" s="179"/>
      <c r="M795" s="185"/>
      <c r="AV795" s="138"/>
      <c r="AW795" s="138"/>
      <c r="AX795" s="138"/>
      <c r="AY795" s="138"/>
      <c r="AZ795" s="138"/>
      <c r="BA795" s="138"/>
      <c r="BB795" s="138"/>
      <c r="BC795" s="138"/>
      <c r="BD795" s="138"/>
      <c r="BE795" s="138"/>
      <c r="BF795" s="138"/>
      <c r="BG795" s="138"/>
      <c r="BH795" s="138"/>
      <c r="BI795" s="138"/>
      <c r="BJ795" s="138"/>
      <c r="BK795" s="138"/>
      <c r="BL795" s="138"/>
      <c r="BM795" s="138"/>
      <c r="BN795" s="138"/>
      <c r="BO795" s="138"/>
    </row>
    <row r="796" spans="1:67" ht="48" x14ac:dyDescent="0.2">
      <c r="A796" s="177"/>
      <c r="B796" s="178"/>
      <c r="C796" s="179"/>
      <c r="D796" s="243"/>
      <c r="E796" s="180"/>
      <c r="F796" s="180"/>
      <c r="G796" s="180"/>
      <c r="H796" s="248"/>
      <c r="I796" s="171" t="s">
        <v>1112</v>
      </c>
      <c r="J796" s="226" t="s">
        <v>594</v>
      </c>
      <c r="K796" s="370">
        <f>126100*10%</f>
        <v>12610</v>
      </c>
      <c r="L796" s="179"/>
      <c r="M796" s="185"/>
      <c r="AV796" s="138"/>
      <c r="AW796" s="138"/>
      <c r="AX796" s="138"/>
      <c r="AY796" s="138"/>
      <c r="AZ796" s="138"/>
      <c r="BA796" s="138"/>
      <c r="BB796" s="138"/>
      <c r="BC796" s="138"/>
      <c r="BD796" s="138"/>
      <c r="BE796" s="138"/>
      <c r="BF796" s="138"/>
      <c r="BG796" s="138"/>
      <c r="BH796" s="138"/>
      <c r="BI796" s="138"/>
      <c r="BJ796" s="138"/>
      <c r="BK796" s="138"/>
      <c r="BL796" s="138"/>
      <c r="BM796" s="138"/>
      <c r="BN796" s="138"/>
      <c r="BO796" s="138"/>
    </row>
    <row r="797" spans="1:67" x14ac:dyDescent="0.2">
      <c r="A797" s="177"/>
      <c r="B797" s="178"/>
      <c r="C797" s="179"/>
      <c r="D797" s="243"/>
      <c r="E797" s="180"/>
      <c r="F797" s="180"/>
      <c r="G797" s="180"/>
      <c r="H797" s="248"/>
      <c r="I797" s="181" t="s">
        <v>1113</v>
      </c>
      <c r="J797" s="207" t="s">
        <v>594</v>
      </c>
      <c r="K797" s="214">
        <f>126100*10%</f>
        <v>12610</v>
      </c>
      <c r="L797" s="179"/>
      <c r="M797" s="185"/>
      <c r="AV797" s="138"/>
      <c r="AW797" s="138"/>
      <c r="AX797" s="138"/>
      <c r="AY797" s="138"/>
      <c r="AZ797" s="138"/>
      <c r="BA797" s="138"/>
      <c r="BB797" s="138"/>
      <c r="BC797" s="138"/>
      <c r="BD797" s="138"/>
      <c r="BE797" s="138"/>
      <c r="BF797" s="138"/>
      <c r="BG797" s="138"/>
      <c r="BH797" s="138"/>
      <c r="BI797" s="138"/>
      <c r="BJ797" s="138"/>
      <c r="BK797" s="138"/>
      <c r="BL797" s="138"/>
      <c r="BM797" s="138"/>
      <c r="BN797" s="138"/>
      <c r="BO797" s="138"/>
    </row>
    <row r="798" spans="1:67" x14ac:dyDescent="0.2">
      <c r="A798" s="189"/>
      <c r="B798" s="190"/>
      <c r="C798" s="191"/>
      <c r="D798" s="244"/>
      <c r="E798" s="192"/>
      <c r="F798" s="192"/>
      <c r="G798" s="192"/>
      <c r="H798" s="249"/>
      <c r="I798" s="203"/>
      <c r="J798" s="369"/>
      <c r="K798" s="290">
        <f>SUM(K794:K797)</f>
        <v>126100</v>
      </c>
      <c r="L798" s="191"/>
      <c r="M798" s="197"/>
      <c r="AV798" s="138"/>
      <c r="AW798" s="138"/>
      <c r="AX798" s="138"/>
      <c r="AY798" s="138"/>
      <c r="AZ798" s="138"/>
      <c r="BA798" s="138"/>
      <c r="BB798" s="138"/>
      <c r="BC798" s="138"/>
      <c r="BD798" s="138"/>
      <c r="BE798" s="138"/>
      <c r="BF798" s="138"/>
      <c r="BG798" s="138"/>
      <c r="BH798" s="138"/>
      <c r="BI798" s="138"/>
      <c r="BJ798" s="138"/>
      <c r="BK798" s="138"/>
      <c r="BL798" s="138"/>
      <c r="BM798" s="138"/>
      <c r="BN798" s="138"/>
      <c r="BO798" s="138"/>
    </row>
    <row r="799" spans="1:67" ht="48" x14ac:dyDescent="0.2">
      <c r="A799" s="167">
        <v>189</v>
      </c>
      <c r="B799" s="168" t="s">
        <v>971</v>
      </c>
      <c r="C799" s="169"/>
      <c r="D799" s="250" t="s">
        <v>163</v>
      </c>
      <c r="E799" s="170"/>
      <c r="F799" s="170"/>
      <c r="G799" s="170"/>
      <c r="H799" s="246" t="s">
        <v>137</v>
      </c>
      <c r="I799" s="296" t="s">
        <v>1114</v>
      </c>
      <c r="J799" s="375" t="s">
        <v>594</v>
      </c>
      <c r="K799" s="363">
        <f>150000*50%</f>
        <v>75000</v>
      </c>
      <c r="L799" s="169" t="s">
        <v>324</v>
      </c>
      <c r="M799" s="175" t="s">
        <v>973</v>
      </c>
      <c r="AV799" s="138"/>
      <c r="AW799" s="138"/>
      <c r="AX799" s="138"/>
      <c r="AY799" s="138"/>
      <c r="AZ799" s="138"/>
      <c r="BA799" s="138"/>
      <c r="BB799" s="138"/>
      <c r="BC799" s="138"/>
      <c r="BD799" s="138"/>
      <c r="BE799" s="138"/>
      <c r="BF799" s="138"/>
      <c r="BG799" s="138"/>
      <c r="BH799" s="138"/>
      <c r="BI799" s="138"/>
      <c r="BJ799" s="138"/>
      <c r="BK799" s="138"/>
      <c r="BL799" s="138"/>
      <c r="BM799" s="138"/>
      <c r="BN799" s="138"/>
      <c r="BO799" s="138"/>
    </row>
    <row r="800" spans="1:67" x14ac:dyDescent="0.2">
      <c r="A800" s="177"/>
      <c r="B800" s="178"/>
      <c r="C800" s="179"/>
      <c r="D800" s="243"/>
      <c r="E800" s="180"/>
      <c r="F800" s="180"/>
      <c r="G800" s="180"/>
      <c r="H800" s="248"/>
      <c r="I800" s="181" t="s">
        <v>1115</v>
      </c>
      <c r="J800" s="207" t="s">
        <v>594</v>
      </c>
      <c r="K800" s="199">
        <f>150000*15%</f>
        <v>22500</v>
      </c>
      <c r="L800" s="179"/>
      <c r="M800" s="185"/>
      <c r="AV800" s="138"/>
      <c r="AW800" s="138"/>
      <c r="AX800" s="138"/>
      <c r="AY800" s="138"/>
      <c r="AZ800" s="138"/>
      <c r="BA800" s="138"/>
      <c r="BB800" s="138"/>
      <c r="BC800" s="138"/>
      <c r="BD800" s="138"/>
      <c r="BE800" s="138"/>
      <c r="BF800" s="138"/>
      <c r="BG800" s="138"/>
      <c r="BH800" s="138"/>
      <c r="BI800" s="138"/>
      <c r="BJ800" s="138"/>
      <c r="BK800" s="138"/>
      <c r="BL800" s="138"/>
      <c r="BM800" s="138"/>
      <c r="BN800" s="138"/>
      <c r="BO800" s="138"/>
    </row>
    <row r="801" spans="1:67" x14ac:dyDescent="0.2">
      <c r="A801" s="177"/>
      <c r="B801" s="178"/>
      <c r="C801" s="179"/>
      <c r="D801" s="243"/>
      <c r="E801" s="180"/>
      <c r="F801" s="180"/>
      <c r="G801" s="180"/>
      <c r="H801" s="248"/>
      <c r="I801" s="181" t="s">
        <v>975</v>
      </c>
      <c r="J801" s="371" t="s">
        <v>594</v>
      </c>
      <c r="K801" s="199">
        <f>150000*35%</f>
        <v>52500</v>
      </c>
      <c r="L801" s="179"/>
      <c r="M801" s="185"/>
      <c r="AV801" s="138"/>
      <c r="AW801" s="138"/>
      <c r="AX801" s="138"/>
      <c r="AY801" s="138"/>
      <c r="AZ801" s="138"/>
      <c r="BA801" s="138"/>
      <c r="BB801" s="138"/>
      <c r="BC801" s="138"/>
      <c r="BD801" s="138"/>
      <c r="BE801" s="138"/>
      <c r="BF801" s="138"/>
      <c r="BG801" s="138"/>
      <c r="BH801" s="138"/>
      <c r="BI801" s="138"/>
      <c r="BJ801" s="138"/>
      <c r="BK801" s="138"/>
      <c r="BL801" s="138"/>
      <c r="BM801" s="138"/>
      <c r="BN801" s="138"/>
      <c r="BO801" s="138"/>
    </row>
    <row r="802" spans="1:67" x14ac:dyDescent="0.2">
      <c r="A802" s="189"/>
      <c r="B802" s="190"/>
      <c r="C802" s="191"/>
      <c r="D802" s="244"/>
      <c r="E802" s="192"/>
      <c r="F802" s="192"/>
      <c r="G802" s="192"/>
      <c r="H802" s="249"/>
      <c r="I802" s="203"/>
      <c r="J802" s="204"/>
      <c r="K802" s="245">
        <f>SUM(K799:K801)</f>
        <v>150000</v>
      </c>
      <c r="L802" s="191"/>
      <c r="M802" s="197"/>
      <c r="AV802" s="138"/>
      <c r="AW802" s="138"/>
      <c r="AX802" s="138"/>
      <c r="AY802" s="138"/>
      <c r="AZ802" s="138"/>
      <c r="BA802" s="138"/>
      <c r="BB802" s="138"/>
      <c r="BC802" s="138"/>
      <c r="BD802" s="138"/>
      <c r="BE802" s="138"/>
      <c r="BF802" s="138"/>
      <c r="BG802" s="138"/>
      <c r="BH802" s="138"/>
      <c r="BI802" s="138"/>
      <c r="BJ802" s="138"/>
      <c r="BK802" s="138"/>
      <c r="BL802" s="138"/>
      <c r="BM802" s="138"/>
      <c r="BN802" s="138"/>
      <c r="BO802" s="138"/>
    </row>
    <row r="803" spans="1:67" x14ac:dyDescent="0.2">
      <c r="A803" s="167">
        <v>190</v>
      </c>
      <c r="B803" s="168" t="s">
        <v>1116</v>
      </c>
      <c r="C803" s="169"/>
      <c r="D803" s="250" t="s">
        <v>163</v>
      </c>
      <c r="E803" s="170"/>
      <c r="F803" s="170"/>
      <c r="G803" s="170"/>
      <c r="H803" s="246"/>
      <c r="I803" s="217" t="s">
        <v>1117</v>
      </c>
      <c r="J803" s="375" t="s">
        <v>594</v>
      </c>
      <c r="K803" s="363">
        <f>63980*80%</f>
        <v>51184</v>
      </c>
      <c r="L803" s="169" t="s">
        <v>324</v>
      </c>
      <c r="M803" s="175" t="s">
        <v>1118</v>
      </c>
      <c r="AV803" s="138"/>
      <c r="AW803" s="138"/>
      <c r="AX803" s="138"/>
      <c r="AY803" s="138"/>
      <c r="AZ803" s="138"/>
      <c r="BA803" s="138"/>
      <c r="BB803" s="138"/>
      <c r="BC803" s="138"/>
      <c r="BD803" s="138"/>
      <c r="BE803" s="138"/>
      <c r="BF803" s="138"/>
      <c r="BG803" s="138"/>
      <c r="BH803" s="138"/>
      <c r="BI803" s="138"/>
      <c r="BJ803" s="138"/>
      <c r="BK803" s="138"/>
      <c r="BL803" s="138"/>
      <c r="BM803" s="138"/>
      <c r="BN803" s="138"/>
      <c r="BO803" s="138"/>
    </row>
    <row r="804" spans="1:67" x14ac:dyDescent="0.2">
      <c r="A804" s="177"/>
      <c r="B804" s="178"/>
      <c r="C804" s="179"/>
      <c r="D804" s="243"/>
      <c r="E804" s="180"/>
      <c r="F804" s="180"/>
      <c r="G804" s="180"/>
      <c r="H804" s="248"/>
      <c r="I804" s="171" t="s">
        <v>1119</v>
      </c>
      <c r="J804" s="207" t="s">
        <v>594</v>
      </c>
      <c r="K804" s="199">
        <f>63980*10%</f>
        <v>6398</v>
      </c>
      <c r="L804" s="179"/>
      <c r="M804" s="185"/>
      <c r="AV804" s="138"/>
      <c r="AW804" s="138"/>
      <c r="AX804" s="138"/>
      <c r="AY804" s="138"/>
      <c r="AZ804" s="138"/>
      <c r="BA804" s="138"/>
      <c r="BB804" s="138"/>
      <c r="BC804" s="138"/>
      <c r="BD804" s="138"/>
      <c r="BE804" s="138"/>
      <c r="BF804" s="138"/>
      <c r="BG804" s="138"/>
      <c r="BH804" s="138"/>
      <c r="BI804" s="138"/>
      <c r="BJ804" s="138"/>
      <c r="BK804" s="138"/>
      <c r="BL804" s="138"/>
      <c r="BM804" s="138"/>
      <c r="BN804" s="138"/>
      <c r="BO804" s="138"/>
    </row>
    <row r="805" spans="1:67" x14ac:dyDescent="0.2">
      <c r="A805" s="177"/>
      <c r="B805" s="178"/>
      <c r="C805" s="179"/>
      <c r="D805" s="243"/>
      <c r="E805" s="180"/>
      <c r="F805" s="180"/>
      <c r="G805" s="180"/>
      <c r="H805" s="248"/>
      <c r="I805" s="181" t="s">
        <v>894</v>
      </c>
      <c r="J805" s="207" t="s">
        <v>594</v>
      </c>
      <c r="K805" s="199">
        <f>63980*10%</f>
        <v>6398</v>
      </c>
      <c r="L805" s="179"/>
      <c r="M805" s="185"/>
      <c r="AV805" s="138"/>
      <c r="AW805" s="138"/>
      <c r="AX805" s="138"/>
      <c r="AY805" s="138"/>
      <c r="AZ805" s="138"/>
      <c r="BA805" s="138"/>
      <c r="BB805" s="138"/>
      <c r="BC805" s="138"/>
      <c r="BD805" s="138"/>
      <c r="BE805" s="138"/>
      <c r="BF805" s="138"/>
      <c r="BG805" s="138"/>
      <c r="BH805" s="138"/>
      <c r="BI805" s="138"/>
      <c r="BJ805" s="138"/>
      <c r="BK805" s="138"/>
      <c r="BL805" s="138"/>
      <c r="BM805" s="138"/>
      <c r="BN805" s="138"/>
      <c r="BO805" s="138"/>
    </row>
    <row r="806" spans="1:67" x14ac:dyDescent="0.2">
      <c r="A806" s="189"/>
      <c r="B806" s="190"/>
      <c r="C806" s="191"/>
      <c r="D806" s="244"/>
      <c r="E806" s="192"/>
      <c r="F806" s="192"/>
      <c r="G806" s="192"/>
      <c r="H806" s="249"/>
      <c r="I806" s="203"/>
      <c r="J806" s="369"/>
      <c r="K806" s="245">
        <f>SUM(K803:K805)</f>
        <v>63980</v>
      </c>
      <c r="L806" s="191"/>
      <c r="M806" s="197"/>
      <c r="AV806" s="138"/>
      <c r="AW806" s="138"/>
      <c r="AX806" s="138"/>
      <c r="AY806" s="138"/>
      <c r="AZ806" s="138"/>
      <c r="BA806" s="138"/>
      <c r="BB806" s="138"/>
      <c r="BC806" s="138"/>
      <c r="BD806" s="138"/>
      <c r="BE806" s="138"/>
      <c r="BF806" s="138"/>
      <c r="BG806" s="138"/>
      <c r="BH806" s="138"/>
      <c r="BI806" s="138"/>
      <c r="BJ806" s="138"/>
      <c r="BK806" s="138"/>
      <c r="BL806" s="138"/>
      <c r="BM806" s="138"/>
      <c r="BN806" s="138"/>
      <c r="BO806" s="138"/>
    </row>
    <row r="807" spans="1:67" x14ac:dyDescent="0.2">
      <c r="A807" s="167">
        <v>191</v>
      </c>
      <c r="B807" s="168" t="s">
        <v>1120</v>
      </c>
      <c r="C807" s="169"/>
      <c r="D807" s="250" t="s">
        <v>163</v>
      </c>
      <c r="E807" s="170"/>
      <c r="F807" s="170"/>
      <c r="G807" s="170"/>
      <c r="H807" s="246"/>
      <c r="I807" s="217" t="s">
        <v>1121</v>
      </c>
      <c r="J807" s="223" t="s">
        <v>594</v>
      </c>
      <c r="K807" s="363">
        <f>64900*70%</f>
        <v>45430</v>
      </c>
      <c r="L807" s="169" t="s">
        <v>324</v>
      </c>
      <c r="M807" s="175" t="s">
        <v>1122</v>
      </c>
      <c r="AV807" s="138"/>
      <c r="AW807" s="138"/>
      <c r="AX807" s="138"/>
      <c r="AY807" s="138"/>
      <c r="AZ807" s="138"/>
      <c r="BA807" s="138"/>
      <c r="BB807" s="138"/>
      <c r="BC807" s="138"/>
      <c r="BD807" s="138"/>
      <c r="BE807" s="138"/>
      <c r="BF807" s="138"/>
      <c r="BG807" s="138"/>
      <c r="BH807" s="138"/>
      <c r="BI807" s="138"/>
      <c r="BJ807" s="138"/>
      <c r="BK807" s="138"/>
      <c r="BL807" s="138"/>
      <c r="BM807" s="138"/>
      <c r="BN807" s="138"/>
      <c r="BO807" s="138"/>
    </row>
    <row r="808" spans="1:67" x14ac:dyDescent="0.2">
      <c r="A808" s="177"/>
      <c r="B808" s="178"/>
      <c r="C808" s="179"/>
      <c r="D808" s="243"/>
      <c r="E808" s="180"/>
      <c r="F808" s="180"/>
      <c r="G808" s="180"/>
      <c r="H808" s="248"/>
      <c r="I808" s="188" t="s">
        <v>1123</v>
      </c>
      <c r="J808" s="247" t="s">
        <v>594</v>
      </c>
      <c r="K808" s="199">
        <f>64900*20%</f>
        <v>12980</v>
      </c>
      <c r="L808" s="179"/>
      <c r="M808" s="185"/>
      <c r="AV808" s="138"/>
      <c r="AW808" s="138"/>
      <c r="AX808" s="138"/>
      <c r="AY808" s="138"/>
      <c r="AZ808" s="138"/>
      <c r="BA808" s="138"/>
      <c r="BB808" s="138"/>
      <c r="BC808" s="138"/>
      <c r="BD808" s="138"/>
      <c r="BE808" s="138"/>
      <c r="BF808" s="138"/>
      <c r="BG808" s="138"/>
      <c r="BH808" s="138"/>
      <c r="BI808" s="138"/>
      <c r="BJ808" s="138"/>
      <c r="BK808" s="138"/>
      <c r="BL808" s="138"/>
      <c r="BM808" s="138"/>
      <c r="BN808" s="138"/>
      <c r="BO808" s="138"/>
    </row>
    <row r="809" spans="1:67" ht="48" x14ac:dyDescent="0.2">
      <c r="A809" s="177"/>
      <c r="B809" s="178"/>
      <c r="C809" s="179"/>
      <c r="D809" s="243"/>
      <c r="E809" s="180"/>
      <c r="F809" s="180"/>
      <c r="G809" s="180"/>
      <c r="H809" s="248"/>
      <c r="I809" s="274" t="s">
        <v>958</v>
      </c>
      <c r="J809" s="371" t="s">
        <v>594</v>
      </c>
      <c r="K809" s="214">
        <f>64900*5%</f>
        <v>3245</v>
      </c>
      <c r="L809" s="179"/>
      <c r="M809" s="185"/>
      <c r="AV809" s="138"/>
      <c r="AW809" s="138"/>
      <c r="AX809" s="138"/>
      <c r="AY809" s="138"/>
      <c r="AZ809" s="138"/>
      <c r="BA809" s="138"/>
      <c r="BB809" s="138"/>
      <c r="BC809" s="138"/>
      <c r="BD809" s="138"/>
      <c r="BE809" s="138"/>
      <c r="BF809" s="138"/>
      <c r="BG809" s="138"/>
      <c r="BH809" s="138"/>
      <c r="BI809" s="138"/>
      <c r="BJ809" s="138"/>
      <c r="BK809" s="138"/>
      <c r="BL809" s="138"/>
      <c r="BM809" s="138"/>
      <c r="BN809" s="138"/>
      <c r="BO809" s="138"/>
    </row>
    <row r="810" spans="1:67" x14ac:dyDescent="0.2">
      <c r="A810" s="177"/>
      <c r="B810" s="178"/>
      <c r="C810" s="179"/>
      <c r="D810" s="243"/>
      <c r="E810" s="180"/>
      <c r="F810" s="180"/>
      <c r="G810" s="180"/>
      <c r="H810" s="248"/>
      <c r="I810" s="188" t="s">
        <v>1124</v>
      </c>
      <c r="J810" s="207" t="s">
        <v>594</v>
      </c>
      <c r="K810" s="214">
        <f>64900*5%</f>
        <v>3245</v>
      </c>
      <c r="L810" s="179"/>
      <c r="M810" s="185"/>
      <c r="AV810" s="138"/>
      <c r="AW810" s="138"/>
      <c r="AX810" s="138"/>
      <c r="AY810" s="138"/>
      <c r="AZ810" s="138"/>
      <c r="BA810" s="138"/>
      <c r="BB810" s="138"/>
      <c r="BC810" s="138"/>
      <c r="BD810" s="138"/>
      <c r="BE810" s="138"/>
      <c r="BF810" s="138"/>
      <c r="BG810" s="138"/>
      <c r="BH810" s="138"/>
      <c r="BI810" s="138"/>
      <c r="BJ810" s="138"/>
      <c r="BK810" s="138"/>
      <c r="BL810" s="138"/>
      <c r="BM810" s="138"/>
      <c r="BN810" s="138"/>
      <c r="BO810" s="138"/>
    </row>
    <row r="811" spans="1:67" x14ac:dyDescent="0.2">
      <c r="A811" s="189"/>
      <c r="B811" s="190"/>
      <c r="C811" s="191"/>
      <c r="D811" s="244"/>
      <c r="E811" s="192"/>
      <c r="F811" s="192"/>
      <c r="G811" s="192"/>
      <c r="H811" s="249"/>
      <c r="I811" s="193"/>
      <c r="J811" s="204"/>
      <c r="K811" s="290">
        <f>SUM(K807:K810)</f>
        <v>64900</v>
      </c>
      <c r="L811" s="191"/>
      <c r="M811" s="197"/>
      <c r="AV811" s="138"/>
      <c r="AW811" s="138"/>
      <c r="AX811" s="138"/>
      <c r="AY811" s="138"/>
      <c r="AZ811" s="138"/>
      <c r="BA811" s="138"/>
      <c r="BB811" s="138"/>
      <c r="BC811" s="138"/>
      <c r="BD811" s="138"/>
      <c r="BE811" s="138"/>
      <c r="BF811" s="138"/>
      <c r="BG811" s="138"/>
      <c r="BH811" s="138"/>
      <c r="BI811" s="138"/>
      <c r="BJ811" s="138"/>
      <c r="BK811" s="138"/>
      <c r="BL811" s="138"/>
      <c r="BM811" s="138"/>
      <c r="BN811" s="138"/>
      <c r="BO811" s="138"/>
    </row>
    <row r="812" spans="1:67" ht="24.75" customHeight="1" x14ac:dyDescent="0.2">
      <c r="A812" s="167">
        <v>192</v>
      </c>
      <c r="B812" s="168" t="s">
        <v>1125</v>
      </c>
      <c r="C812" s="169"/>
      <c r="D812" s="250" t="s">
        <v>25</v>
      </c>
      <c r="E812" s="170"/>
      <c r="F812" s="170"/>
      <c r="G812" s="170" t="s">
        <v>1126</v>
      </c>
      <c r="H812" s="170" t="s">
        <v>1127</v>
      </c>
      <c r="I812" s="171" t="s">
        <v>1128</v>
      </c>
      <c r="J812" s="247" t="s">
        <v>594</v>
      </c>
      <c r="K812" s="363">
        <f>2435000*25%</f>
        <v>608750</v>
      </c>
      <c r="L812" s="376" t="s">
        <v>1126</v>
      </c>
      <c r="M812" s="376" t="s">
        <v>1129</v>
      </c>
      <c r="AV812" s="138"/>
      <c r="AW812" s="138"/>
      <c r="AX812" s="138"/>
      <c r="AY812" s="138"/>
      <c r="AZ812" s="138"/>
      <c r="BA812" s="138"/>
      <c r="BB812" s="138"/>
      <c r="BC812" s="138"/>
      <c r="BD812" s="138"/>
      <c r="BE812" s="138"/>
      <c r="BF812" s="138"/>
      <c r="BG812" s="138"/>
      <c r="BH812" s="138"/>
      <c r="BI812" s="138"/>
      <c r="BJ812" s="138"/>
      <c r="BK812" s="138"/>
      <c r="BL812" s="138"/>
      <c r="BM812" s="138"/>
      <c r="BN812" s="138"/>
      <c r="BO812" s="138"/>
    </row>
    <row r="813" spans="1:67" x14ac:dyDescent="0.2">
      <c r="A813" s="177"/>
      <c r="B813" s="178"/>
      <c r="C813" s="179"/>
      <c r="D813" s="243"/>
      <c r="E813" s="180"/>
      <c r="F813" s="180"/>
      <c r="G813" s="180"/>
      <c r="H813" s="180"/>
      <c r="I813" s="181" t="s">
        <v>1130</v>
      </c>
      <c r="J813" s="226" t="s">
        <v>594</v>
      </c>
      <c r="K813" s="214">
        <f t="shared" ref="K813:K815" si="12">2435000*25%</f>
        <v>608750</v>
      </c>
      <c r="L813" s="376"/>
      <c r="M813" s="376"/>
      <c r="AV813" s="138"/>
      <c r="AW813" s="138"/>
      <c r="AX813" s="138"/>
      <c r="AY813" s="138"/>
      <c r="AZ813" s="138"/>
      <c r="BA813" s="138"/>
      <c r="BB813" s="138"/>
      <c r="BC813" s="138"/>
      <c r="BD813" s="138"/>
      <c r="BE813" s="138"/>
      <c r="BF813" s="138"/>
      <c r="BG813" s="138"/>
      <c r="BH813" s="138"/>
      <c r="BI813" s="138"/>
      <c r="BJ813" s="138"/>
      <c r="BK813" s="138"/>
      <c r="BL813" s="138"/>
      <c r="BM813" s="138"/>
      <c r="BN813" s="138"/>
      <c r="BO813" s="138"/>
    </row>
    <row r="814" spans="1:67" x14ac:dyDescent="0.2">
      <c r="A814" s="177"/>
      <c r="B814" s="178"/>
      <c r="C814" s="179"/>
      <c r="D814" s="243"/>
      <c r="E814" s="180"/>
      <c r="F814" s="180"/>
      <c r="G814" s="180"/>
      <c r="H814" s="180"/>
      <c r="I814" s="181" t="s">
        <v>1131</v>
      </c>
      <c r="J814" s="226" t="s">
        <v>594</v>
      </c>
      <c r="K814" s="370">
        <f t="shared" si="12"/>
        <v>608750</v>
      </c>
      <c r="L814" s="376"/>
      <c r="M814" s="376"/>
      <c r="AV814" s="138"/>
      <c r="AW814" s="138"/>
      <c r="AX814" s="138"/>
      <c r="AY814" s="138"/>
      <c r="AZ814" s="138"/>
      <c r="BA814" s="138"/>
      <c r="BB814" s="138"/>
      <c r="BC814" s="138"/>
      <c r="BD814" s="138"/>
      <c r="BE814" s="138"/>
      <c r="BF814" s="138"/>
      <c r="BG814" s="138"/>
      <c r="BH814" s="138"/>
      <c r="BI814" s="138"/>
      <c r="BJ814" s="138"/>
      <c r="BK814" s="138"/>
      <c r="BL814" s="138"/>
      <c r="BM814" s="138"/>
      <c r="BN814" s="138"/>
      <c r="BO814" s="138"/>
    </row>
    <row r="815" spans="1:67" ht="48" x14ac:dyDescent="0.2">
      <c r="A815" s="177"/>
      <c r="B815" s="178"/>
      <c r="C815" s="179"/>
      <c r="D815" s="243"/>
      <c r="E815" s="180"/>
      <c r="F815" s="180"/>
      <c r="G815" s="180"/>
      <c r="H815" s="180"/>
      <c r="I815" s="181" t="s">
        <v>1132</v>
      </c>
      <c r="J815" s="207" t="s">
        <v>594</v>
      </c>
      <c r="K815" s="214">
        <f t="shared" si="12"/>
        <v>608750</v>
      </c>
      <c r="L815" s="376"/>
      <c r="M815" s="376"/>
      <c r="AV815" s="138"/>
      <c r="AW815" s="138"/>
      <c r="AX815" s="138"/>
      <c r="AY815" s="138"/>
      <c r="AZ815" s="138"/>
      <c r="BA815" s="138"/>
      <c r="BB815" s="138"/>
      <c r="BC815" s="138"/>
      <c r="BD815" s="138"/>
      <c r="BE815" s="138"/>
      <c r="BF815" s="138"/>
      <c r="BG815" s="138"/>
      <c r="BH815" s="138"/>
      <c r="BI815" s="138"/>
      <c r="BJ815" s="138"/>
      <c r="BK815" s="138"/>
      <c r="BL815" s="138"/>
      <c r="BM815" s="138"/>
      <c r="BN815" s="138"/>
      <c r="BO815" s="138"/>
    </row>
    <row r="816" spans="1:67" ht="26.25" customHeight="1" x14ac:dyDescent="0.2">
      <c r="A816" s="189"/>
      <c r="B816" s="190"/>
      <c r="C816" s="191"/>
      <c r="D816" s="244"/>
      <c r="E816" s="192"/>
      <c r="F816" s="192"/>
      <c r="G816" s="192"/>
      <c r="H816" s="192"/>
      <c r="I816" s="203"/>
      <c r="J816" s="369"/>
      <c r="K816" s="245">
        <f>SUM(K812:K815)</f>
        <v>2435000</v>
      </c>
      <c r="L816" s="376"/>
      <c r="M816" s="376"/>
      <c r="AV816" s="138"/>
      <c r="AW816" s="138"/>
      <c r="AX816" s="138"/>
      <c r="AY816" s="138"/>
      <c r="AZ816" s="138"/>
      <c r="BA816" s="138"/>
      <c r="BB816" s="138"/>
      <c r="BC816" s="138"/>
      <c r="BD816" s="138"/>
      <c r="BE816" s="138"/>
      <c r="BF816" s="138"/>
      <c r="BG816" s="138"/>
      <c r="BH816" s="138"/>
      <c r="BI816" s="138"/>
      <c r="BJ816" s="138"/>
      <c r="BK816" s="138"/>
      <c r="BL816" s="138"/>
      <c r="BM816" s="138"/>
      <c r="BN816" s="138"/>
      <c r="BO816" s="138"/>
    </row>
    <row r="817" spans="1:67" ht="21.75" customHeight="1" x14ac:dyDescent="0.2">
      <c r="A817" s="167">
        <v>193</v>
      </c>
      <c r="B817" s="168" t="s">
        <v>1133</v>
      </c>
      <c r="C817" s="169"/>
      <c r="D817" s="250" t="s">
        <v>25</v>
      </c>
      <c r="E817" s="170"/>
      <c r="F817" s="170"/>
      <c r="G817" s="170" t="s">
        <v>1134</v>
      </c>
      <c r="H817" s="170" t="s">
        <v>750</v>
      </c>
      <c r="I817" s="296" t="s">
        <v>1135</v>
      </c>
      <c r="J817" s="223" t="s">
        <v>594</v>
      </c>
      <c r="K817" s="363">
        <f>500000*45%</f>
        <v>225000</v>
      </c>
      <c r="L817" s="175" t="s">
        <v>1134</v>
      </c>
      <c r="M817" s="175" t="s">
        <v>1136</v>
      </c>
      <c r="AV817" s="138"/>
      <c r="AW817" s="138"/>
      <c r="AX817" s="138"/>
      <c r="AY817" s="138"/>
      <c r="AZ817" s="138"/>
      <c r="BA817" s="138"/>
      <c r="BB817" s="138"/>
      <c r="BC817" s="138"/>
      <c r="BD817" s="138"/>
      <c r="BE817" s="138"/>
      <c r="BF817" s="138"/>
      <c r="BG817" s="138"/>
      <c r="BH817" s="138"/>
      <c r="BI817" s="138"/>
      <c r="BJ817" s="138"/>
      <c r="BK817" s="138"/>
      <c r="BL817" s="138"/>
      <c r="BM817" s="138"/>
      <c r="BN817" s="138"/>
      <c r="BO817" s="138"/>
    </row>
    <row r="818" spans="1:67" ht="21.75" customHeight="1" x14ac:dyDescent="0.2">
      <c r="A818" s="177"/>
      <c r="B818" s="178"/>
      <c r="C818" s="179"/>
      <c r="D818" s="243"/>
      <c r="E818" s="180"/>
      <c r="F818" s="180"/>
      <c r="G818" s="180"/>
      <c r="H818" s="180"/>
      <c r="I818" s="181" t="s">
        <v>1091</v>
      </c>
      <c r="J818" s="207" t="s">
        <v>594</v>
      </c>
      <c r="K818" s="214">
        <f>500000*20%</f>
        <v>100000</v>
      </c>
      <c r="L818" s="185"/>
      <c r="M818" s="185"/>
      <c r="AV818" s="138"/>
      <c r="AW818" s="138"/>
      <c r="AX818" s="138"/>
      <c r="AY818" s="138"/>
      <c r="AZ818" s="138"/>
      <c r="BA818" s="138"/>
      <c r="BB818" s="138"/>
      <c r="BC818" s="138"/>
      <c r="BD818" s="138"/>
      <c r="BE818" s="138"/>
      <c r="BF818" s="138"/>
      <c r="BG818" s="138"/>
      <c r="BH818" s="138"/>
      <c r="BI818" s="138"/>
      <c r="BJ818" s="138"/>
      <c r="BK818" s="138"/>
      <c r="BL818" s="138"/>
      <c r="BM818" s="138"/>
      <c r="BN818" s="138"/>
      <c r="BO818" s="138"/>
    </row>
    <row r="819" spans="1:67" ht="21.75" customHeight="1" x14ac:dyDescent="0.2">
      <c r="A819" s="177"/>
      <c r="B819" s="178"/>
      <c r="C819" s="179"/>
      <c r="D819" s="243"/>
      <c r="E819" s="180"/>
      <c r="F819" s="180"/>
      <c r="G819" s="180"/>
      <c r="H819" s="180"/>
      <c r="I819" s="181" t="s">
        <v>1092</v>
      </c>
      <c r="J819" s="207" t="s">
        <v>594</v>
      </c>
      <c r="K819" s="370">
        <f>500000*20%</f>
        <v>100000</v>
      </c>
      <c r="L819" s="185"/>
      <c r="M819" s="185"/>
      <c r="AV819" s="138"/>
      <c r="AW819" s="138"/>
      <c r="AX819" s="138"/>
      <c r="AY819" s="138"/>
      <c r="AZ819" s="138"/>
      <c r="BA819" s="138"/>
      <c r="BB819" s="138"/>
      <c r="BC819" s="138"/>
      <c r="BD819" s="138"/>
      <c r="BE819" s="138"/>
      <c r="BF819" s="138"/>
      <c r="BG819" s="138"/>
      <c r="BH819" s="138"/>
      <c r="BI819" s="138"/>
      <c r="BJ819" s="138"/>
      <c r="BK819" s="138"/>
      <c r="BL819" s="138"/>
      <c r="BM819" s="138"/>
      <c r="BN819" s="138"/>
      <c r="BO819" s="138"/>
    </row>
    <row r="820" spans="1:67" ht="21.75" customHeight="1" x14ac:dyDescent="0.2">
      <c r="A820" s="177"/>
      <c r="B820" s="178"/>
      <c r="C820" s="179"/>
      <c r="D820" s="243"/>
      <c r="E820" s="180"/>
      <c r="F820" s="180"/>
      <c r="G820" s="180"/>
      <c r="H820" s="180"/>
      <c r="I820" s="188" t="s">
        <v>1137</v>
      </c>
      <c r="J820" s="172" t="s">
        <v>594</v>
      </c>
      <c r="K820" s="214">
        <f>500000*15%</f>
        <v>75000</v>
      </c>
      <c r="L820" s="185"/>
      <c r="M820" s="185"/>
      <c r="AV820" s="138"/>
      <c r="AW820" s="138"/>
      <c r="AX820" s="138"/>
      <c r="AY820" s="138"/>
      <c r="AZ820" s="138"/>
      <c r="BA820" s="138"/>
      <c r="BB820" s="138"/>
      <c r="BC820" s="138"/>
      <c r="BD820" s="138"/>
      <c r="BE820" s="138"/>
      <c r="BF820" s="138"/>
      <c r="BG820" s="138"/>
      <c r="BH820" s="138"/>
      <c r="BI820" s="138"/>
      <c r="BJ820" s="138"/>
      <c r="BK820" s="138"/>
      <c r="BL820" s="138"/>
      <c r="BM820" s="138"/>
      <c r="BN820" s="138"/>
      <c r="BO820" s="138"/>
    </row>
    <row r="821" spans="1:67" ht="21.75" customHeight="1" x14ac:dyDescent="0.2">
      <c r="A821" s="189"/>
      <c r="B821" s="190"/>
      <c r="C821" s="191"/>
      <c r="D821" s="244"/>
      <c r="E821" s="192"/>
      <c r="F821" s="192"/>
      <c r="G821" s="192"/>
      <c r="H821" s="192"/>
      <c r="I821" s="203"/>
      <c r="J821" s="204"/>
      <c r="K821" s="290">
        <f>SUM(K817:K820)</f>
        <v>500000</v>
      </c>
      <c r="L821" s="197"/>
      <c r="M821" s="197"/>
      <c r="AV821" s="138"/>
      <c r="AW821" s="138"/>
      <c r="AX821" s="138"/>
      <c r="AY821" s="138"/>
      <c r="AZ821" s="138"/>
      <c r="BA821" s="138"/>
      <c r="BB821" s="138"/>
      <c r="BC821" s="138"/>
      <c r="BD821" s="138"/>
      <c r="BE821" s="138"/>
      <c r="BF821" s="138"/>
      <c r="BG821" s="138"/>
      <c r="BH821" s="138"/>
      <c r="BI821" s="138"/>
      <c r="BJ821" s="138"/>
      <c r="BK821" s="138"/>
      <c r="BL821" s="138"/>
      <c r="BM821" s="138"/>
      <c r="BN821" s="138"/>
      <c r="BO821" s="138"/>
    </row>
    <row r="822" spans="1:67" ht="22.5" customHeight="1" x14ac:dyDescent="0.2">
      <c r="A822" s="167">
        <v>194</v>
      </c>
      <c r="B822" s="168" t="s">
        <v>1138</v>
      </c>
      <c r="C822" s="169"/>
      <c r="D822" s="250" t="s">
        <v>25</v>
      </c>
      <c r="E822" s="170"/>
      <c r="F822" s="170"/>
      <c r="G822" s="170" t="s">
        <v>1134</v>
      </c>
      <c r="H822" s="170" t="s">
        <v>750</v>
      </c>
      <c r="I822" s="171" t="s">
        <v>1139</v>
      </c>
      <c r="J822" s="259" t="s">
        <v>594</v>
      </c>
      <c r="K822" s="363">
        <f>500000*50%</f>
        <v>250000</v>
      </c>
      <c r="L822" s="175" t="s">
        <v>1134</v>
      </c>
      <c r="M822" s="175" t="s">
        <v>1140</v>
      </c>
      <c r="AV822" s="138"/>
      <c r="AW822" s="138"/>
      <c r="AX822" s="138"/>
      <c r="AY822" s="138"/>
      <c r="AZ822" s="138"/>
      <c r="BA822" s="138"/>
      <c r="BB822" s="138"/>
      <c r="BC822" s="138"/>
      <c r="BD822" s="138"/>
      <c r="BE822" s="138"/>
      <c r="BF822" s="138"/>
      <c r="BG822" s="138"/>
      <c r="BH822" s="138"/>
      <c r="BI822" s="138"/>
      <c r="BJ822" s="138"/>
      <c r="BK822" s="138"/>
      <c r="BL822" s="138"/>
      <c r="BM822" s="138"/>
      <c r="BN822" s="138"/>
      <c r="BO822" s="138"/>
    </row>
    <row r="823" spans="1:67" ht="22.5" customHeight="1" x14ac:dyDescent="0.2">
      <c r="A823" s="177"/>
      <c r="B823" s="178"/>
      <c r="C823" s="179"/>
      <c r="D823" s="243"/>
      <c r="E823" s="180"/>
      <c r="F823" s="180"/>
      <c r="G823" s="180"/>
      <c r="H823" s="180"/>
      <c r="I823" s="188" t="s">
        <v>1141</v>
      </c>
      <c r="J823" s="226" t="s">
        <v>594</v>
      </c>
      <c r="K823" s="214">
        <f>500000*30%</f>
        <v>150000</v>
      </c>
      <c r="L823" s="185"/>
      <c r="M823" s="185"/>
      <c r="AV823" s="138"/>
      <c r="AW823" s="138"/>
      <c r="AX823" s="138"/>
      <c r="AY823" s="138"/>
      <c r="AZ823" s="138"/>
      <c r="BA823" s="138"/>
      <c r="BB823" s="138"/>
      <c r="BC823" s="138"/>
      <c r="BD823" s="138"/>
      <c r="BE823" s="138"/>
      <c r="BF823" s="138"/>
      <c r="BG823" s="138"/>
      <c r="BH823" s="138"/>
      <c r="BI823" s="138"/>
      <c r="BJ823" s="138"/>
      <c r="BK823" s="138"/>
      <c r="BL823" s="138"/>
      <c r="BM823" s="138"/>
      <c r="BN823" s="138"/>
      <c r="BO823" s="138"/>
    </row>
    <row r="824" spans="1:67" ht="22.5" customHeight="1" x14ac:dyDescent="0.2">
      <c r="A824" s="177"/>
      <c r="B824" s="178"/>
      <c r="C824" s="179"/>
      <c r="D824" s="243"/>
      <c r="E824" s="180"/>
      <c r="F824" s="180"/>
      <c r="G824" s="180"/>
      <c r="H824" s="180"/>
      <c r="I824" s="188" t="s">
        <v>1142</v>
      </c>
      <c r="J824" s="226" t="s">
        <v>594</v>
      </c>
      <c r="K824" s="214">
        <f>500000*10%</f>
        <v>50000</v>
      </c>
      <c r="L824" s="185"/>
      <c r="M824" s="185"/>
      <c r="AV824" s="138"/>
      <c r="AW824" s="138"/>
      <c r="AX824" s="138"/>
      <c r="AY824" s="138"/>
      <c r="AZ824" s="138"/>
      <c r="BA824" s="138"/>
      <c r="BB824" s="138"/>
      <c r="BC824" s="138"/>
      <c r="BD824" s="138"/>
      <c r="BE824" s="138"/>
      <c r="BF824" s="138"/>
      <c r="BG824" s="138"/>
      <c r="BH824" s="138"/>
      <c r="BI824" s="138"/>
      <c r="BJ824" s="138"/>
      <c r="BK824" s="138"/>
      <c r="BL824" s="138"/>
      <c r="BM824" s="138"/>
      <c r="BN824" s="138"/>
      <c r="BO824" s="138"/>
    </row>
    <row r="825" spans="1:67" ht="22.5" customHeight="1" x14ac:dyDescent="0.2">
      <c r="A825" s="177"/>
      <c r="B825" s="178"/>
      <c r="C825" s="179"/>
      <c r="D825" s="243"/>
      <c r="E825" s="180"/>
      <c r="F825" s="180"/>
      <c r="G825" s="180"/>
      <c r="H825" s="180"/>
      <c r="I825" s="171" t="s">
        <v>1143</v>
      </c>
      <c r="J825" s="226" t="s">
        <v>594</v>
      </c>
      <c r="K825" s="370">
        <f>500000*10%</f>
        <v>50000</v>
      </c>
      <c r="L825" s="185"/>
      <c r="M825" s="185"/>
      <c r="AV825" s="138"/>
      <c r="AW825" s="138"/>
      <c r="AX825" s="138"/>
      <c r="AY825" s="138"/>
      <c r="AZ825" s="138"/>
      <c r="BA825" s="138"/>
      <c r="BB825" s="138"/>
      <c r="BC825" s="138"/>
      <c r="BD825" s="138"/>
      <c r="BE825" s="138"/>
      <c r="BF825" s="138"/>
      <c r="BG825" s="138"/>
      <c r="BH825" s="138"/>
      <c r="BI825" s="138"/>
      <c r="BJ825" s="138"/>
      <c r="BK825" s="138"/>
      <c r="BL825" s="138"/>
      <c r="BM825" s="138"/>
      <c r="BN825" s="138"/>
      <c r="BO825" s="138"/>
    </row>
    <row r="826" spans="1:67" ht="22.5" customHeight="1" x14ac:dyDescent="0.2">
      <c r="A826" s="189"/>
      <c r="B826" s="190"/>
      <c r="C826" s="191"/>
      <c r="D826" s="244"/>
      <c r="E826" s="192"/>
      <c r="F826" s="192"/>
      <c r="G826" s="192"/>
      <c r="H826" s="192"/>
      <c r="I826" s="203"/>
      <c r="J826" s="204"/>
      <c r="K826" s="199">
        <f>SUM(K822:K825)</f>
        <v>500000</v>
      </c>
      <c r="L826" s="185"/>
      <c r="M826" s="185"/>
      <c r="AV826" s="138"/>
      <c r="AW826" s="138"/>
      <c r="AX826" s="138"/>
      <c r="AY826" s="138"/>
      <c r="AZ826" s="138"/>
      <c r="BA826" s="138"/>
      <c r="BB826" s="138"/>
      <c r="BC826" s="138"/>
      <c r="BD826" s="138"/>
      <c r="BE826" s="138"/>
      <c r="BF826" s="138"/>
      <c r="BG826" s="138"/>
      <c r="BH826" s="138"/>
      <c r="BI826" s="138"/>
      <c r="BJ826" s="138"/>
      <c r="BK826" s="138"/>
      <c r="BL826" s="138"/>
      <c r="BM826" s="138"/>
      <c r="BN826" s="138"/>
      <c r="BO826" s="138"/>
    </row>
    <row r="827" spans="1:67" ht="22.5" customHeight="1" x14ac:dyDescent="0.2">
      <c r="A827" s="167">
        <v>195</v>
      </c>
      <c r="B827" s="168" t="s">
        <v>1144</v>
      </c>
      <c r="C827" s="169"/>
      <c r="D827" s="250" t="s">
        <v>25</v>
      </c>
      <c r="E827" s="170"/>
      <c r="F827" s="170"/>
      <c r="G827" s="170" t="s">
        <v>1134</v>
      </c>
      <c r="H827" s="170" t="s">
        <v>750</v>
      </c>
      <c r="I827" s="296" t="s">
        <v>1145</v>
      </c>
      <c r="J827" s="259" t="s">
        <v>594</v>
      </c>
      <c r="K827" s="377">
        <f>500000*25%</f>
        <v>125000</v>
      </c>
      <c r="L827" s="378" t="s">
        <v>1134</v>
      </c>
      <c r="M827" s="379" t="s">
        <v>1146</v>
      </c>
      <c r="AV827" s="138"/>
      <c r="AW827" s="138"/>
      <c r="AX827" s="138"/>
      <c r="AY827" s="138"/>
      <c r="AZ827" s="138"/>
      <c r="BA827" s="138"/>
      <c r="BB827" s="138"/>
      <c r="BC827" s="138"/>
      <c r="BD827" s="138"/>
      <c r="BE827" s="138"/>
      <c r="BF827" s="138"/>
      <c r="BG827" s="138"/>
      <c r="BH827" s="138"/>
      <c r="BI827" s="138"/>
      <c r="BJ827" s="138"/>
      <c r="BK827" s="138"/>
      <c r="BL827" s="138"/>
      <c r="BM827" s="138"/>
      <c r="BN827" s="138"/>
      <c r="BO827" s="138"/>
    </row>
    <row r="828" spans="1:67" ht="22.5" customHeight="1" x14ac:dyDescent="0.2">
      <c r="A828" s="177"/>
      <c r="B828" s="178"/>
      <c r="C828" s="179"/>
      <c r="D828" s="243"/>
      <c r="E828" s="180"/>
      <c r="F828" s="180"/>
      <c r="G828" s="180"/>
      <c r="H828" s="180"/>
      <c r="I828" s="181" t="s">
        <v>1147</v>
      </c>
      <c r="J828" s="226" t="s">
        <v>594</v>
      </c>
      <c r="K828" s="380">
        <f>500000*25%</f>
        <v>125000</v>
      </c>
      <c r="L828" s="381"/>
      <c r="M828" s="379"/>
      <c r="AV828" s="138"/>
      <c r="AW828" s="138"/>
      <c r="AX828" s="138"/>
      <c r="AY828" s="138"/>
      <c r="AZ828" s="138"/>
      <c r="BA828" s="138"/>
      <c r="BB828" s="138"/>
      <c r="BC828" s="138"/>
      <c r="BD828" s="138"/>
      <c r="BE828" s="138"/>
      <c r="BF828" s="138"/>
      <c r="BG828" s="138"/>
      <c r="BH828" s="138"/>
      <c r="BI828" s="138"/>
      <c r="BJ828" s="138"/>
      <c r="BK828" s="138"/>
      <c r="BL828" s="138"/>
      <c r="BM828" s="138"/>
      <c r="BN828" s="138"/>
      <c r="BO828" s="138"/>
    </row>
    <row r="829" spans="1:67" ht="22.5" customHeight="1" x14ac:dyDescent="0.2">
      <c r="A829" s="177"/>
      <c r="B829" s="178"/>
      <c r="C829" s="179"/>
      <c r="D829" s="243"/>
      <c r="E829" s="180"/>
      <c r="F829" s="180"/>
      <c r="G829" s="180"/>
      <c r="H829" s="180"/>
      <c r="I829" s="188" t="s">
        <v>1148</v>
      </c>
      <c r="J829" s="226" t="s">
        <v>594</v>
      </c>
      <c r="K829" s="380">
        <f>500000*25%</f>
        <v>125000</v>
      </c>
      <c r="L829" s="381"/>
      <c r="M829" s="379"/>
      <c r="AV829" s="138"/>
      <c r="AW829" s="138"/>
      <c r="AX829" s="138"/>
      <c r="AY829" s="138"/>
      <c r="AZ829" s="138"/>
      <c r="BA829" s="138"/>
      <c r="BB829" s="138"/>
      <c r="BC829" s="138"/>
      <c r="BD829" s="138"/>
      <c r="BE829" s="138"/>
      <c r="BF829" s="138"/>
      <c r="BG829" s="138"/>
      <c r="BH829" s="138"/>
      <c r="BI829" s="138"/>
      <c r="BJ829" s="138"/>
      <c r="BK829" s="138"/>
      <c r="BL829" s="138"/>
      <c r="BM829" s="138"/>
      <c r="BN829" s="138"/>
      <c r="BO829" s="138"/>
    </row>
    <row r="830" spans="1:67" ht="22.5" customHeight="1" x14ac:dyDescent="0.2">
      <c r="A830" s="177"/>
      <c r="B830" s="178"/>
      <c r="C830" s="179"/>
      <c r="D830" s="243"/>
      <c r="E830" s="180"/>
      <c r="F830" s="180"/>
      <c r="G830" s="180"/>
      <c r="H830" s="180"/>
      <c r="I830" s="274" t="s">
        <v>1149</v>
      </c>
      <c r="J830" s="226" t="s">
        <v>594</v>
      </c>
      <c r="K830" s="380">
        <f>500000*15%</f>
        <v>75000</v>
      </c>
      <c r="L830" s="381"/>
      <c r="M830" s="379"/>
      <c r="AV830" s="138"/>
      <c r="AW830" s="138"/>
      <c r="AX830" s="138"/>
      <c r="AY830" s="138"/>
      <c r="AZ830" s="138"/>
      <c r="BA830" s="138"/>
      <c r="BB830" s="138"/>
      <c r="BC830" s="138"/>
      <c r="BD830" s="138"/>
      <c r="BE830" s="138"/>
      <c r="BF830" s="138"/>
      <c r="BG830" s="138"/>
      <c r="BH830" s="138"/>
      <c r="BI830" s="138"/>
      <c r="BJ830" s="138"/>
      <c r="BK830" s="138"/>
      <c r="BL830" s="138"/>
      <c r="BM830" s="138"/>
      <c r="BN830" s="138"/>
      <c r="BO830" s="138"/>
    </row>
    <row r="831" spans="1:67" ht="22.5" customHeight="1" x14ac:dyDescent="0.2">
      <c r="A831" s="177"/>
      <c r="B831" s="178"/>
      <c r="C831" s="179"/>
      <c r="D831" s="243"/>
      <c r="E831" s="180"/>
      <c r="F831" s="180"/>
      <c r="G831" s="180"/>
      <c r="H831" s="180"/>
      <c r="I831" s="171" t="s">
        <v>1150</v>
      </c>
      <c r="J831" s="226" t="s">
        <v>594</v>
      </c>
      <c r="K831" s="380">
        <f>500000*10%</f>
        <v>50000</v>
      </c>
      <c r="L831" s="381"/>
      <c r="M831" s="379"/>
      <c r="AV831" s="138"/>
      <c r="AW831" s="138"/>
      <c r="AX831" s="138"/>
      <c r="AY831" s="138"/>
      <c r="AZ831" s="138"/>
      <c r="BA831" s="138"/>
      <c r="BB831" s="138"/>
      <c r="BC831" s="138"/>
      <c r="BD831" s="138"/>
      <c r="BE831" s="138"/>
      <c r="BF831" s="138"/>
      <c r="BG831" s="138"/>
      <c r="BH831" s="138"/>
      <c r="BI831" s="138"/>
      <c r="BJ831" s="138"/>
      <c r="BK831" s="138"/>
      <c r="BL831" s="138"/>
      <c r="BM831" s="138"/>
      <c r="BN831" s="138"/>
      <c r="BO831" s="138"/>
    </row>
    <row r="832" spans="1:67" ht="22.5" customHeight="1" x14ac:dyDescent="0.2">
      <c r="A832" s="189"/>
      <c r="B832" s="190"/>
      <c r="C832" s="191"/>
      <c r="D832" s="244"/>
      <c r="E832" s="192"/>
      <c r="F832" s="192"/>
      <c r="G832" s="192"/>
      <c r="H832" s="192"/>
      <c r="I832" s="203"/>
      <c r="J832" s="204"/>
      <c r="K832" s="382">
        <f>SUM(K827:K831)</f>
        <v>500000</v>
      </c>
      <c r="L832" s="383"/>
      <c r="M832" s="379"/>
      <c r="AV832" s="138"/>
      <c r="AW832" s="138"/>
      <c r="AX832" s="138"/>
      <c r="AY832" s="138"/>
      <c r="AZ832" s="138"/>
      <c r="BA832" s="138"/>
      <c r="BB832" s="138"/>
      <c r="BC832" s="138"/>
      <c r="BD832" s="138"/>
      <c r="BE832" s="138"/>
      <c r="BF832" s="138"/>
      <c r="BG832" s="138"/>
      <c r="BH832" s="138"/>
      <c r="BI832" s="138"/>
      <c r="BJ832" s="138"/>
      <c r="BK832" s="138"/>
      <c r="BL832" s="138"/>
      <c r="BM832" s="138"/>
      <c r="BN832" s="138"/>
      <c r="BO832" s="138"/>
    </row>
    <row r="833" spans="1:67" s="267" customFormat="1" ht="75" customHeight="1" x14ac:dyDescent="0.2">
      <c r="A833" s="252">
        <v>196</v>
      </c>
      <c r="B833" s="298" t="s">
        <v>1151</v>
      </c>
      <c r="C833" s="299"/>
      <c r="D833" s="295" t="s">
        <v>107</v>
      </c>
      <c r="E833" s="295"/>
      <c r="F833" s="295"/>
      <c r="G833" s="295"/>
      <c r="H833" s="326"/>
      <c r="I833" s="280" t="s">
        <v>1152</v>
      </c>
      <c r="J833" s="281" t="s">
        <v>594</v>
      </c>
      <c r="K833" s="282">
        <v>10000</v>
      </c>
      <c r="L833" s="293" t="s">
        <v>111</v>
      </c>
      <c r="M833" s="259" t="s">
        <v>1153</v>
      </c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  <c r="AC833" s="138"/>
      <c r="AD833" s="138"/>
      <c r="AE833" s="138"/>
      <c r="AF833" s="138"/>
      <c r="AG833" s="138"/>
      <c r="AH833" s="138"/>
      <c r="AI833" s="138"/>
      <c r="AJ833" s="138"/>
      <c r="AK833" s="138"/>
      <c r="AL833" s="138"/>
      <c r="AM833" s="138"/>
      <c r="AN833" s="138"/>
      <c r="AO833" s="138"/>
      <c r="AP833" s="138"/>
      <c r="AQ833" s="138"/>
      <c r="AR833" s="138"/>
      <c r="AS833" s="138"/>
      <c r="AT833" s="138"/>
      <c r="AU833" s="138"/>
      <c r="AV833" s="138"/>
      <c r="AW833" s="138"/>
      <c r="AX833" s="138"/>
      <c r="AY833" s="138"/>
      <c r="AZ833" s="138"/>
      <c r="BA833" s="138"/>
      <c r="BB833" s="138"/>
      <c r="BC833" s="138"/>
      <c r="BD833" s="138"/>
      <c r="BE833" s="138"/>
      <c r="BF833" s="138"/>
      <c r="BG833" s="138"/>
      <c r="BH833" s="138"/>
      <c r="BI833" s="138"/>
      <c r="BJ833" s="138"/>
      <c r="BK833" s="138"/>
      <c r="BL833" s="138"/>
      <c r="BM833" s="138"/>
      <c r="BN833" s="138"/>
      <c r="BO833" s="138"/>
    </row>
    <row r="834" spans="1:67" s="267" customFormat="1" ht="67.5" customHeight="1" x14ac:dyDescent="0.2">
      <c r="A834" s="252">
        <v>197</v>
      </c>
      <c r="B834" s="298" t="s">
        <v>1154</v>
      </c>
      <c r="C834" s="299"/>
      <c r="D834" s="295" t="s">
        <v>107</v>
      </c>
      <c r="E834" s="295"/>
      <c r="F834" s="295"/>
      <c r="G834" s="295"/>
      <c r="H834" s="295"/>
      <c r="I834" s="280" t="s">
        <v>1155</v>
      </c>
      <c r="J834" s="281" t="s">
        <v>594</v>
      </c>
      <c r="K834" s="282">
        <v>10000</v>
      </c>
      <c r="L834" s="293" t="s">
        <v>111</v>
      </c>
      <c r="M834" s="259" t="s">
        <v>1156</v>
      </c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  <c r="AC834" s="138"/>
      <c r="AD834" s="138"/>
      <c r="AE834" s="138"/>
      <c r="AF834" s="138"/>
      <c r="AG834" s="138"/>
      <c r="AH834" s="138"/>
      <c r="AI834" s="138"/>
      <c r="AJ834" s="138"/>
      <c r="AK834" s="138"/>
      <c r="AL834" s="138"/>
      <c r="AM834" s="138"/>
      <c r="AN834" s="138"/>
      <c r="AO834" s="138"/>
      <c r="AP834" s="138"/>
      <c r="AQ834" s="138"/>
      <c r="AR834" s="138"/>
      <c r="AS834" s="138"/>
      <c r="AT834" s="138"/>
      <c r="AU834" s="138"/>
      <c r="AV834" s="138"/>
      <c r="AW834" s="138"/>
      <c r="AX834" s="138"/>
      <c r="AY834" s="138"/>
      <c r="AZ834" s="138"/>
      <c r="BA834" s="138"/>
      <c r="BB834" s="138"/>
      <c r="BC834" s="138"/>
      <c r="BD834" s="138"/>
      <c r="BE834" s="138"/>
      <c r="BF834" s="138"/>
      <c r="BG834" s="138"/>
      <c r="BH834" s="138"/>
      <c r="BI834" s="138"/>
      <c r="BJ834" s="138"/>
      <c r="BK834" s="138"/>
      <c r="BL834" s="138"/>
      <c r="BM834" s="138"/>
      <c r="BN834" s="138"/>
      <c r="BO834" s="138"/>
    </row>
    <row r="835" spans="1:67" s="267" customFormat="1" ht="68.25" customHeight="1" x14ac:dyDescent="0.2">
      <c r="A835" s="252">
        <v>198</v>
      </c>
      <c r="B835" s="298" t="s">
        <v>1157</v>
      </c>
      <c r="C835" s="299"/>
      <c r="D835" s="295" t="s">
        <v>107</v>
      </c>
      <c r="E835" s="295"/>
      <c r="F835" s="295"/>
      <c r="G835" s="295"/>
      <c r="H835" s="295"/>
      <c r="I835" s="280" t="s">
        <v>1158</v>
      </c>
      <c r="J835" s="281" t="s">
        <v>594</v>
      </c>
      <c r="K835" s="282">
        <v>100000</v>
      </c>
      <c r="L835" s="293" t="s">
        <v>111</v>
      </c>
      <c r="M835" s="259" t="s">
        <v>1159</v>
      </c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  <c r="AC835" s="138"/>
      <c r="AD835" s="138"/>
      <c r="AE835" s="138"/>
      <c r="AF835" s="138"/>
      <c r="AG835" s="138"/>
      <c r="AH835" s="138"/>
      <c r="AI835" s="138"/>
      <c r="AJ835" s="138"/>
      <c r="AK835" s="138"/>
      <c r="AL835" s="138"/>
      <c r="AM835" s="138"/>
      <c r="AN835" s="138"/>
      <c r="AO835" s="138"/>
      <c r="AP835" s="138"/>
      <c r="AQ835" s="138"/>
      <c r="AR835" s="138"/>
      <c r="AS835" s="138"/>
      <c r="AT835" s="138"/>
      <c r="AU835" s="138"/>
      <c r="AV835" s="138"/>
      <c r="AW835" s="138"/>
      <c r="AX835" s="138"/>
      <c r="AY835" s="138"/>
      <c r="AZ835" s="138"/>
      <c r="BA835" s="138"/>
      <c r="BB835" s="138"/>
      <c r="BC835" s="138"/>
      <c r="BD835" s="138"/>
      <c r="BE835" s="138"/>
      <c r="BF835" s="138"/>
      <c r="BG835" s="138"/>
      <c r="BH835" s="138"/>
      <c r="BI835" s="138"/>
      <c r="BJ835" s="138"/>
      <c r="BK835" s="138"/>
      <c r="BL835" s="138"/>
      <c r="BM835" s="138"/>
      <c r="BN835" s="138"/>
      <c r="BO835" s="138"/>
    </row>
    <row r="836" spans="1:67" s="267" customFormat="1" ht="71.25" customHeight="1" x14ac:dyDescent="0.2">
      <c r="A836" s="252">
        <v>199</v>
      </c>
      <c r="B836" s="298" t="s">
        <v>1160</v>
      </c>
      <c r="C836" s="299"/>
      <c r="D836" s="295" t="s">
        <v>107</v>
      </c>
      <c r="E836" s="295"/>
      <c r="F836" s="295"/>
      <c r="G836" s="295"/>
      <c r="H836" s="384"/>
      <c r="I836" s="280" t="s">
        <v>1161</v>
      </c>
      <c r="J836" s="281" t="s">
        <v>594</v>
      </c>
      <c r="K836" s="282">
        <v>25000</v>
      </c>
      <c r="L836" s="293" t="s">
        <v>111</v>
      </c>
      <c r="M836" s="259" t="s">
        <v>1162</v>
      </c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  <c r="AC836" s="138"/>
      <c r="AD836" s="138"/>
      <c r="AE836" s="138"/>
      <c r="AF836" s="138"/>
      <c r="AG836" s="138"/>
      <c r="AH836" s="138"/>
      <c r="AI836" s="138"/>
      <c r="AJ836" s="138"/>
      <c r="AK836" s="138"/>
      <c r="AL836" s="138"/>
      <c r="AM836" s="138"/>
      <c r="AN836" s="138"/>
      <c r="AO836" s="138"/>
      <c r="AP836" s="138"/>
      <c r="AQ836" s="138"/>
      <c r="AR836" s="138"/>
      <c r="AS836" s="138"/>
      <c r="AT836" s="138"/>
      <c r="AU836" s="138"/>
      <c r="AV836" s="138"/>
      <c r="AW836" s="138"/>
      <c r="AX836" s="138"/>
      <c r="AY836" s="138"/>
      <c r="AZ836" s="138"/>
      <c r="BA836" s="138"/>
      <c r="BB836" s="138"/>
      <c r="BC836" s="138"/>
      <c r="BD836" s="138"/>
      <c r="BE836" s="138"/>
      <c r="BF836" s="138"/>
      <c r="BG836" s="138"/>
      <c r="BH836" s="138"/>
      <c r="BI836" s="138"/>
      <c r="BJ836" s="138"/>
      <c r="BK836" s="138"/>
      <c r="BL836" s="138"/>
      <c r="BM836" s="138"/>
      <c r="BN836" s="138"/>
      <c r="BO836" s="138"/>
    </row>
    <row r="837" spans="1:67" ht="53.25" customHeight="1" x14ac:dyDescent="0.2">
      <c r="A837" s="231">
        <v>200</v>
      </c>
      <c r="B837" s="253" t="s">
        <v>1163</v>
      </c>
      <c r="C837" s="254" t="s">
        <v>1163</v>
      </c>
      <c r="D837" s="384" t="s">
        <v>107</v>
      </c>
      <c r="E837" s="384"/>
      <c r="F837" s="384"/>
      <c r="G837" s="384"/>
      <c r="H837" s="257"/>
      <c r="I837" s="193" t="s">
        <v>1164</v>
      </c>
      <c r="J837" s="215" t="s">
        <v>223</v>
      </c>
      <c r="K837" s="385">
        <v>10000</v>
      </c>
      <c r="L837" s="386" t="s">
        <v>111</v>
      </c>
      <c r="M837" s="215" t="s">
        <v>1165</v>
      </c>
      <c r="N837" s="176"/>
      <c r="AV837" s="138"/>
      <c r="AW837" s="138"/>
      <c r="AX837" s="138"/>
      <c r="AY837" s="138"/>
      <c r="AZ837" s="138"/>
      <c r="BA837" s="138"/>
      <c r="BB837" s="138"/>
      <c r="BC837" s="138"/>
      <c r="BD837" s="138"/>
      <c r="BE837" s="138"/>
      <c r="BF837" s="138"/>
      <c r="BG837" s="138"/>
      <c r="BH837" s="138"/>
      <c r="BI837" s="138"/>
      <c r="BJ837" s="138"/>
      <c r="BK837" s="138"/>
      <c r="BL837" s="138"/>
      <c r="BM837" s="138"/>
      <c r="BN837" s="138"/>
      <c r="BO837" s="138"/>
    </row>
    <row r="838" spans="1:67" ht="48.75" customHeight="1" x14ac:dyDescent="0.2">
      <c r="A838" s="231">
        <v>201</v>
      </c>
      <c r="B838" s="253" t="s">
        <v>1166</v>
      </c>
      <c r="C838" s="254" t="s">
        <v>1167</v>
      </c>
      <c r="D838" s="256" t="s">
        <v>107</v>
      </c>
      <c r="E838" s="256"/>
      <c r="F838" s="256"/>
      <c r="G838" s="256"/>
      <c r="H838" s="257"/>
      <c r="I838" s="171" t="s">
        <v>1164</v>
      </c>
      <c r="J838" s="172" t="s">
        <v>223</v>
      </c>
      <c r="K838" s="387">
        <v>20000</v>
      </c>
      <c r="L838" s="293" t="s">
        <v>111</v>
      </c>
      <c r="M838" s="215" t="s">
        <v>1168</v>
      </c>
      <c r="N838" s="176"/>
      <c r="AV838" s="138"/>
      <c r="AW838" s="138"/>
      <c r="AX838" s="138"/>
      <c r="AY838" s="138"/>
      <c r="AZ838" s="138"/>
      <c r="BA838" s="138"/>
      <c r="BB838" s="138"/>
      <c r="BC838" s="138"/>
      <c r="BD838" s="138"/>
      <c r="BE838" s="138"/>
      <c r="BF838" s="138"/>
      <c r="BG838" s="138"/>
      <c r="BH838" s="138"/>
      <c r="BI838" s="138"/>
      <c r="BJ838" s="138"/>
      <c r="BK838" s="138"/>
      <c r="BL838" s="138"/>
      <c r="BM838" s="138"/>
      <c r="BN838" s="138"/>
      <c r="BO838" s="138"/>
    </row>
    <row r="839" spans="1:67" ht="22.5" customHeight="1" x14ac:dyDescent="0.2">
      <c r="A839" s="167">
        <v>202</v>
      </c>
      <c r="B839" s="168" t="s">
        <v>1169</v>
      </c>
      <c r="C839" s="169"/>
      <c r="D839" s="170" t="s">
        <v>107</v>
      </c>
      <c r="E839" s="170"/>
      <c r="F839" s="170"/>
      <c r="G839" s="170"/>
      <c r="H839" s="246" t="s">
        <v>964</v>
      </c>
      <c r="I839" s="217" t="s">
        <v>1170</v>
      </c>
      <c r="J839" s="223" t="s">
        <v>209</v>
      </c>
      <c r="K839" s="353">
        <f>K844*50%</f>
        <v>10000</v>
      </c>
      <c r="L839" s="169" t="s">
        <v>111</v>
      </c>
      <c r="M839" s="175" t="s">
        <v>1171</v>
      </c>
      <c r="AV839" s="138"/>
      <c r="AW839" s="138"/>
      <c r="AX839" s="138"/>
      <c r="AY839" s="138"/>
      <c r="AZ839" s="138"/>
      <c r="BA839" s="138"/>
      <c r="BB839" s="138"/>
      <c r="BC839" s="138"/>
      <c r="BD839" s="138"/>
      <c r="BE839" s="138"/>
      <c r="BF839" s="138"/>
      <c r="BG839" s="138"/>
      <c r="BH839" s="138"/>
      <c r="BI839" s="138"/>
      <c r="BJ839" s="138"/>
      <c r="BK839" s="138"/>
      <c r="BL839" s="138"/>
      <c r="BM839" s="138"/>
      <c r="BN839" s="138"/>
      <c r="BO839" s="138"/>
    </row>
    <row r="840" spans="1:67" ht="22.5" customHeight="1" x14ac:dyDescent="0.2">
      <c r="A840" s="177"/>
      <c r="B840" s="178"/>
      <c r="C840" s="179"/>
      <c r="D840" s="180"/>
      <c r="E840" s="180"/>
      <c r="F840" s="180"/>
      <c r="G840" s="180"/>
      <c r="H840" s="248"/>
      <c r="I840" s="188" t="s">
        <v>1172</v>
      </c>
      <c r="J840" s="207" t="s">
        <v>209</v>
      </c>
      <c r="K840" s="343">
        <f>K844*15%</f>
        <v>3000</v>
      </c>
      <c r="L840" s="179"/>
      <c r="M840" s="185"/>
      <c r="AV840" s="138"/>
      <c r="AW840" s="138"/>
      <c r="AX840" s="138"/>
      <c r="AY840" s="138"/>
      <c r="AZ840" s="138"/>
      <c r="BA840" s="138"/>
      <c r="BB840" s="138"/>
      <c r="BC840" s="138"/>
      <c r="BD840" s="138"/>
      <c r="BE840" s="138"/>
      <c r="BF840" s="138"/>
      <c r="BG840" s="138"/>
      <c r="BH840" s="138"/>
      <c r="BI840" s="138"/>
      <c r="BJ840" s="138"/>
      <c r="BK840" s="138"/>
      <c r="BL840" s="138"/>
      <c r="BM840" s="138"/>
      <c r="BN840" s="138"/>
      <c r="BO840" s="138"/>
    </row>
    <row r="841" spans="1:67" ht="22.5" customHeight="1" x14ac:dyDescent="0.2">
      <c r="A841" s="177"/>
      <c r="B841" s="178"/>
      <c r="C841" s="179"/>
      <c r="D841" s="180"/>
      <c r="E841" s="180"/>
      <c r="F841" s="180"/>
      <c r="G841" s="180"/>
      <c r="H841" s="248"/>
      <c r="I841" s="188" t="s">
        <v>1173</v>
      </c>
      <c r="J841" s="207" t="s">
        <v>209</v>
      </c>
      <c r="K841" s="343">
        <f>K844*15%</f>
        <v>3000</v>
      </c>
      <c r="L841" s="179"/>
      <c r="M841" s="185"/>
      <c r="AV841" s="138"/>
      <c r="AW841" s="138"/>
      <c r="AX841" s="138"/>
      <c r="AY841" s="138"/>
      <c r="AZ841" s="138"/>
      <c r="BA841" s="138"/>
      <c r="BB841" s="138"/>
      <c r="BC841" s="138"/>
      <c r="BD841" s="138"/>
      <c r="BE841" s="138"/>
      <c r="BF841" s="138"/>
      <c r="BG841" s="138"/>
      <c r="BH841" s="138"/>
      <c r="BI841" s="138"/>
      <c r="BJ841" s="138"/>
      <c r="BK841" s="138"/>
      <c r="BL841" s="138"/>
      <c r="BM841" s="138"/>
      <c r="BN841" s="138"/>
      <c r="BO841" s="138"/>
    </row>
    <row r="842" spans="1:67" ht="22.5" customHeight="1" x14ac:dyDescent="0.2">
      <c r="A842" s="177"/>
      <c r="B842" s="178"/>
      <c r="C842" s="179"/>
      <c r="D842" s="180"/>
      <c r="E842" s="180"/>
      <c r="F842" s="180"/>
      <c r="G842" s="180"/>
      <c r="H842" s="248"/>
      <c r="I842" s="188" t="s">
        <v>1174</v>
      </c>
      <c r="J842" s="207" t="s">
        <v>209</v>
      </c>
      <c r="K842" s="343">
        <f>K844*10%</f>
        <v>2000</v>
      </c>
      <c r="L842" s="179"/>
      <c r="M842" s="185"/>
      <c r="AV842" s="138"/>
      <c r="AW842" s="138"/>
      <c r="AX842" s="138"/>
      <c r="AY842" s="138"/>
      <c r="AZ842" s="138"/>
      <c r="BA842" s="138"/>
      <c r="BB842" s="138"/>
      <c r="BC842" s="138"/>
      <c r="BD842" s="138"/>
      <c r="BE842" s="138"/>
      <c r="BF842" s="138"/>
      <c r="BG842" s="138"/>
      <c r="BH842" s="138"/>
      <c r="BI842" s="138"/>
      <c r="BJ842" s="138"/>
      <c r="BK842" s="138"/>
      <c r="BL842" s="138"/>
      <c r="BM842" s="138"/>
      <c r="BN842" s="138"/>
      <c r="BO842" s="138"/>
    </row>
    <row r="843" spans="1:67" ht="22.5" customHeight="1" x14ac:dyDescent="0.2">
      <c r="A843" s="177"/>
      <c r="B843" s="178"/>
      <c r="C843" s="179"/>
      <c r="D843" s="180"/>
      <c r="E843" s="180"/>
      <c r="F843" s="180"/>
      <c r="G843" s="180"/>
      <c r="H843" s="248"/>
      <c r="I843" s="188" t="s">
        <v>1175</v>
      </c>
      <c r="J843" s="207" t="s">
        <v>223</v>
      </c>
      <c r="K843" s="343">
        <f>K844*10%</f>
        <v>2000</v>
      </c>
      <c r="L843" s="179"/>
      <c r="M843" s="185"/>
      <c r="AV843" s="138"/>
      <c r="AW843" s="138"/>
      <c r="AX843" s="138"/>
      <c r="AY843" s="138"/>
      <c r="AZ843" s="138"/>
      <c r="BA843" s="138"/>
      <c r="BB843" s="138"/>
      <c r="BC843" s="138"/>
      <c r="BD843" s="138"/>
      <c r="BE843" s="138"/>
      <c r="BF843" s="138"/>
      <c r="BG843" s="138"/>
      <c r="BH843" s="138"/>
      <c r="BI843" s="138"/>
      <c r="BJ843" s="138"/>
      <c r="BK843" s="138"/>
      <c r="BL843" s="138"/>
      <c r="BM843" s="138"/>
      <c r="BN843" s="138"/>
      <c r="BO843" s="138"/>
    </row>
    <row r="844" spans="1:67" ht="22.5" customHeight="1" x14ac:dyDescent="0.2">
      <c r="A844" s="189"/>
      <c r="B844" s="190"/>
      <c r="C844" s="191"/>
      <c r="D844" s="192"/>
      <c r="E844" s="192"/>
      <c r="F844" s="192"/>
      <c r="G844" s="192"/>
      <c r="H844" s="249"/>
      <c r="I844" s="203"/>
      <c r="J844" s="204"/>
      <c r="K844" s="354">
        <v>20000</v>
      </c>
      <c r="L844" s="191"/>
      <c r="M844" s="197"/>
      <c r="AV844" s="138"/>
      <c r="AW844" s="138"/>
      <c r="AX844" s="138"/>
      <c r="AY844" s="138"/>
      <c r="AZ844" s="138"/>
      <c r="BA844" s="138"/>
      <c r="BB844" s="138"/>
      <c r="BC844" s="138"/>
      <c r="BD844" s="138"/>
      <c r="BE844" s="138"/>
      <c r="BF844" s="138"/>
      <c r="BG844" s="138"/>
      <c r="BH844" s="138"/>
      <c r="BI844" s="138"/>
      <c r="BJ844" s="138"/>
      <c r="BK844" s="138"/>
      <c r="BL844" s="138"/>
      <c r="BM844" s="138"/>
      <c r="BN844" s="138"/>
      <c r="BO844" s="138"/>
    </row>
    <row r="845" spans="1:67" ht="48" customHeight="1" x14ac:dyDescent="0.2">
      <c r="A845" s="231">
        <v>203</v>
      </c>
      <c r="B845" s="253" t="s">
        <v>1176</v>
      </c>
      <c r="C845" s="254" t="s">
        <v>1176</v>
      </c>
      <c r="D845" s="256" t="s">
        <v>107</v>
      </c>
      <c r="E845" s="256"/>
      <c r="F845" s="256"/>
      <c r="G845" s="256"/>
      <c r="H845" s="257"/>
      <c r="I845" s="193" t="s">
        <v>1177</v>
      </c>
      <c r="J845" s="215" t="s">
        <v>223</v>
      </c>
      <c r="K845" s="388">
        <v>8000</v>
      </c>
      <c r="L845" s="293" t="s">
        <v>111</v>
      </c>
      <c r="M845" s="215" t="s">
        <v>1178</v>
      </c>
      <c r="AV845" s="138"/>
      <c r="AW845" s="138"/>
      <c r="AX845" s="138"/>
      <c r="AY845" s="138"/>
      <c r="AZ845" s="138"/>
      <c r="BA845" s="138"/>
      <c r="BB845" s="138"/>
      <c r="BC845" s="138"/>
      <c r="BD845" s="138"/>
      <c r="BE845" s="138"/>
      <c r="BF845" s="138"/>
      <c r="BG845" s="138"/>
      <c r="BH845" s="138"/>
      <c r="BI845" s="138"/>
      <c r="BJ845" s="138"/>
      <c r="BK845" s="138"/>
      <c r="BL845" s="138"/>
      <c r="BM845" s="138"/>
      <c r="BN845" s="138"/>
      <c r="BO845" s="138"/>
    </row>
    <row r="846" spans="1:67" ht="48.75" customHeight="1" x14ac:dyDescent="0.2">
      <c r="A846" s="231">
        <v>204</v>
      </c>
      <c r="B846" s="253" t="s">
        <v>1179</v>
      </c>
      <c r="C846" s="254" t="s">
        <v>1179</v>
      </c>
      <c r="D846" s="256" t="s">
        <v>163</v>
      </c>
      <c r="E846" s="256"/>
      <c r="F846" s="256"/>
      <c r="G846" s="256"/>
      <c r="H846" s="257"/>
      <c r="I846" s="193" t="s">
        <v>1180</v>
      </c>
      <c r="J846" s="215" t="s">
        <v>223</v>
      </c>
      <c r="K846" s="389">
        <v>1368800</v>
      </c>
      <c r="L846" s="390" t="s">
        <v>166</v>
      </c>
      <c r="M846" s="215" t="s">
        <v>1181</v>
      </c>
      <c r="AV846" s="138"/>
      <c r="AW846" s="138"/>
      <c r="AX846" s="138"/>
      <c r="AY846" s="138"/>
      <c r="AZ846" s="138"/>
      <c r="BA846" s="138"/>
      <c r="BB846" s="138"/>
      <c r="BC846" s="138"/>
      <c r="BD846" s="138"/>
      <c r="BE846" s="138"/>
      <c r="BF846" s="138"/>
      <c r="BG846" s="138"/>
      <c r="BH846" s="138"/>
      <c r="BI846" s="138"/>
      <c r="BJ846" s="138"/>
      <c r="BK846" s="138"/>
      <c r="BL846" s="138"/>
      <c r="BM846" s="138"/>
      <c r="BN846" s="138"/>
      <c r="BO846" s="138"/>
    </row>
    <row r="847" spans="1:67" ht="52.5" customHeight="1" x14ac:dyDescent="0.2">
      <c r="A847" s="231">
        <v>205</v>
      </c>
      <c r="B847" s="253" t="s">
        <v>1182</v>
      </c>
      <c r="C847" s="254" t="s">
        <v>1182</v>
      </c>
      <c r="D847" s="256" t="s">
        <v>163</v>
      </c>
      <c r="E847" s="256"/>
      <c r="F847" s="256"/>
      <c r="G847" s="256"/>
      <c r="H847" s="257"/>
      <c r="I847" s="193" t="s">
        <v>1183</v>
      </c>
      <c r="J847" s="215" t="s">
        <v>223</v>
      </c>
      <c r="K847" s="389">
        <v>1147600</v>
      </c>
      <c r="L847" s="390" t="s">
        <v>166</v>
      </c>
      <c r="M847" s="215" t="s">
        <v>1184</v>
      </c>
      <c r="AV847" s="138"/>
      <c r="AW847" s="138"/>
      <c r="AX847" s="138"/>
      <c r="AY847" s="138"/>
      <c r="AZ847" s="138"/>
      <c r="BA847" s="138"/>
      <c r="BB847" s="138"/>
      <c r="BC847" s="138"/>
      <c r="BD847" s="138"/>
      <c r="BE847" s="138"/>
      <c r="BF847" s="138"/>
      <c r="BG847" s="138"/>
      <c r="BH847" s="138"/>
      <c r="BI847" s="138"/>
      <c r="BJ847" s="138"/>
      <c r="BK847" s="138"/>
      <c r="BL847" s="138"/>
      <c r="BM847" s="138"/>
      <c r="BN847" s="138"/>
      <c r="BO847" s="138"/>
    </row>
    <row r="848" spans="1:67" ht="57.75" customHeight="1" x14ac:dyDescent="0.2">
      <c r="A848" s="231">
        <v>206</v>
      </c>
      <c r="B848" s="253" t="s">
        <v>1185</v>
      </c>
      <c r="C848" s="254" t="s">
        <v>1185</v>
      </c>
      <c r="D848" s="256" t="s">
        <v>163</v>
      </c>
      <c r="E848" s="256"/>
      <c r="F848" s="256"/>
      <c r="G848" s="256"/>
      <c r="H848" s="257"/>
      <c r="I848" s="193" t="s">
        <v>1186</v>
      </c>
      <c r="J848" s="215" t="s">
        <v>223</v>
      </c>
      <c r="K848" s="389">
        <v>1391800</v>
      </c>
      <c r="L848" s="390" t="s">
        <v>166</v>
      </c>
      <c r="M848" s="215" t="s">
        <v>1187</v>
      </c>
      <c r="AV848" s="138"/>
      <c r="AW848" s="138"/>
      <c r="AX848" s="138"/>
      <c r="AY848" s="138"/>
      <c r="AZ848" s="138"/>
      <c r="BA848" s="138"/>
      <c r="BB848" s="138"/>
      <c r="BC848" s="138"/>
      <c r="BD848" s="138"/>
      <c r="BE848" s="138"/>
      <c r="BF848" s="138"/>
      <c r="BG848" s="138"/>
      <c r="BH848" s="138"/>
      <c r="BI848" s="138"/>
      <c r="BJ848" s="138"/>
      <c r="BK848" s="138"/>
      <c r="BL848" s="138"/>
      <c r="BM848" s="138"/>
      <c r="BN848" s="138"/>
      <c r="BO848" s="138"/>
    </row>
    <row r="849" spans="1:67" ht="69.75" customHeight="1" x14ac:dyDescent="0.2">
      <c r="A849" s="231">
        <v>207</v>
      </c>
      <c r="B849" s="253" t="s">
        <v>1188</v>
      </c>
      <c r="C849" s="254" t="s">
        <v>1188</v>
      </c>
      <c r="D849" s="256" t="s">
        <v>163</v>
      </c>
      <c r="E849" s="256"/>
      <c r="F849" s="256"/>
      <c r="G849" s="256"/>
      <c r="H849" s="257"/>
      <c r="I849" s="193" t="s">
        <v>1183</v>
      </c>
      <c r="J849" s="215" t="s">
        <v>223</v>
      </c>
      <c r="K849" s="389">
        <v>1018500</v>
      </c>
      <c r="L849" s="390" t="s">
        <v>166</v>
      </c>
      <c r="M849" s="215" t="s">
        <v>1189</v>
      </c>
      <c r="AV849" s="138"/>
      <c r="AW849" s="138"/>
      <c r="AX849" s="138"/>
      <c r="AY849" s="138"/>
      <c r="AZ849" s="138"/>
      <c r="BA849" s="138"/>
      <c r="BB849" s="138"/>
      <c r="BC849" s="138"/>
      <c r="BD849" s="138"/>
      <c r="BE849" s="138"/>
      <c r="BF849" s="138"/>
      <c r="BG849" s="138"/>
      <c r="BH849" s="138"/>
      <c r="BI849" s="138"/>
      <c r="BJ849" s="138"/>
      <c r="BK849" s="138"/>
      <c r="BL849" s="138"/>
      <c r="BM849" s="138"/>
      <c r="BN849" s="138"/>
      <c r="BO849" s="138"/>
    </row>
    <row r="850" spans="1:67" x14ac:dyDescent="0.2">
      <c r="A850" s="167">
        <v>208</v>
      </c>
      <c r="B850" s="168" t="s">
        <v>1190</v>
      </c>
      <c r="C850" s="169"/>
      <c r="D850" s="170" t="s">
        <v>163</v>
      </c>
      <c r="E850" s="170"/>
      <c r="F850" s="170"/>
      <c r="G850" s="170"/>
      <c r="H850" s="170"/>
      <c r="I850" s="217" t="s">
        <v>1191</v>
      </c>
      <c r="J850" s="172" t="s">
        <v>1192</v>
      </c>
      <c r="K850" s="210">
        <f>32300*95%</f>
        <v>30685</v>
      </c>
      <c r="L850" s="175" t="s">
        <v>166</v>
      </c>
      <c r="M850" s="175" t="s">
        <v>1193</v>
      </c>
      <c r="AV850" s="138"/>
      <c r="AW850" s="138"/>
      <c r="AX850" s="138"/>
      <c r="AY850" s="138"/>
      <c r="AZ850" s="138"/>
      <c r="BA850" s="138"/>
      <c r="BB850" s="138"/>
      <c r="BC850" s="138"/>
      <c r="BD850" s="138"/>
      <c r="BE850" s="138"/>
      <c r="BF850" s="138"/>
      <c r="BG850" s="138"/>
      <c r="BH850" s="138"/>
      <c r="BI850" s="138"/>
      <c r="BJ850" s="138"/>
      <c r="BK850" s="138"/>
      <c r="BL850" s="138"/>
      <c r="BM850" s="138"/>
      <c r="BN850" s="138"/>
      <c r="BO850" s="138"/>
    </row>
    <row r="851" spans="1:67" x14ac:dyDescent="0.2">
      <c r="A851" s="177"/>
      <c r="B851" s="178"/>
      <c r="C851" s="179"/>
      <c r="D851" s="180"/>
      <c r="E851" s="180"/>
      <c r="F851" s="180"/>
      <c r="G851" s="180"/>
      <c r="H851" s="180"/>
      <c r="I851" s="171" t="s">
        <v>1194</v>
      </c>
      <c r="J851" s="226" t="s">
        <v>1097</v>
      </c>
      <c r="K851" s="351">
        <f>32300*5%</f>
        <v>1615</v>
      </c>
      <c r="L851" s="185"/>
      <c r="M851" s="185"/>
      <c r="AV851" s="138"/>
      <c r="AW851" s="138"/>
      <c r="AX851" s="138"/>
      <c r="AY851" s="138"/>
      <c r="AZ851" s="138"/>
      <c r="BA851" s="138"/>
      <c r="BB851" s="138"/>
      <c r="BC851" s="138"/>
      <c r="BD851" s="138"/>
      <c r="BE851" s="138"/>
      <c r="BF851" s="138"/>
      <c r="BG851" s="138"/>
      <c r="BH851" s="138"/>
      <c r="BI851" s="138"/>
      <c r="BJ851" s="138"/>
      <c r="BK851" s="138"/>
      <c r="BL851" s="138"/>
      <c r="BM851" s="138"/>
      <c r="BN851" s="138"/>
      <c r="BO851" s="138"/>
    </row>
    <row r="852" spans="1:67" x14ac:dyDescent="0.2">
      <c r="A852" s="189"/>
      <c r="B852" s="190"/>
      <c r="C852" s="191"/>
      <c r="D852" s="192"/>
      <c r="E852" s="192"/>
      <c r="F852" s="192"/>
      <c r="G852" s="192"/>
      <c r="H852" s="192"/>
      <c r="I852" s="203"/>
      <c r="J852" s="204"/>
      <c r="K852" s="205">
        <f>SUM(K850:K851)</f>
        <v>32300</v>
      </c>
      <c r="L852" s="197"/>
      <c r="M852" s="197"/>
      <c r="AV852" s="138"/>
      <c r="AW852" s="138"/>
      <c r="AX852" s="138"/>
      <c r="AY852" s="138"/>
      <c r="AZ852" s="138"/>
      <c r="BA852" s="138"/>
      <c r="BB852" s="138"/>
      <c r="BC852" s="138"/>
      <c r="BD852" s="138"/>
      <c r="BE852" s="138"/>
      <c r="BF852" s="138"/>
      <c r="BG852" s="138"/>
      <c r="BH852" s="138"/>
      <c r="BI852" s="138"/>
      <c r="BJ852" s="138"/>
      <c r="BK852" s="138"/>
      <c r="BL852" s="138"/>
      <c r="BM852" s="138"/>
      <c r="BN852" s="138"/>
      <c r="BO852" s="138"/>
    </row>
    <row r="853" spans="1:67" ht="22.5" customHeight="1" x14ac:dyDescent="0.2">
      <c r="A853" s="167">
        <v>209</v>
      </c>
      <c r="B853" s="168" t="s">
        <v>1195</v>
      </c>
      <c r="C853" s="169"/>
      <c r="D853" s="170" t="s">
        <v>163</v>
      </c>
      <c r="E853" s="170"/>
      <c r="F853" s="170"/>
      <c r="G853" s="170"/>
      <c r="H853" s="170"/>
      <c r="I853" s="217" t="s">
        <v>1191</v>
      </c>
      <c r="J853" s="172" t="s">
        <v>1192</v>
      </c>
      <c r="K853" s="387">
        <f>300000*95%</f>
        <v>285000</v>
      </c>
      <c r="L853" s="175" t="s">
        <v>166</v>
      </c>
      <c r="M853" s="175" t="s">
        <v>1196</v>
      </c>
      <c r="AV853" s="138"/>
      <c r="AW853" s="138"/>
      <c r="AX853" s="138"/>
      <c r="AY853" s="138"/>
      <c r="AZ853" s="138"/>
      <c r="BA853" s="138"/>
      <c r="BB853" s="138"/>
      <c r="BC853" s="138"/>
      <c r="BD853" s="138"/>
      <c r="BE853" s="138"/>
      <c r="BF853" s="138"/>
      <c r="BG853" s="138"/>
      <c r="BH853" s="138"/>
      <c r="BI853" s="138"/>
      <c r="BJ853" s="138"/>
      <c r="BK853" s="138"/>
      <c r="BL853" s="138"/>
      <c r="BM853" s="138"/>
      <c r="BN853" s="138"/>
      <c r="BO853" s="138"/>
    </row>
    <row r="854" spans="1:67" ht="22.5" customHeight="1" x14ac:dyDescent="0.2">
      <c r="A854" s="177"/>
      <c r="B854" s="178"/>
      <c r="C854" s="179"/>
      <c r="D854" s="180"/>
      <c r="E854" s="180"/>
      <c r="F854" s="180"/>
      <c r="G854" s="180"/>
      <c r="H854" s="180"/>
      <c r="I854" s="188" t="s">
        <v>1194</v>
      </c>
      <c r="J854" s="226" t="s">
        <v>1097</v>
      </c>
      <c r="K854" s="199">
        <f>300000*5%</f>
        <v>15000</v>
      </c>
      <c r="L854" s="185"/>
      <c r="M854" s="185"/>
      <c r="AV854" s="138"/>
      <c r="AW854" s="138"/>
      <c r="AX854" s="138"/>
      <c r="AY854" s="138"/>
      <c r="AZ854" s="138"/>
      <c r="BA854" s="138"/>
      <c r="BB854" s="138"/>
      <c r="BC854" s="138"/>
      <c r="BD854" s="138"/>
      <c r="BE854" s="138"/>
      <c r="BF854" s="138"/>
      <c r="BG854" s="138"/>
      <c r="BH854" s="138"/>
      <c r="BI854" s="138"/>
      <c r="BJ854" s="138"/>
      <c r="BK854" s="138"/>
      <c r="BL854" s="138"/>
      <c r="BM854" s="138"/>
      <c r="BN854" s="138"/>
      <c r="BO854" s="138"/>
    </row>
    <row r="855" spans="1:67" x14ac:dyDescent="0.2">
      <c r="A855" s="189"/>
      <c r="B855" s="190"/>
      <c r="C855" s="191"/>
      <c r="D855" s="192"/>
      <c r="E855" s="192"/>
      <c r="F855" s="192"/>
      <c r="G855" s="192"/>
      <c r="H855" s="192"/>
      <c r="I855" s="391"/>
      <c r="J855" s="204"/>
      <c r="K855" s="205">
        <f>SUM(K853:K854)</f>
        <v>300000</v>
      </c>
      <c r="L855" s="197"/>
      <c r="M855" s="197"/>
      <c r="AV855" s="138"/>
      <c r="AW855" s="138"/>
      <c r="AX855" s="138"/>
      <c r="AY855" s="138"/>
      <c r="AZ855" s="138"/>
      <c r="BA855" s="138"/>
      <c r="BB855" s="138"/>
      <c r="BC855" s="138"/>
      <c r="BD855" s="138"/>
      <c r="BE855" s="138"/>
      <c r="BF855" s="138"/>
      <c r="BG855" s="138"/>
      <c r="BH855" s="138"/>
      <c r="BI855" s="138"/>
      <c r="BJ855" s="138"/>
      <c r="BK855" s="138"/>
      <c r="BL855" s="138"/>
      <c r="BM855" s="138"/>
      <c r="BN855" s="138"/>
      <c r="BO855" s="138"/>
    </row>
    <row r="856" spans="1:67" ht="48" customHeight="1" x14ac:dyDescent="0.2">
      <c r="A856" s="231">
        <v>210</v>
      </c>
      <c r="B856" s="253" t="s">
        <v>1197</v>
      </c>
      <c r="C856" s="254" t="s">
        <v>1197</v>
      </c>
      <c r="D856" s="256" t="s">
        <v>163</v>
      </c>
      <c r="E856" s="256"/>
      <c r="F856" s="256"/>
      <c r="G856" s="256"/>
      <c r="H856" s="257"/>
      <c r="I856" s="171" t="s">
        <v>1198</v>
      </c>
      <c r="J856" s="172" t="s">
        <v>223</v>
      </c>
      <c r="K856" s="387">
        <v>43100</v>
      </c>
      <c r="L856" s="390" t="s">
        <v>166</v>
      </c>
      <c r="M856" s="215" t="s">
        <v>1199</v>
      </c>
      <c r="AV856" s="138"/>
      <c r="AW856" s="138"/>
      <c r="AX856" s="138"/>
      <c r="AY856" s="138"/>
      <c r="AZ856" s="138"/>
      <c r="BA856" s="138"/>
      <c r="BB856" s="138"/>
      <c r="BC856" s="138"/>
      <c r="BD856" s="138"/>
      <c r="BE856" s="138"/>
      <c r="BF856" s="138"/>
      <c r="BG856" s="138"/>
      <c r="BH856" s="138"/>
      <c r="BI856" s="138"/>
      <c r="BJ856" s="138"/>
      <c r="BK856" s="138"/>
      <c r="BL856" s="138"/>
      <c r="BM856" s="138"/>
      <c r="BN856" s="138"/>
      <c r="BO856" s="138"/>
    </row>
    <row r="857" spans="1:67" ht="21" customHeight="1" x14ac:dyDescent="0.2">
      <c r="A857" s="167">
        <v>211</v>
      </c>
      <c r="B857" s="168" t="s">
        <v>1200</v>
      </c>
      <c r="C857" s="169"/>
      <c r="D857" s="170" t="s">
        <v>163</v>
      </c>
      <c r="E857" s="170"/>
      <c r="F857" s="170"/>
      <c r="G857" s="170"/>
      <c r="H857" s="246" t="s">
        <v>137</v>
      </c>
      <c r="I857" s="217" t="s">
        <v>1201</v>
      </c>
      <c r="J857" s="223" t="s">
        <v>209</v>
      </c>
      <c r="K857" s="353">
        <f>K860*60%</f>
        <v>116370</v>
      </c>
      <c r="L857" s="169" t="s">
        <v>166</v>
      </c>
      <c r="M857" s="175" t="s">
        <v>1202</v>
      </c>
      <c r="AV857" s="138"/>
      <c r="AW857" s="138"/>
      <c r="AX857" s="138"/>
      <c r="AY857" s="138"/>
      <c r="AZ857" s="138"/>
      <c r="BA857" s="138"/>
      <c r="BB857" s="138"/>
      <c r="BC857" s="138"/>
      <c r="BD857" s="138"/>
      <c r="BE857" s="138"/>
      <c r="BF857" s="138"/>
      <c r="BG857" s="138"/>
      <c r="BH857" s="138"/>
      <c r="BI857" s="138"/>
      <c r="BJ857" s="138"/>
      <c r="BK857" s="138"/>
      <c r="BL857" s="138"/>
      <c r="BM857" s="138"/>
      <c r="BN857" s="138"/>
      <c r="BO857" s="138"/>
    </row>
    <row r="858" spans="1:67" ht="21" customHeight="1" x14ac:dyDescent="0.2">
      <c r="A858" s="177"/>
      <c r="B858" s="178"/>
      <c r="C858" s="179"/>
      <c r="D858" s="180"/>
      <c r="E858" s="180"/>
      <c r="F858" s="180"/>
      <c r="G858" s="180"/>
      <c r="H858" s="248"/>
      <c r="I858" s="188" t="s">
        <v>1203</v>
      </c>
      <c r="J858" s="207" t="s">
        <v>209</v>
      </c>
      <c r="K858" s="343">
        <f>K860*20%</f>
        <v>38790</v>
      </c>
      <c r="L858" s="179"/>
      <c r="M858" s="185"/>
      <c r="AV858" s="138"/>
      <c r="AW858" s="138"/>
      <c r="AX858" s="138"/>
      <c r="AY858" s="138"/>
      <c r="AZ858" s="138"/>
      <c r="BA858" s="138"/>
      <c r="BB858" s="138"/>
      <c r="BC858" s="138"/>
      <c r="BD858" s="138"/>
      <c r="BE858" s="138"/>
      <c r="BF858" s="138"/>
      <c r="BG858" s="138"/>
      <c r="BH858" s="138"/>
      <c r="BI858" s="138"/>
      <c r="BJ858" s="138"/>
      <c r="BK858" s="138"/>
      <c r="BL858" s="138"/>
      <c r="BM858" s="138"/>
      <c r="BN858" s="138"/>
      <c r="BO858" s="138"/>
    </row>
    <row r="859" spans="1:67" ht="21" customHeight="1" x14ac:dyDescent="0.2">
      <c r="A859" s="177"/>
      <c r="B859" s="178"/>
      <c r="C859" s="179"/>
      <c r="D859" s="180"/>
      <c r="E859" s="180"/>
      <c r="F859" s="180"/>
      <c r="G859" s="180"/>
      <c r="H859" s="248"/>
      <c r="I859" s="188" t="s">
        <v>1204</v>
      </c>
      <c r="J859" s="207" t="s">
        <v>223</v>
      </c>
      <c r="K859" s="343">
        <f>K860*20%</f>
        <v>38790</v>
      </c>
      <c r="L859" s="179"/>
      <c r="M859" s="185"/>
      <c r="AV859" s="138"/>
      <c r="AW859" s="138"/>
      <c r="AX859" s="138"/>
      <c r="AY859" s="138"/>
      <c r="AZ859" s="138"/>
      <c r="BA859" s="138"/>
      <c r="BB859" s="138"/>
      <c r="BC859" s="138"/>
      <c r="BD859" s="138"/>
      <c r="BE859" s="138"/>
      <c r="BF859" s="138"/>
      <c r="BG859" s="138"/>
      <c r="BH859" s="138"/>
      <c r="BI859" s="138"/>
      <c r="BJ859" s="138"/>
      <c r="BK859" s="138"/>
      <c r="BL859" s="138"/>
      <c r="BM859" s="138"/>
      <c r="BN859" s="138"/>
      <c r="BO859" s="138"/>
    </row>
    <row r="860" spans="1:67" ht="21" customHeight="1" x14ac:dyDescent="0.2">
      <c r="A860" s="189"/>
      <c r="B860" s="190"/>
      <c r="C860" s="191"/>
      <c r="D860" s="192"/>
      <c r="E860" s="192"/>
      <c r="F860" s="192"/>
      <c r="G860" s="192"/>
      <c r="H860" s="249"/>
      <c r="I860" s="203"/>
      <c r="J860" s="204"/>
      <c r="K860" s="354">
        <v>193950</v>
      </c>
      <c r="L860" s="191"/>
      <c r="M860" s="197"/>
      <c r="AV860" s="138"/>
      <c r="AW860" s="138"/>
      <c r="AX860" s="138"/>
      <c r="AY860" s="138"/>
      <c r="AZ860" s="138"/>
      <c r="BA860" s="138"/>
      <c r="BB860" s="138"/>
      <c r="BC860" s="138"/>
      <c r="BD860" s="138"/>
      <c r="BE860" s="138"/>
      <c r="BF860" s="138"/>
      <c r="BG860" s="138"/>
      <c r="BH860" s="138"/>
      <c r="BI860" s="138"/>
      <c r="BJ860" s="138"/>
      <c r="BK860" s="138"/>
      <c r="BL860" s="138"/>
      <c r="BM860" s="138"/>
      <c r="BN860" s="138"/>
      <c r="BO860" s="138"/>
    </row>
    <row r="861" spans="1:67" ht="22.5" customHeight="1" x14ac:dyDescent="0.2">
      <c r="A861" s="167">
        <v>212</v>
      </c>
      <c r="B861" s="168" t="s">
        <v>1205</v>
      </c>
      <c r="C861" s="169"/>
      <c r="D861" s="170" t="s">
        <v>163</v>
      </c>
      <c r="E861" s="170"/>
      <c r="F861" s="170"/>
      <c r="G861" s="170"/>
      <c r="H861" s="246" t="s">
        <v>164</v>
      </c>
      <c r="I861" s="217" t="s">
        <v>1206</v>
      </c>
      <c r="J861" s="223" t="s">
        <v>209</v>
      </c>
      <c r="K861" s="353">
        <f>K863*80%</f>
        <v>147840</v>
      </c>
      <c r="L861" s="169" t="s">
        <v>166</v>
      </c>
      <c r="M861" s="175" t="s">
        <v>1207</v>
      </c>
      <c r="AV861" s="138"/>
      <c r="AW861" s="138"/>
      <c r="AX861" s="138"/>
      <c r="AY861" s="138"/>
      <c r="AZ861" s="138"/>
      <c r="BA861" s="138"/>
      <c r="BB861" s="138"/>
      <c r="BC861" s="138"/>
      <c r="BD861" s="138"/>
      <c r="BE861" s="138"/>
      <c r="BF861" s="138"/>
      <c r="BG861" s="138"/>
      <c r="BH861" s="138"/>
      <c r="BI861" s="138"/>
      <c r="BJ861" s="138"/>
      <c r="BK861" s="138"/>
      <c r="BL861" s="138"/>
      <c r="BM861" s="138"/>
      <c r="BN861" s="138"/>
      <c r="BO861" s="138"/>
    </row>
    <row r="862" spans="1:67" x14ac:dyDescent="0.2">
      <c r="A862" s="177"/>
      <c r="B862" s="178"/>
      <c r="C862" s="179"/>
      <c r="D862" s="180"/>
      <c r="E862" s="180"/>
      <c r="F862" s="180"/>
      <c r="G862" s="180"/>
      <c r="H862" s="248"/>
      <c r="I862" s="188" t="s">
        <v>1208</v>
      </c>
      <c r="J862" s="207" t="s">
        <v>594</v>
      </c>
      <c r="K862" s="343">
        <f>K863*20%</f>
        <v>36960</v>
      </c>
      <c r="L862" s="179"/>
      <c r="M862" s="185"/>
      <c r="AV862" s="138"/>
      <c r="AW862" s="138"/>
      <c r="AX862" s="138"/>
      <c r="AY862" s="138"/>
      <c r="AZ862" s="138"/>
      <c r="BA862" s="138"/>
      <c r="BB862" s="138"/>
      <c r="BC862" s="138"/>
      <c r="BD862" s="138"/>
      <c r="BE862" s="138"/>
      <c r="BF862" s="138"/>
      <c r="BG862" s="138"/>
      <c r="BH862" s="138"/>
      <c r="BI862" s="138"/>
      <c r="BJ862" s="138"/>
      <c r="BK862" s="138"/>
      <c r="BL862" s="138"/>
      <c r="BM862" s="138"/>
      <c r="BN862" s="138"/>
      <c r="BO862" s="138"/>
    </row>
    <row r="863" spans="1:67" x14ac:dyDescent="0.2">
      <c r="A863" s="189"/>
      <c r="B863" s="190"/>
      <c r="C863" s="191"/>
      <c r="D863" s="192"/>
      <c r="E863" s="192"/>
      <c r="F863" s="192"/>
      <c r="G863" s="192"/>
      <c r="H863" s="249"/>
      <c r="I863" s="203"/>
      <c r="J863" s="204"/>
      <c r="K863" s="354">
        <v>184800</v>
      </c>
      <c r="L863" s="191"/>
      <c r="M863" s="197"/>
      <c r="AV863" s="138"/>
      <c r="AW863" s="138"/>
      <c r="AX863" s="138"/>
      <c r="AY863" s="138"/>
      <c r="AZ863" s="138"/>
      <c r="BA863" s="138"/>
      <c r="BB863" s="138"/>
      <c r="BC863" s="138"/>
      <c r="BD863" s="138"/>
      <c r="BE863" s="138"/>
      <c r="BF863" s="138"/>
      <c r="BG863" s="138"/>
      <c r="BH863" s="138"/>
      <c r="BI863" s="138"/>
      <c r="BJ863" s="138"/>
      <c r="BK863" s="138"/>
      <c r="BL863" s="138"/>
      <c r="BM863" s="138"/>
      <c r="BN863" s="138"/>
      <c r="BO863" s="138"/>
    </row>
    <row r="864" spans="1:67" x14ac:dyDescent="0.2">
      <c r="A864" s="167">
        <v>213</v>
      </c>
      <c r="B864" s="168" t="s">
        <v>1209</v>
      </c>
      <c r="C864" s="169"/>
      <c r="D864" s="170" t="s">
        <v>163</v>
      </c>
      <c r="E864" s="170"/>
      <c r="F864" s="170"/>
      <c r="G864" s="170"/>
      <c r="H864" s="246" t="s">
        <v>137</v>
      </c>
      <c r="I864" s="217" t="s">
        <v>1210</v>
      </c>
      <c r="J864" s="223" t="s">
        <v>223</v>
      </c>
      <c r="K864" s="353">
        <f>K867*40%</f>
        <v>160000</v>
      </c>
      <c r="L864" s="169" t="s">
        <v>166</v>
      </c>
      <c r="M864" s="175" t="s">
        <v>1211</v>
      </c>
      <c r="AV864" s="138"/>
      <c r="AW864" s="138"/>
      <c r="AX864" s="138"/>
      <c r="AY864" s="138"/>
      <c r="AZ864" s="138"/>
      <c r="BA864" s="138"/>
      <c r="BB864" s="138"/>
      <c r="BC864" s="138"/>
      <c r="BD864" s="138"/>
      <c r="BE864" s="138"/>
      <c r="BF864" s="138"/>
      <c r="BG864" s="138"/>
      <c r="BH864" s="138"/>
      <c r="BI864" s="138"/>
      <c r="BJ864" s="138"/>
      <c r="BK864" s="138"/>
      <c r="BL864" s="138"/>
      <c r="BM864" s="138"/>
      <c r="BN864" s="138"/>
      <c r="BO864" s="138"/>
    </row>
    <row r="865" spans="1:67" x14ac:dyDescent="0.2">
      <c r="A865" s="177"/>
      <c r="B865" s="178"/>
      <c r="C865" s="179"/>
      <c r="D865" s="180"/>
      <c r="E865" s="180"/>
      <c r="F865" s="180"/>
      <c r="G865" s="180"/>
      <c r="H865" s="248"/>
      <c r="I865" s="188" t="s">
        <v>1212</v>
      </c>
      <c r="J865" s="207" t="s">
        <v>223</v>
      </c>
      <c r="K865" s="343">
        <f>K867*30%</f>
        <v>120000</v>
      </c>
      <c r="L865" s="179"/>
      <c r="M865" s="185"/>
      <c r="AV865" s="138"/>
      <c r="AW865" s="138"/>
      <c r="AX865" s="138"/>
      <c r="AY865" s="138"/>
      <c r="AZ865" s="138"/>
      <c r="BA865" s="138"/>
      <c r="BB865" s="138"/>
      <c r="BC865" s="138"/>
      <c r="BD865" s="138"/>
      <c r="BE865" s="138"/>
      <c r="BF865" s="138"/>
      <c r="BG865" s="138"/>
      <c r="BH865" s="138"/>
      <c r="BI865" s="138"/>
      <c r="BJ865" s="138"/>
      <c r="BK865" s="138"/>
      <c r="BL865" s="138"/>
      <c r="BM865" s="138"/>
      <c r="BN865" s="138"/>
      <c r="BO865" s="138"/>
    </row>
    <row r="866" spans="1:67" x14ac:dyDescent="0.2">
      <c r="A866" s="177"/>
      <c r="B866" s="178"/>
      <c r="C866" s="179"/>
      <c r="D866" s="180"/>
      <c r="E866" s="180"/>
      <c r="F866" s="180"/>
      <c r="G866" s="180"/>
      <c r="H866" s="248"/>
      <c r="I866" s="188" t="s">
        <v>1213</v>
      </c>
      <c r="J866" s="207" t="s">
        <v>223</v>
      </c>
      <c r="K866" s="343">
        <f>K867*30%</f>
        <v>120000</v>
      </c>
      <c r="L866" s="179"/>
      <c r="M866" s="185"/>
      <c r="AV866" s="138"/>
      <c r="AW866" s="138"/>
      <c r="AX866" s="138"/>
      <c r="AY866" s="138"/>
      <c r="AZ866" s="138"/>
      <c r="BA866" s="138"/>
      <c r="BB866" s="138"/>
      <c r="BC866" s="138"/>
      <c r="BD866" s="138"/>
      <c r="BE866" s="138"/>
      <c r="BF866" s="138"/>
      <c r="BG866" s="138"/>
      <c r="BH866" s="138"/>
      <c r="BI866" s="138"/>
      <c r="BJ866" s="138"/>
      <c r="BK866" s="138"/>
      <c r="BL866" s="138"/>
      <c r="BM866" s="138"/>
      <c r="BN866" s="138"/>
      <c r="BO866" s="138"/>
    </row>
    <row r="867" spans="1:67" x14ac:dyDescent="0.2">
      <c r="A867" s="189"/>
      <c r="B867" s="190"/>
      <c r="C867" s="191"/>
      <c r="D867" s="192"/>
      <c r="E867" s="192"/>
      <c r="F867" s="192"/>
      <c r="G867" s="192"/>
      <c r="H867" s="249"/>
      <c r="I867" s="203"/>
      <c r="J867" s="204"/>
      <c r="K867" s="354">
        <v>400000</v>
      </c>
      <c r="L867" s="191"/>
      <c r="M867" s="197"/>
      <c r="AV867" s="138"/>
      <c r="AW867" s="138"/>
      <c r="AX867" s="138"/>
      <c r="AY867" s="138"/>
      <c r="AZ867" s="138"/>
      <c r="BA867" s="138"/>
      <c r="BB867" s="138"/>
      <c r="BC867" s="138"/>
      <c r="BD867" s="138"/>
      <c r="BE867" s="138"/>
      <c r="BF867" s="138"/>
      <c r="BG867" s="138"/>
      <c r="BH867" s="138"/>
      <c r="BI867" s="138"/>
      <c r="BJ867" s="138"/>
      <c r="BK867" s="138"/>
      <c r="BL867" s="138"/>
      <c r="BM867" s="138"/>
      <c r="BN867" s="138"/>
      <c r="BO867" s="138"/>
    </row>
    <row r="868" spans="1:67" x14ac:dyDescent="0.2">
      <c r="A868" s="167">
        <v>214</v>
      </c>
      <c r="B868" s="168" t="s">
        <v>1214</v>
      </c>
      <c r="C868" s="169"/>
      <c r="D868" s="170" t="s">
        <v>163</v>
      </c>
      <c r="E868" s="170"/>
      <c r="F868" s="170"/>
      <c r="G868" s="170"/>
      <c r="H868" s="246" t="s">
        <v>137</v>
      </c>
      <c r="I868" s="217" t="s">
        <v>1215</v>
      </c>
      <c r="J868" s="223" t="s">
        <v>223</v>
      </c>
      <c r="K868" s="353">
        <f>K871*40%</f>
        <v>160000</v>
      </c>
      <c r="L868" s="169" t="s">
        <v>166</v>
      </c>
      <c r="M868" s="175" t="s">
        <v>1216</v>
      </c>
      <c r="AV868" s="138"/>
      <c r="AW868" s="138"/>
      <c r="AX868" s="138"/>
      <c r="AY868" s="138"/>
      <c r="AZ868" s="138"/>
      <c r="BA868" s="138"/>
      <c r="BB868" s="138"/>
      <c r="BC868" s="138"/>
      <c r="BD868" s="138"/>
      <c r="BE868" s="138"/>
      <c r="BF868" s="138"/>
      <c r="BG868" s="138"/>
      <c r="BH868" s="138"/>
      <c r="BI868" s="138"/>
      <c r="BJ868" s="138"/>
      <c r="BK868" s="138"/>
      <c r="BL868" s="138"/>
      <c r="BM868" s="138"/>
      <c r="BN868" s="138"/>
      <c r="BO868" s="138"/>
    </row>
    <row r="869" spans="1:67" x14ac:dyDescent="0.2">
      <c r="A869" s="177"/>
      <c r="B869" s="178"/>
      <c r="C869" s="179"/>
      <c r="D869" s="180"/>
      <c r="E869" s="180"/>
      <c r="F869" s="180"/>
      <c r="G869" s="180"/>
      <c r="H869" s="248"/>
      <c r="I869" s="188" t="s">
        <v>1217</v>
      </c>
      <c r="J869" s="207" t="s">
        <v>223</v>
      </c>
      <c r="K869" s="343">
        <f>K871*30%</f>
        <v>120000</v>
      </c>
      <c r="L869" s="179"/>
      <c r="M869" s="185"/>
      <c r="AV869" s="138"/>
      <c r="AW869" s="138"/>
      <c r="AX869" s="138"/>
      <c r="AY869" s="138"/>
      <c r="AZ869" s="138"/>
      <c r="BA869" s="138"/>
      <c r="BB869" s="138"/>
      <c r="BC869" s="138"/>
      <c r="BD869" s="138"/>
      <c r="BE869" s="138"/>
      <c r="BF869" s="138"/>
      <c r="BG869" s="138"/>
      <c r="BH869" s="138"/>
      <c r="BI869" s="138"/>
      <c r="BJ869" s="138"/>
      <c r="BK869" s="138"/>
      <c r="BL869" s="138"/>
      <c r="BM869" s="138"/>
      <c r="BN869" s="138"/>
      <c r="BO869" s="138"/>
    </row>
    <row r="870" spans="1:67" x14ac:dyDescent="0.2">
      <c r="A870" s="177"/>
      <c r="B870" s="178"/>
      <c r="C870" s="179"/>
      <c r="D870" s="180"/>
      <c r="E870" s="180"/>
      <c r="F870" s="180"/>
      <c r="G870" s="180"/>
      <c r="H870" s="248"/>
      <c r="I870" s="188" t="s">
        <v>1218</v>
      </c>
      <c r="J870" s="207" t="s">
        <v>223</v>
      </c>
      <c r="K870" s="343">
        <f>K871*30%</f>
        <v>120000</v>
      </c>
      <c r="L870" s="179"/>
      <c r="M870" s="185"/>
      <c r="AV870" s="138"/>
      <c r="AW870" s="138"/>
      <c r="AX870" s="138"/>
      <c r="AY870" s="138"/>
      <c r="AZ870" s="138"/>
      <c r="BA870" s="138"/>
      <c r="BB870" s="138"/>
      <c r="BC870" s="138"/>
      <c r="BD870" s="138"/>
      <c r="BE870" s="138"/>
      <c r="BF870" s="138"/>
      <c r="BG870" s="138"/>
      <c r="BH870" s="138"/>
      <c r="BI870" s="138"/>
      <c r="BJ870" s="138"/>
      <c r="BK870" s="138"/>
      <c r="BL870" s="138"/>
      <c r="BM870" s="138"/>
      <c r="BN870" s="138"/>
      <c r="BO870" s="138"/>
    </row>
    <row r="871" spans="1:67" x14ac:dyDescent="0.2">
      <c r="A871" s="189"/>
      <c r="B871" s="190"/>
      <c r="C871" s="191"/>
      <c r="D871" s="192"/>
      <c r="E871" s="192"/>
      <c r="F871" s="192"/>
      <c r="G871" s="192"/>
      <c r="H871" s="249"/>
      <c r="I871" s="203"/>
      <c r="J871" s="204"/>
      <c r="K871" s="354">
        <v>400000</v>
      </c>
      <c r="L871" s="191"/>
      <c r="M871" s="197"/>
      <c r="AV871" s="138"/>
      <c r="AW871" s="138"/>
      <c r="AX871" s="138"/>
      <c r="AY871" s="138"/>
      <c r="AZ871" s="138"/>
      <c r="BA871" s="138"/>
      <c r="BB871" s="138"/>
      <c r="BC871" s="138"/>
      <c r="BD871" s="138"/>
      <c r="BE871" s="138"/>
      <c r="BF871" s="138"/>
      <c r="BG871" s="138"/>
      <c r="BH871" s="138"/>
      <c r="BI871" s="138"/>
      <c r="BJ871" s="138"/>
      <c r="BK871" s="138"/>
      <c r="BL871" s="138"/>
      <c r="BM871" s="138"/>
      <c r="BN871" s="138"/>
      <c r="BO871" s="138"/>
    </row>
    <row r="872" spans="1:67" ht="48" x14ac:dyDescent="0.2">
      <c r="A872" s="231">
        <v>215</v>
      </c>
      <c r="B872" s="253" t="s">
        <v>1219</v>
      </c>
      <c r="C872" s="254" t="s">
        <v>1219</v>
      </c>
      <c r="D872" s="256" t="s">
        <v>163</v>
      </c>
      <c r="E872" s="256"/>
      <c r="F872" s="256"/>
      <c r="G872" s="256"/>
      <c r="H872" s="257"/>
      <c r="I872" s="280" t="s">
        <v>1220</v>
      </c>
      <c r="J872" s="281" t="s">
        <v>223</v>
      </c>
      <c r="K872" s="392">
        <v>400000</v>
      </c>
      <c r="L872" s="390" t="s">
        <v>166</v>
      </c>
      <c r="M872" s="215" t="s">
        <v>1221</v>
      </c>
      <c r="AV872" s="138"/>
      <c r="AW872" s="138"/>
      <c r="AX872" s="138"/>
      <c r="AY872" s="138"/>
      <c r="AZ872" s="138"/>
      <c r="BA872" s="138"/>
      <c r="BB872" s="138"/>
      <c r="BC872" s="138"/>
      <c r="BD872" s="138"/>
      <c r="BE872" s="138"/>
      <c r="BF872" s="138"/>
      <c r="BG872" s="138"/>
      <c r="BH872" s="138"/>
      <c r="BI872" s="138"/>
      <c r="BJ872" s="138"/>
      <c r="BK872" s="138"/>
      <c r="BL872" s="138"/>
      <c r="BM872" s="138"/>
      <c r="BN872" s="138"/>
      <c r="BO872" s="138"/>
    </row>
    <row r="873" spans="1:67" ht="62.25" customHeight="1" x14ac:dyDescent="0.2">
      <c r="A873" s="231">
        <v>216</v>
      </c>
      <c r="B873" s="253" t="s">
        <v>1222</v>
      </c>
      <c r="C873" s="254" t="s">
        <v>1222</v>
      </c>
      <c r="D873" s="256" t="s">
        <v>163</v>
      </c>
      <c r="E873" s="256"/>
      <c r="F873" s="256"/>
      <c r="G873" s="256"/>
      <c r="H873" s="257"/>
      <c r="I873" s="193" t="s">
        <v>1223</v>
      </c>
      <c r="J873" s="215" t="s">
        <v>223</v>
      </c>
      <c r="K873" s="388">
        <v>400000</v>
      </c>
      <c r="L873" s="390" t="s">
        <v>166</v>
      </c>
      <c r="M873" s="215" t="s">
        <v>1224</v>
      </c>
      <c r="AV873" s="138"/>
      <c r="AW873" s="138"/>
      <c r="AX873" s="138"/>
      <c r="AY873" s="138"/>
      <c r="AZ873" s="138"/>
      <c r="BA873" s="138"/>
      <c r="BB873" s="138"/>
      <c r="BC873" s="138"/>
      <c r="BD873" s="138"/>
      <c r="BE873" s="138"/>
      <c r="BF873" s="138"/>
      <c r="BG873" s="138"/>
      <c r="BH873" s="138"/>
      <c r="BI873" s="138"/>
      <c r="BJ873" s="138"/>
      <c r="BK873" s="138"/>
      <c r="BL873" s="138"/>
      <c r="BM873" s="138"/>
      <c r="BN873" s="138"/>
      <c r="BO873" s="138"/>
    </row>
    <row r="874" spans="1:67" ht="53.25" customHeight="1" x14ac:dyDescent="0.2">
      <c r="A874" s="231">
        <v>217</v>
      </c>
      <c r="B874" s="253" t="s">
        <v>1225</v>
      </c>
      <c r="C874" s="254" t="s">
        <v>1225</v>
      </c>
      <c r="D874" s="256" t="s">
        <v>163</v>
      </c>
      <c r="E874" s="256"/>
      <c r="F874" s="256"/>
      <c r="G874" s="256"/>
      <c r="H874" s="257"/>
      <c r="I874" s="193" t="s">
        <v>1226</v>
      </c>
      <c r="J874" s="215" t="s">
        <v>223</v>
      </c>
      <c r="K874" s="389">
        <v>400000</v>
      </c>
      <c r="L874" s="390" t="s">
        <v>166</v>
      </c>
      <c r="M874" s="215" t="s">
        <v>1227</v>
      </c>
      <c r="AV874" s="138"/>
      <c r="AW874" s="138"/>
      <c r="AX874" s="138"/>
      <c r="AY874" s="138"/>
      <c r="AZ874" s="138"/>
      <c r="BA874" s="138"/>
      <c r="BB874" s="138"/>
      <c r="BC874" s="138"/>
      <c r="BD874" s="138"/>
      <c r="BE874" s="138"/>
      <c r="BF874" s="138"/>
      <c r="BG874" s="138"/>
      <c r="BH874" s="138"/>
      <c r="BI874" s="138"/>
      <c r="BJ874" s="138"/>
      <c r="BK874" s="138"/>
      <c r="BL874" s="138"/>
      <c r="BM874" s="138"/>
      <c r="BN874" s="138"/>
      <c r="BO874" s="138"/>
    </row>
    <row r="875" spans="1:67" ht="85.5" customHeight="1" x14ac:dyDescent="0.2">
      <c r="A875" s="231">
        <v>218</v>
      </c>
      <c r="B875" s="253" t="s">
        <v>1228</v>
      </c>
      <c r="C875" s="254" t="s">
        <v>1228</v>
      </c>
      <c r="D875" s="256" t="s">
        <v>163</v>
      </c>
      <c r="E875" s="256"/>
      <c r="F875" s="256"/>
      <c r="G875" s="256"/>
      <c r="H875" s="257"/>
      <c r="I875" s="193" t="s">
        <v>1223</v>
      </c>
      <c r="J875" s="215" t="s">
        <v>223</v>
      </c>
      <c r="K875" s="389">
        <v>71000</v>
      </c>
      <c r="L875" s="390" t="s">
        <v>166</v>
      </c>
      <c r="M875" s="215" t="s">
        <v>1229</v>
      </c>
      <c r="AV875" s="138"/>
      <c r="AW875" s="138"/>
      <c r="AX875" s="138"/>
      <c r="AY875" s="138"/>
      <c r="AZ875" s="138"/>
      <c r="BA875" s="138"/>
      <c r="BB875" s="138"/>
      <c r="BC875" s="138"/>
      <c r="BD875" s="138"/>
      <c r="BE875" s="138"/>
      <c r="BF875" s="138"/>
      <c r="BG875" s="138"/>
      <c r="BH875" s="138"/>
      <c r="BI875" s="138"/>
      <c r="BJ875" s="138"/>
      <c r="BK875" s="138"/>
      <c r="BL875" s="138"/>
      <c r="BM875" s="138"/>
      <c r="BN875" s="138"/>
      <c r="BO875" s="138"/>
    </row>
    <row r="876" spans="1:67" ht="53.25" customHeight="1" x14ac:dyDescent="0.2">
      <c r="A876" s="231">
        <v>219</v>
      </c>
      <c r="B876" s="253" t="s">
        <v>1230</v>
      </c>
      <c r="C876" s="254" t="s">
        <v>1230</v>
      </c>
      <c r="D876" s="256" t="s">
        <v>163</v>
      </c>
      <c r="E876" s="256"/>
      <c r="F876" s="256"/>
      <c r="G876" s="256"/>
      <c r="H876" s="257"/>
      <c r="I876" s="193" t="s">
        <v>1226</v>
      </c>
      <c r="J876" s="215" t="s">
        <v>223</v>
      </c>
      <c r="K876" s="389">
        <v>300000</v>
      </c>
      <c r="L876" s="390" t="s">
        <v>166</v>
      </c>
      <c r="M876" s="215" t="s">
        <v>1231</v>
      </c>
      <c r="AV876" s="138"/>
      <c r="AW876" s="138"/>
      <c r="AX876" s="138"/>
      <c r="AY876" s="138"/>
      <c r="AZ876" s="138"/>
      <c r="BA876" s="138"/>
      <c r="BB876" s="138"/>
      <c r="BC876" s="138"/>
      <c r="BD876" s="138"/>
      <c r="BE876" s="138"/>
      <c r="BF876" s="138"/>
      <c r="BG876" s="138"/>
      <c r="BH876" s="138"/>
      <c r="BI876" s="138"/>
      <c r="BJ876" s="138"/>
      <c r="BK876" s="138"/>
      <c r="BL876" s="138"/>
      <c r="BM876" s="138"/>
      <c r="BN876" s="138"/>
      <c r="BO876" s="138"/>
    </row>
    <row r="877" spans="1:67" ht="53.25" customHeight="1" x14ac:dyDescent="0.2">
      <c r="A877" s="231">
        <v>220</v>
      </c>
      <c r="B877" s="253" t="s">
        <v>1232</v>
      </c>
      <c r="C877" s="254" t="s">
        <v>1232</v>
      </c>
      <c r="D877" s="256" t="s">
        <v>163</v>
      </c>
      <c r="E877" s="256"/>
      <c r="F877" s="256"/>
      <c r="G877" s="256"/>
      <c r="H877" s="257"/>
      <c r="I877" s="193" t="s">
        <v>1233</v>
      </c>
      <c r="J877" s="215" t="s">
        <v>223</v>
      </c>
      <c r="K877" s="389">
        <v>300000</v>
      </c>
      <c r="L877" s="390" t="s">
        <v>166</v>
      </c>
      <c r="M877" s="215" t="s">
        <v>1234</v>
      </c>
      <c r="AV877" s="138"/>
      <c r="AW877" s="138"/>
      <c r="AX877" s="138"/>
      <c r="AY877" s="138"/>
      <c r="AZ877" s="138"/>
      <c r="BA877" s="138"/>
      <c r="BB877" s="138"/>
      <c r="BC877" s="138"/>
      <c r="BD877" s="138"/>
      <c r="BE877" s="138"/>
      <c r="BF877" s="138"/>
      <c r="BG877" s="138"/>
      <c r="BH877" s="138"/>
      <c r="BI877" s="138"/>
      <c r="BJ877" s="138"/>
      <c r="BK877" s="138"/>
      <c r="BL877" s="138"/>
      <c r="BM877" s="138"/>
      <c r="BN877" s="138"/>
      <c r="BO877" s="138"/>
    </row>
    <row r="878" spans="1:67" ht="53.25" customHeight="1" x14ac:dyDescent="0.2">
      <c r="A878" s="231">
        <v>221</v>
      </c>
      <c r="B878" s="253" t="s">
        <v>1235</v>
      </c>
      <c r="C878" s="254" t="s">
        <v>1235</v>
      </c>
      <c r="D878" s="256" t="s">
        <v>163</v>
      </c>
      <c r="E878" s="256"/>
      <c r="F878" s="256"/>
      <c r="G878" s="256"/>
      <c r="H878" s="257"/>
      <c r="I878" s="171" t="s">
        <v>1236</v>
      </c>
      <c r="J878" s="172" t="s">
        <v>223</v>
      </c>
      <c r="K878" s="387">
        <v>300000</v>
      </c>
      <c r="L878" s="390" t="s">
        <v>166</v>
      </c>
      <c r="M878" s="215" t="s">
        <v>1237</v>
      </c>
      <c r="AV878" s="138"/>
      <c r="AW878" s="138"/>
      <c r="AX878" s="138"/>
      <c r="AY878" s="138"/>
      <c r="AZ878" s="138"/>
      <c r="BA878" s="138"/>
      <c r="BB878" s="138"/>
      <c r="BC878" s="138"/>
      <c r="BD878" s="138"/>
      <c r="BE878" s="138"/>
      <c r="BF878" s="138"/>
      <c r="BG878" s="138"/>
      <c r="BH878" s="138"/>
      <c r="BI878" s="138"/>
      <c r="BJ878" s="138"/>
      <c r="BK878" s="138"/>
      <c r="BL878" s="138"/>
      <c r="BM878" s="138"/>
      <c r="BN878" s="138"/>
      <c r="BO878" s="138"/>
    </row>
    <row r="879" spans="1:67" x14ac:dyDescent="0.2">
      <c r="A879" s="250">
        <v>222</v>
      </c>
      <c r="B879" s="168" t="s">
        <v>1238</v>
      </c>
      <c r="C879" s="169"/>
      <c r="D879" s="170" t="s">
        <v>25</v>
      </c>
      <c r="E879" s="170"/>
      <c r="F879" s="170" t="s">
        <v>1239</v>
      </c>
      <c r="G879" s="170" t="s">
        <v>1240</v>
      </c>
      <c r="H879" s="170" t="s">
        <v>1127</v>
      </c>
      <c r="I879" s="393" t="s">
        <v>1241</v>
      </c>
      <c r="J879" s="394" t="s">
        <v>1192</v>
      </c>
      <c r="K879" s="363">
        <f>50000*25%</f>
        <v>12500</v>
      </c>
      <c r="L879" s="175" t="s">
        <v>1240</v>
      </c>
      <c r="M879" s="175" t="s">
        <v>1242</v>
      </c>
      <c r="AV879" s="138"/>
      <c r="AW879" s="138"/>
      <c r="AX879" s="138"/>
      <c r="AY879" s="138"/>
      <c r="AZ879" s="138"/>
      <c r="BA879" s="138"/>
      <c r="BB879" s="138"/>
      <c r="BC879" s="138"/>
      <c r="BD879" s="138"/>
      <c r="BE879" s="138"/>
      <c r="BF879" s="138"/>
      <c r="BG879" s="138"/>
      <c r="BH879" s="138"/>
      <c r="BI879" s="138"/>
      <c r="BJ879" s="138"/>
      <c r="BK879" s="138"/>
      <c r="BL879" s="138"/>
      <c r="BM879" s="138"/>
      <c r="BN879" s="138"/>
      <c r="BO879" s="138"/>
    </row>
    <row r="880" spans="1:67" x14ac:dyDescent="0.2">
      <c r="A880" s="243"/>
      <c r="B880" s="178"/>
      <c r="C880" s="179"/>
      <c r="D880" s="180"/>
      <c r="E880" s="180"/>
      <c r="F880" s="180"/>
      <c r="G880" s="180"/>
      <c r="H880" s="180"/>
      <c r="I880" s="395" t="s">
        <v>1243</v>
      </c>
      <c r="J880" s="396" t="s">
        <v>1192</v>
      </c>
      <c r="K880" s="214">
        <f>50000*25%</f>
        <v>12500</v>
      </c>
      <c r="L880" s="185"/>
      <c r="M880" s="185"/>
      <c r="AV880" s="138"/>
      <c r="AW880" s="138"/>
      <c r="AX880" s="138"/>
      <c r="AY880" s="138"/>
      <c r="AZ880" s="138"/>
      <c r="BA880" s="138"/>
      <c r="BB880" s="138"/>
      <c r="BC880" s="138"/>
      <c r="BD880" s="138"/>
      <c r="BE880" s="138"/>
      <c r="BF880" s="138"/>
      <c r="BG880" s="138"/>
      <c r="BH880" s="138"/>
      <c r="BI880" s="138"/>
      <c r="BJ880" s="138"/>
      <c r="BK880" s="138"/>
      <c r="BL880" s="138"/>
      <c r="BM880" s="138"/>
      <c r="BN880" s="138"/>
      <c r="BO880" s="138"/>
    </row>
    <row r="881" spans="1:67" x14ac:dyDescent="0.2">
      <c r="A881" s="243"/>
      <c r="B881" s="178"/>
      <c r="C881" s="179"/>
      <c r="D881" s="180"/>
      <c r="E881" s="180"/>
      <c r="F881" s="180"/>
      <c r="G881" s="180"/>
      <c r="H881" s="180"/>
      <c r="I881" s="397" t="s">
        <v>1244</v>
      </c>
      <c r="J881" s="396" t="s">
        <v>196</v>
      </c>
      <c r="K881" s="370">
        <f>50000*25%</f>
        <v>12500</v>
      </c>
      <c r="L881" s="185"/>
      <c r="M881" s="185"/>
      <c r="AV881" s="138"/>
      <c r="AW881" s="138"/>
      <c r="AX881" s="138"/>
      <c r="AY881" s="138"/>
      <c r="AZ881" s="138"/>
      <c r="BA881" s="138"/>
      <c r="BB881" s="138"/>
      <c r="BC881" s="138"/>
      <c r="BD881" s="138"/>
      <c r="BE881" s="138"/>
      <c r="BF881" s="138"/>
      <c r="BG881" s="138"/>
      <c r="BH881" s="138"/>
      <c r="BI881" s="138"/>
      <c r="BJ881" s="138"/>
      <c r="BK881" s="138"/>
      <c r="BL881" s="138"/>
      <c r="BM881" s="138"/>
      <c r="BN881" s="138"/>
      <c r="BO881" s="138"/>
    </row>
    <row r="882" spans="1:67" x14ac:dyDescent="0.2">
      <c r="A882" s="243"/>
      <c r="B882" s="178"/>
      <c r="C882" s="179"/>
      <c r="D882" s="180"/>
      <c r="E882" s="180"/>
      <c r="F882" s="180"/>
      <c r="G882" s="180"/>
      <c r="H882" s="180"/>
      <c r="I882" s="340" t="s">
        <v>1245</v>
      </c>
      <c r="J882" s="340" t="s">
        <v>1246</v>
      </c>
      <c r="K882" s="214">
        <f>50000*25%</f>
        <v>12500</v>
      </c>
      <c r="L882" s="185"/>
      <c r="M882" s="185"/>
      <c r="AV882" s="138"/>
      <c r="AW882" s="138"/>
      <c r="AX882" s="138"/>
      <c r="AY882" s="138"/>
      <c r="AZ882" s="138"/>
      <c r="BA882" s="138"/>
      <c r="BB882" s="138"/>
      <c r="BC882" s="138"/>
      <c r="BD882" s="138"/>
      <c r="BE882" s="138"/>
      <c r="BF882" s="138"/>
      <c r="BG882" s="138"/>
      <c r="BH882" s="138"/>
      <c r="BI882" s="138"/>
      <c r="BJ882" s="138"/>
      <c r="BK882" s="138"/>
      <c r="BL882" s="138"/>
      <c r="BM882" s="138"/>
      <c r="BN882" s="138"/>
      <c r="BO882" s="138"/>
    </row>
    <row r="883" spans="1:67" x14ac:dyDescent="0.2">
      <c r="A883" s="244"/>
      <c r="B883" s="190"/>
      <c r="C883" s="191"/>
      <c r="D883" s="192"/>
      <c r="E883" s="192"/>
      <c r="F883" s="192"/>
      <c r="G883" s="192"/>
      <c r="H883" s="192"/>
      <c r="I883" s="398"/>
      <c r="J883" s="333"/>
      <c r="K883" s="245">
        <f>SUM(K879:K882)</f>
        <v>50000</v>
      </c>
      <c r="L883" s="197"/>
      <c r="M883" s="197"/>
      <c r="AV883" s="138"/>
      <c r="AW883" s="138"/>
      <c r="AX883" s="138"/>
      <c r="AY883" s="138"/>
      <c r="AZ883" s="138"/>
      <c r="BA883" s="138"/>
      <c r="BB883" s="138"/>
      <c r="BC883" s="138"/>
      <c r="BD883" s="138"/>
      <c r="BE883" s="138"/>
      <c r="BF883" s="138"/>
      <c r="BG883" s="138"/>
      <c r="BH883" s="138"/>
      <c r="BI883" s="138"/>
      <c r="BJ883" s="138"/>
      <c r="BK883" s="138"/>
      <c r="BL883" s="138"/>
      <c r="BM883" s="138"/>
      <c r="BN883" s="138"/>
      <c r="BO883" s="138"/>
    </row>
    <row r="884" spans="1:67" ht="59.25" customHeight="1" x14ac:dyDescent="0.2">
      <c r="A884" s="260">
        <v>223</v>
      </c>
      <c r="B884" s="253" t="s">
        <v>1247</v>
      </c>
      <c r="C884" s="254" t="s">
        <v>1247</v>
      </c>
      <c r="D884" s="255" t="s">
        <v>107</v>
      </c>
      <c r="E884" s="256"/>
      <c r="F884" s="256"/>
      <c r="G884" s="256"/>
      <c r="H884" s="257"/>
      <c r="I884" s="280" t="s">
        <v>1248</v>
      </c>
      <c r="J884" s="300" t="s">
        <v>223</v>
      </c>
      <c r="K884" s="282">
        <v>20000</v>
      </c>
      <c r="L884" s="293" t="s">
        <v>111</v>
      </c>
      <c r="M884" s="215" t="s">
        <v>1249</v>
      </c>
      <c r="AV884" s="138"/>
      <c r="AW884" s="138"/>
      <c r="AX884" s="138"/>
      <c r="AY884" s="138"/>
      <c r="AZ884" s="138"/>
      <c r="BA884" s="138"/>
      <c r="BB884" s="138"/>
      <c r="BC884" s="138"/>
      <c r="BD884" s="138"/>
      <c r="BE884" s="138"/>
      <c r="BF884" s="138"/>
      <c r="BG884" s="138"/>
      <c r="BH884" s="138"/>
      <c r="BI884" s="138"/>
      <c r="BJ884" s="138"/>
      <c r="BK884" s="138"/>
      <c r="BL884" s="138"/>
      <c r="BM884" s="138"/>
      <c r="BN884" s="138"/>
      <c r="BO884" s="138"/>
    </row>
    <row r="885" spans="1:67" ht="53.25" customHeight="1" x14ac:dyDescent="0.2">
      <c r="A885" s="399">
        <v>224</v>
      </c>
      <c r="B885" s="253" t="s">
        <v>1250</v>
      </c>
      <c r="C885" s="254" t="s">
        <v>1250</v>
      </c>
      <c r="D885" s="255" t="s">
        <v>107</v>
      </c>
      <c r="E885" s="256"/>
      <c r="F885" s="256"/>
      <c r="G885" s="256"/>
      <c r="H885" s="257"/>
      <c r="I885" s="171" t="s">
        <v>1251</v>
      </c>
      <c r="J885" s="371" t="s">
        <v>223</v>
      </c>
      <c r="K885" s="370">
        <v>10000</v>
      </c>
      <c r="L885" s="293" t="s">
        <v>111</v>
      </c>
      <c r="M885" s="215" t="s">
        <v>1252</v>
      </c>
      <c r="AV885" s="138"/>
      <c r="AW885" s="138"/>
      <c r="AX885" s="138"/>
      <c r="AY885" s="138"/>
      <c r="AZ885" s="138"/>
      <c r="BA885" s="138"/>
      <c r="BB885" s="138"/>
      <c r="BC885" s="138"/>
      <c r="BD885" s="138"/>
      <c r="BE885" s="138"/>
      <c r="BF885" s="138"/>
      <c r="BG885" s="138"/>
      <c r="BH885" s="138"/>
      <c r="BI885" s="138"/>
      <c r="BJ885" s="138"/>
      <c r="BK885" s="138"/>
      <c r="BL885" s="138"/>
      <c r="BM885" s="138"/>
      <c r="BN885" s="138"/>
      <c r="BO885" s="138"/>
    </row>
    <row r="886" spans="1:67" ht="50.25" customHeight="1" x14ac:dyDescent="0.2">
      <c r="A886" s="399">
        <v>225</v>
      </c>
      <c r="B886" s="253" t="s">
        <v>1253</v>
      </c>
      <c r="C886" s="254" t="s">
        <v>1253</v>
      </c>
      <c r="D886" s="255" t="s">
        <v>107</v>
      </c>
      <c r="E886" s="256"/>
      <c r="F886" s="256"/>
      <c r="G886" s="256"/>
      <c r="H886" s="257"/>
      <c r="I886" s="280" t="s">
        <v>1251</v>
      </c>
      <c r="J886" s="300" t="s">
        <v>223</v>
      </c>
      <c r="K886" s="282">
        <v>10000</v>
      </c>
      <c r="L886" s="293" t="s">
        <v>111</v>
      </c>
      <c r="M886" s="215" t="s">
        <v>1254</v>
      </c>
      <c r="AV886" s="138"/>
      <c r="AW886" s="138"/>
      <c r="AX886" s="138"/>
      <c r="AY886" s="138"/>
      <c r="AZ886" s="138"/>
      <c r="BA886" s="138"/>
      <c r="BB886" s="138"/>
      <c r="BC886" s="138"/>
      <c r="BD886" s="138"/>
      <c r="BE886" s="138"/>
      <c r="BF886" s="138"/>
      <c r="BG886" s="138"/>
      <c r="BH886" s="138"/>
      <c r="BI886" s="138"/>
      <c r="BJ886" s="138"/>
      <c r="BK886" s="138"/>
      <c r="BL886" s="138"/>
      <c r="BM886" s="138"/>
      <c r="BN886" s="138"/>
      <c r="BO886" s="138"/>
    </row>
    <row r="887" spans="1:67" x14ac:dyDescent="0.2">
      <c r="A887" s="250">
        <v>226</v>
      </c>
      <c r="B887" s="168" t="s">
        <v>1255</v>
      </c>
      <c r="C887" s="169"/>
      <c r="D887" s="250" t="s">
        <v>107</v>
      </c>
      <c r="E887" s="170"/>
      <c r="F887" s="170"/>
      <c r="G887" s="170"/>
      <c r="H887" s="246"/>
      <c r="I887" s="217" t="s">
        <v>1256</v>
      </c>
      <c r="J887" s="375" t="s">
        <v>223</v>
      </c>
      <c r="K887" s="266">
        <f>10000*80%</f>
        <v>8000</v>
      </c>
      <c r="L887" s="169" t="s">
        <v>111</v>
      </c>
      <c r="M887" s="175" t="s">
        <v>1257</v>
      </c>
      <c r="AV887" s="138"/>
      <c r="AW887" s="138"/>
      <c r="AX887" s="138"/>
      <c r="AY887" s="138"/>
      <c r="AZ887" s="138"/>
      <c r="BA887" s="138"/>
      <c r="BB887" s="138"/>
      <c r="BC887" s="138"/>
      <c r="BD887" s="138"/>
      <c r="BE887" s="138"/>
      <c r="BF887" s="138"/>
      <c r="BG887" s="138"/>
      <c r="BH887" s="138"/>
      <c r="BI887" s="138"/>
      <c r="BJ887" s="138"/>
      <c r="BK887" s="138"/>
      <c r="BL887" s="138"/>
      <c r="BM887" s="138"/>
      <c r="BN887" s="138"/>
      <c r="BO887" s="138"/>
    </row>
    <row r="888" spans="1:67" x14ac:dyDescent="0.2">
      <c r="A888" s="243"/>
      <c r="B888" s="178"/>
      <c r="C888" s="179"/>
      <c r="D888" s="243"/>
      <c r="E888" s="180"/>
      <c r="F888" s="180"/>
      <c r="G888" s="180"/>
      <c r="H888" s="248"/>
      <c r="I888" s="171" t="s">
        <v>1258</v>
      </c>
      <c r="J888" s="207" t="s">
        <v>223</v>
      </c>
      <c r="K888" s="370">
        <f>10000*5%</f>
        <v>500</v>
      </c>
      <c r="L888" s="179"/>
      <c r="M888" s="185"/>
      <c r="AV888" s="138"/>
      <c r="AW888" s="138"/>
      <c r="AX888" s="138"/>
      <c r="AY888" s="138"/>
      <c r="AZ888" s="138"/>
      <c r="BA888" s="138"/>
      <c r="BB888" s="138"/>
      <c r="BC888" s="138"/>
      <c r="BD888" s="138"/>
      <c r="BE888" s="138"/>
      <c r="BF888" s="138"/>
      <c r="BG888" s="138"/>
      <c r="BH888" s="138"/>
      <c r="BI888" s="138"/>
      <c r="BJ888" s="138"/>
      <c r="BK888" s="138"/>
      <c r="BL888" s="138"/>
      <c r="BM888" s="138"/>
      <c r="BN888" s="138"/>
      <c r="BO888" s="138"/>
    </row>
    <row r="889" spans="1:67" x14ac:dyDescent="0.2">
      <c r="A889" s="243"/>
      <c r="B889" s="178"/>
      <c r="C889" s="179"/>
      <c r="D889" s="243"/>
      <c r="E889" s="180"/>
      <c r="F889" s="180"/>
      <c r="G889" s="180"/>
      <c r="H889" s="248"/>
      <c r="I889" s="181" t="s">
        <v>1259</v>
      </c>
      <c r="J889" s="207" t="s">
        <v>223</v>
      </c>
      <c r="K889" s="199">
        <f t="shared" ref="K889:K891" si="13">10000*5%</f>
        <v>500</v>
      </c>
      <c r="L889" s="179"/>
      <c r="M889" s="185"/>
      <c r="AV889" s="138"/>
      <c r="AW889" s="138"/>
      <c r="AX889" s="138"/>
      <c r="AY889" s="138"/>
      <c r="AZ889" s="138"/>
      <c r="BA889" s="138"/>
      <c r="BB889" s="138"/>
      <c r="BC889" s="138"/>
      <c r="BD889" s="138"/>
      <c r="BE889" s="138"/>
      <c r="BF889" s="138"/>
      <c r="BG889" s="138"/>
      <c r="BH889" s="138"/>
      <c r="BI889" s="138"/>
      <c r="BJ889" s="138"/>
      <c r="BK889" s="138"/>
      <c r="BL889" s="138"/>
      <c r="BM889" s="138"/>
      <c r="BN889" s="138"/>
      <c r="BO889" s="138"/>
    </row>
    <row r="890" spans="1:67" x14ac:dyDescent="0.2">
      <c r="A890" s="243"/>
      <c r="B890" s="178"/>
      <c r="C890" s="179"/>
      <c r="D890" s="243"/>
      <c r="E890" s="180"/>
      <c r="F890" s="180"/>
      <c r="G890" s="180"/>
      <c r="H890" s="248"/>
      <c r="I890" s="181" t="s">
        <v>1260</v>
      </c>
      <c r="J890" s="207" t="s">
        <v>223</v>
      </c>
      <c r="K890" s="199">
        <f t="shared" si="13"/>
        <v>500</v>
      </c>
      <c r="L890" s="179"/>
      <c r="M890" s="185"/>
      <c r="AV890" s="138"/>
      <c r="AW890" s="138"/>
      <c r="AX890" s="138"/>
      <c r="AY890" s="138"/>
      <c r="AZ890" s="138"/>
      <c r="BA890" s="138"/>
      <c r="BB890" s="138"/>
      <c r="BC890" s="138"/>
      <c r="BD890" s="138"/>
      <c r="BE890" s="138"/>
      <c r="BF890" s="138"/>
      <c r="BG890" s="138"/>
      <c r="BH890" s="138"/>
      <c r="BI890" s="138"/>
      <c r="BJ890" s="138"/>
      <c r="BK890" s="138"/>
      <c r="BL890" s="138"/>
      <c r="BM890" s="138"/>
      <c r="BN890" s="138"/>
      <c r="BO890" s="138"/>
    </row>
    <row r="891" spans="1:67" x14ac:dyDescent="0.2">
      <c r="A891" s="243"/>
      <c r="B891" s="178"/>
      <c r="C891" s="179"/>
      <c r="D891" s="243"/>
      <c r="E891" s="180"/>
      <c r="F891" s="180"/>
      <c r="G891" s="180"/>
      <c r="H891" s="248"/>
      <c r="I891" s="181" t="s">
        <v>1261</v>
      </c>
      <c r="J891" s="207" t="s">
        <v>223</v>
      </c>
      <c r="K891" s="199">
        <f t="shared" si="13"/>
        <v>500</v>
      </c>
      <c r="L891" s="179"/>
      <c r="M891" s="185"/>
      <c r="AV891" s="138"/>
      <c r="AW891" s="138"/>
      <c r="AX891" s="138"/>
      <c r="AY891" s="138"/>
      <c r="AZ891" s="138"/>
      <c r="BA891" s="138"/>
      <c r="BB891" s="138"/>
      <c r="BC891" s="138"/>
      <c r="BD891" s="138"/>
      <c r="BE891" s="138"/>
      <c r="BF891" s="138"/>
      <c r="BG891" s="138"/>
      <c r="BH891" s="138"/>
      <c r="BI891" s="138"/>
      <c r="BJ891" s="138"/>
      <c r="BK891" s="138"/>
      <c r="BL891" s="138"/>
      <c r="BM891" s="138"/>
      <c r="BN891" s="138"/>
      <c r="BO891" s="138"/>
    </row>
    <row r="892" spans="1:67" x14ac:dyDescent="0.2">
      <c r="A892" s="244"/>
      <c r="B892" s="190"/>
      <c r="C892" s="191"/>
      <c r="D892" s="244"/>
      <c r="E892" s="192"/>
      <c r="F892" s="192"/>
      <c r="G892" s="192"/>
      <c r="H892" s="249"/>
      <c r="I892" s="203"/>
      <c r="J892" s="204"/>
      <c r="K892" s="245">
        <f>SUM(K887:K891)</f>
        <v>10000</v>
      </c>
      <c r="L892" s="191"/>
      <c r="M892" s="197"/>
      <c r="AV892" s="138"/>
      <c r="AW892" s="138"/>
      <c r="AX892" s="138"/>
      <c r="AY892" s="138"/>
      <c r="AZ892" s="138"/>
      <c r="BA892" s="138"/>
      <c r="BB892" s="138"/>
      <c r="BC892" s="138"/>
      <c r="BD892" s="138"/>
      <c r="BE892" s="138"/>
      <c r="BF892" s="138"/>
      <c r="BG892" s="138"/>
      <c r="BH892" s="138"/>
      <c r="BI892" s="138"/>
      <c r="BJ892" s="138"/>
      <c r="BK892" s="138"/>
      <c r="BL892" s="138"/>
      <c r="BM892" s="138"/>
      <c r="BN892" s="138"/>
      <c r="BO892" s="138"/>
    </row>
    <row r="893" spans="1:67" ht="54" customHeight="1" x14ac:dyDescent="0.2">
      <c r="A893" s="399">
        <v>227</v>
      </c>
      <c r="B893" s="253" t="s">
        <v>1262</v>
      </c>
      <c r="C893" s="254" t="s">
        <v>1262</v>
      </c>
      <c r="D893" s="255" t="s">
        <v>107</v>
      </c>
      <c r="E893" s="256"/>
      <c r="F893" s="256"/>
      <c r="G893" s="256"/>
      <c r="H893" s="257"/>
      <c r="I893" s="280" t="s">
        <v>1263</v>
      </c>
      <c r="J893" s="300" t="s">
        <v>223</v>
      </c>
      <c r="K893" s="282">
        <v>8000</v>
      </c>
      <c r="L893" s="293" t="s">
        <v>111</v>
      </c>
      <c r="M893" s="215" t="s">
        <v>1264</v>
      </c>
      <c r="AV893" s="138"/>
      <c r="AW893" s="138"/>
      <c r="AX893" s="138"/>
      <c r="AY893" s="138"/>
      <c r="AZ893" s="138"/>
      <c r="BA893" s="138"/>
      <c r="BB893" s="138"/>
      <c r="BC893" s="138"/>
      <c r="BD893" s="138"/>
      <c r="BE893" s="138"/>
      <c r="BF893" s="138"/>
      <c r="BG893" s="138"/>
      <c r="BH893" s="138"/>
      <c r="BI893" s="138"/>
      <c r="BJ893" s="138"/>
      <c r="BK893" s="138"/>
      <c r="BL893" s="138"/>
      <c r="BM893" s="138"/>
      <c r="BN893" s="138"/>
      <c r="BO893" s="138"/>
    </row>
    <row r="894" spans="1:67" ht="72.75" customHeight="1" x14ac:dyDescent="0.2">
      <c r="A894" s="399">
        <v>228</v>
      </c>
      <c r="B894" s="253" t="s">
        <v>1265</v>
      </c>
      <c r="C894" s="254" t="s">
        <v>1265</v>
      </c>
      <c r="D894" s="255" t="s">
        <v>107</v>
      </c>
      <c r="E894" s="256"/>
      <c r="F894" s="256"/>
      <c r="G894" s="256"/>
      <c r="H894" s="257"/>
      <c r="I894" s="171" t="s">
        <v>1266</v>
      </c>
      <c r="J894" s="371" t="s">
        <v>223</v>
      </c>
      <c r="K894" s="370">
        <v>18000</v>
      </c>
      <c r="L894" s="293" t="s">
        <v>111</v>
      </c>
      <c r="M894" s="215" t="s">
        <v>1267</v>
      </c>
      <c r="AV894" s="138"/>
      <c r="AW894" s="138"/>
      <c r="AX894" s="138"/>
      <c r="AY894" s="138"/>
      <c r="AZ894" s="138"/>
      <c r="BA894" s="138"/>
      <c r="BB894" s="138"/>
      <c r="BC894" s="138"/>
      <c r="BD894" s="138"/>
      <c r="BE894" s="138"/>
      <c r="BF894" s="138"/>
      <c r="BG894" s="138"/>
      <c r="BH894" s="138"/>
      <c r="BI894" s="138"/>
      <c r="BJ894" s="138"/>
      <c r="BK894" s="138"/>
      <c r="BL894" s="138"/>
      <c r="BM894" s="138"/>
      <c r="BN894" s="138"/>
      <c r="BO894" s="138"/>
    </row>
    <row r="895" spans="1:67" ht="65.25" customHeight="1" x14ac:dyDescent="0.2">
      <c r="A895" s="399">
        <v>229</v>
      </c>
      <c r="B895" s="253" t="s">
        <v>1268</v>
      </c>
      <c r="C895" s="254" t="s">
        <v>1268</v>
      </c>
      <c r="D895" s="255" t="s">
        <v>107</v>
      </c>
      <c r="E895" s="256"/>
      <c r="F895" s="256"/>
      <c r="G895" s="256"/>
      <c r="H895" s="257"/>
      <c r="I895" s="280" t="s">
        <v>1269</v>
      </c>
      <c r="J895" s="300" t="s">
        <v>223</v>
      </c>
      <c r="K895" s="282">
        <v>50000</v>
      </c>
      <c r="L895" s="293" t="s">
        <v>111</v>
      </c>
      <c r="M895" s="215" t="s">
        <v>1270</v>
      </c>
      <c r="AV895" s="138"/>
      <c r="AW895" s="138"/>
      <c r="AX895" s="138"/>
      <c r="AY895" s="138"/>
      <c r="AZ895" s="138"/>
      <c r="BA895" s="138"/>
      <c r="BB895" s="138"/>
      <c r="BC895" s="138"/>
      <c r="BD895" s="138"/>
      <c r="BE895" s="138"/>
      <c r="BF895" s="138"/>
      <c r="BG895" s="138"/>
      <c r="BH895" s="138"/>
      <c r="BI895" s="138"/>
      <c r="BJ895" s="138"/>
      <c r="BK895" s="138"/>
      <c r="BL895" s="138"/>
      <c r="BM895" s="138"/>
      <c r="BN895" s="138"/>
      <c r="BO895" s="138"/>
    </row>
    <row r="896" spans="1:67" x14ac:dyDescent="0.2">
      <c r="A896" s="250">
        <v>230</v>
      </c>
      <c r="B896" s="168" t="s">
        <v>1271</v>
      </c>
      <c r="C896" s="169"/>
      <c r="D896" s="250" t="s">
        <v>107</v>
      </c>
      <c r="E896" s="170"/>
      <c r="F896" s="170"/>
      <c r="G896" s="170"/>
      <c r="H896" s="246"/>
      <c r="I896" s="296" t="s">
        <v>1272</v>
      </c>
      <c r="J896" s="375" t="s">
        <v>223</v>
      </c>
      <c r="K896" s="363">
        <f>63000*80%</f>
        <v>50400</v>
      </c>
      <c r="L896" s="169" t="s">
        <v>111</v>
      </c>
      <c r="M896" s="175" t="s">
        <v>1273</v>
      </c>
      <c r="AV896" s="138"/>
      <c r="AW896" s="138"/>
      <c r="AX896" s="138"/>
      <c r="AY896" s="138"/>
      <c r="AZ896" s="138"/>
      <c r="BA896" s="138"/>
      <c r="BB896" s="138"/>
      <c r="BC896" s="138"/>
      <c r="BD896" s="138"/>
      <c r="BE896" s="138"/>
      <c r="BF896" s="138"/>
      <c r="BG896" s="138"/>
      <c r="BH896" s="138"/>
      <c r="BI896" s="138"/>
      <c r="BJ896" s="138"/>
      <c r="BK896" s="138"/>
      <c r="BL896" s="138"/>
      <c r="BM896" s="138"/>
      <c r="BN896" s="138"/>
      <c r="BO896" s="138"/>
    </row>
    <row r="897" spans="1:67" x14ac:dyDescent="0.2">
      <c r="A897" s="243"/>
      <c r="B897" s="178"/>
      <c r="C897" s="179"/>
      <c r="D897" s="243"/>
      <c r="E897" s="180"/>
      <c r="F897" s="180"/>
      <c r="G897" s="180"/>
      <c r="H897" s="248"/>
      <c r="I897" s="181" t="s">
        <v>1274</v>
      </c>
      <c r="J897" s="207" t="s">
        <v>223</v>
      </c>
      <c r="K897" s="400">
        <f>63000*20%</f>
        <v>12600</v>
      </c>
      <c r="L897" s="179"/>
      <c r="M897" s="185"/>
      <c r="AV897" s="138"/>
      <c r="AW897" s="138"/>
      <c r="AX897" s="138"/>
      <c r="AY897" s="138"/>
      <c r="AZ897" s="138"/>
      <c r="BA897" s="138"/>
      <c r="BB897" s="138"/>
      <c r="BC897" s="138"/>
      <c r="BD897" s="138"/>
      <c r="BE897" s="138"/>
      <c r="BF897" s="138"/>
      <c r="BG897" s="138"/>
      <c r="BH897" s="138"/>
      <c r="BI897" s="138"/>
      <c r="BJ897" s="138"/>
      <c r="BK897" s="138"/>
      <c r="BL897" s="138"/>
      <c r="BM897" s="138"/>
      <c r="BN897" s="138"/>
      <c r="BO897" s="138"/>
    </row>
    <row r="898" spans="1:67" x14ac:dyDescent="0.2">
      <c r="A898" s="244"/>
      <c r="B898" s="190"/>
      <c r="C898" s="191"/>
      <c r="D898" s="244"/>
      <c r="E898" s="192"/>
      <c r="F898" s="192"/>
      <c r="G898" s="192"/>
      <c r="H898" s="249"/>
      <c r="I898" s="203"/>
      <c r="J898" s="369"/>
      <c r="K898" s="401">
        <f>SUM(K896:K897)</f>
        <v>63000</v>
      </c>
      <c r="L898" s="191"/>
      <c r="M898" s="197"/>
      <c r="AV898" s="138"/>
      <c r="AW898" s="138"/>
      <c r="AX898" s="138"/>
      <c r="AY898" s="138"/>
      <c r="AZ898" s="138"/>
      <c r="BA898" s="138"/>
      <c r="BB898" s="138"/>
      <c r="BC898" s="138"/>
      <c r="BD898" s="138"/>
      <c r="BE898" s="138"/>
      <c r="BF898" s="138"/>
      <c r="BG898" s="138"/>
      <c r="BH898" s="138"/>
      <c r="BI898" s="138"/>
      <c r="BJ898" s="138"/>
      <c r="BK898" s="138"/>
      <c r="BL898" s="138"/>
      <c r="BM898" s="138"/>
      <c r="BN898" s="138"/>
      <c r="BO898" s="138"/>
    </row>
    <row r="899" spans="1:67" x14ac:dyDescent="0.2">
      <c r="A899" s="250">
        <v>231</v>
      </c>
      <c r="B899" s="168" t="s">
        <v>1275</v>
      </c>
      <c r="C899" s="169"/>
      <c r="D899" s="250" t="s">
        <v>163</v>
      </c>
      <c r="E899" s="170"/>
      <c r="F899" s="170"/>
      <c r="G899" s="170"/>
      <c r="H899" s="246" t="s">
        <v>137</v>
      </c>
      <c r="I899" s="171" t="s">
        <v>1276</v>
      </c>
      <c r="J899" s="371" t="s">
        <v>223</v>
      </c>
      <c r="K899" s="266">
        <f>193950*40%</f>
        <v>77580</v>
      </c>
      <c r="L899" s="169" t="s">
        <v>324</v>
      </c>
      <c r="M899" s="175" t="s">
        <v>1277</v>
      </c>
      <c r="AV899" s="138"/>
      <c r="AW899" s="138"/>
      <c r="AX899" s="138"/>
      <c r="AY899" s="138"/>
      <c r="AZ899" s="138"/>
      <c r="BA899" s="138"/>
      <c r="BB899" s="138"/>
      <c r="BC899" s="138"/>
      <c r="BD899" s="138"/>
      <c r="BE899" s="138"/>
      <c r="BF899" s="138"/>
      <c r="BG899" s="138"/>
      <c r="BH899" s="138"/>
      <c r="BI899" s="138"/>
      <c r="BJ899" s="138"/>
      <c r="BK899" s="138"/>
      <c r="BL899" s="138"/>
      <c r="BM899" s="138"/>
      <c r="BN899" s="138"/>
      <c r="BO899" s="138"/>
    </row>
    <row r="900" spans="1:67" x14ac:dyDescent="0.2">
      <c r="A900" s="243"/>
      <c r="B900" s="178"/>
      <c r="C900" s="179"/>
      <c r="D900" s="243"/>
      <c r="E900" s="180"/>
      <c r="F900" s="180"/>
      <c r="G900" s="180"/>
      <c r="H900" s="248"/>
      <c r="I900" s="181" t="s">
        <v>1278</v>
      </c>
      <c r="J900" s="207" t="s">
        <v>223</v>
      </c>
      <c r="K900" s="370">
        <f>193950*30%</f>
        <v>58185</v>
      </c>
      <c r="L900" s="179"/>
      <c r="M900" s="185"/>
      <c r="AV900" s="138"/>
      <c r="AW900" s="138"/>
      <c r="AX900" s="138"/>
      <c r="AY900" s="138"/>
      <c r="AZ900" s="138"/>
      <c r="BA900" s="138"/>
      <c r="BB900" s="138"/>
      <c r="BC900" s="138"/>
      <c r="BD900" s="138"/>
      <c r="BE900" s="138"/>
      <c r="BF900" s="138"/>
      <c r="BG900" s="138"/>
      <c r="BH900" s="138"/>
      <c r="BI900" s="138"/>
      <c r="BJ900" s="138"/>
      <c r="BK900" s="138"/>
      <c r="BL900" s="138"/>
      <c r="BM900" s="138"/>
      <c r="BN900" s="138"/>
      <c r="BO900" s="138"/>
    </row>
    <row r="901" spans="1:67" x14ac:dyDescent="0.2">
      <c r="A901" s="243"/>
      <c r="B901" s="178"/>
      <c r="C901" s="179"/>
      <c r="D901" s="243"/>
      <c r="E901" s="180"/>
      <c r="F901" s="180"/>
      <c r="G901" s="180"/>
      <c r="H901" s="248"/>
      <c r="I901" s="181" t="s">
        <v>1212</v>
      </c>
      <c r="J901" s="207" t="s">
        <v>223</v>
      </c>
      <c r="K901" s="214">
        <f>193950*30%</f>
        <v>58185</v>
      </c>
      <c r="L901" s="179"/>
      <c r="M901" s="185"/>
      <c r="AV901" s="138"/>
      <c r="AW901" s="138"/>
      <c r="AX901" s="138"/>
      <c r="AY901" s="138"/>
      <c r="AZ901" s="138"/>
      <c r="BA901" s="138"/>
      <c r="BB901" s="138"/>
      <c r="BC901" s="138"/>
      <c r="BD901" s="138"/>
      <c r="BE901" s="138"/>
      <c r="BF901" s="138"/>
      <c r="BG901" s="138"/>
      <c r="BH901" s="138"/>
      <c r="BI901" s="138"/>
      <c r="BJ901" s="138"/>
      <c r="BK901" s="138"/>
      <c r="BL901" s="138"/>
      <c r="BM901" s="138"/>
      <c r="BN901" s="138"/>
      <c r="BO901" s="138"/>
    </row>
    <row r="902" spans="1:67" x14ac:dyDescent="0.2">
      <c r="A902" s="244"/>
      <c r="B902" s="190"/>
      <c r="C902" s="191"/>
      <c r="D902" s="244"/>
      <c r="E902" s="192"/>
      <c r="F902" s="192"/>
      <c r="G902" s="192"/>
      <c r="H902" s="249"/>
      <c r="I902" s="203"/>
      <c r="J902" s="371"/>
      <c r="K902" s="370">
        <f>SUM(K899:K901)</f>
        <v>193950</v>
      </c>
      <c r="L902" s="191"/>
      <c r="M902" s="197"/>
      <c r="AV902" s="138"/>
      <c r="AW902" s="138"/>
      <c r="AX902" s="138"/>
      <c r="AY902" s="138"/>
      <c r="AZ902" s="138"/>
      <c r="BA902" s="138"/>
      <c r="BB902" s="138"/>
      <c r="BC902" s="138"/>
      <c r="BD902" s="138"/>
      <c r="BE902" s="138"/>
      <c r="BF902" s="138"/>
      <c r="BG902" s="138"/>
      <c r="BH902" s="138"/>
      <c r="BI902" s="138"/>
      <c r="BJ902" s="138"/>
      <c r="BK902" s="138"/>
      <c r="BL902" s="138"/>
      <c r="BM902" s="138"/>
      <c r="BN902" s="138"/>
      <c r="BO902" s="138"/>
    </row>
    <row r="903" spans="1:67" ht="24" customHeight="1" x14ac:dyDescent="0.2">
      <c r="A903" s="250">
        <v>232</v>
      </c>
      <c r="B903" s="168" t="s">
        <v>1279</v>
      </c>
      <c r="C903" s="169"/>
      <c r="D903" s="250" t="s">
        <v>25</v>
      </c>
      <c r="E903" s="170"/>
      <c r="F903" s="170"/>
      <c r="G903" s="170" t="s">
        <v>1134</v>
      </c>
      <c r="H903" s="170"/>
      <c r="I903" s="296" t="s">
        <v>1280</v>
      </c>
      <c r="J903" s="259" t="s">
        <v>223</v>
      </c>
      <c r="K903" s="266">
        <f>400000*60%</f>
        <v>240000</v>
      </c>
      <c r="L903" s="175" t="s">
        <v>1134</v>
      </c>
      <c r="M903" s="175" t="s">
        <v>1281</v>
      </c>
      <c r="AV903" s="138"/>
      <c r="AW903" s="138"/>
      <c r="AX903" s="138"/>
      <c r="AY903" s="138"/>
      <c r="AZ903" s="138"/>
      <c r="BA903" s="138"/>
      <c r="BB903" s="138"/>
      <c r="BC903" s="138"/>
      <c r="BD903" s="138"/>
      <c r="BE903" s="138"/>
      <c r="BF903" s="138"/>
      <c r="BG903" s="138"/>
      <c r="BH903" s="138"/>
      <c r="BI903" s="138"/>
      <c r="BJ903" s="138"/>
      <c r="BK903" s="138"/>
      <c r="BL903" s="138"/>
      <c r="BM903" s="138"/>
      <c r="BN903" s="138"/>
      <c r="BO903" s="138"/>
    </row>
    <row r="904" spans="1:67" ht="24" customHeight="1" x14ac:dyDescent="0.2">
      <c r="A904" s="243"/>
      <c r="B904" s="178"/>
      <c r="C904" s="179"/>
      <c r="D904" s="243"/>
      <c r="E904" s="180"/>
      <c r="F904" s="180"/>
      <c r="G904" s="180"/>
      <c r="H904" s="180"/>
      <c r="I904" s="188" t="s">
        <v>1274</v>
      </c>
      <c r="J904" s="226" t="s">
        <v>223</v>
      </c>
      <c r="K904" s="351">
        <f>400000*20%</f>
        <v>80000</v>
      </c>
      <c r="L904" s="185"/>
      <c r="M904" s="185"/>
      <c r="AV904" s="138"/>
      <c r="AW904" s="138"/>
      <c r="AX904" s="138"/>
      <c r="AY904" s="138"/>
      <c r="AZ904" s="138"/>
      <c r="BA904" s="138"/>
      <c r="BB904" s="138"/>
      <c r="BC904" s="138"/>
      <c r="BD904" s="138"/>
      <c r="BE904" s="138"/>
      <c r="BF904" s="138"/>
      <c r="BG904" s="138"/>
      <c r="BH904" s="138"/>
      <c r="BI904" s="138"/>
      <c r="BJ904" s="138"/>
      <c r="BK904" s="138"/>
      <c r="BL904" s="138"/>
      <c r="BM904" s="138"/>
      <c r="BN904" s="138"/>
      <c r="BO904" s="138"/>
    </row>
    <row r="905" spans="1:67" ht="24" customHeight="1" x14ac:dyDescent="0.2">
      <c r="A905" s="243"/>
      <c r="B905" s="178"/>
      <c r="C905" s="179"/>
      <c r="D905" s="243"/>
      <c r="E905" s="180"/>
      <c r="F905" s="180"/>
      <c r="G905" s="180"/>
      <c r="H905" s="180"/>
      <c r="I905" s="171" t="s">
        <v>1282</v>
      </c>
      <c r="J905" s="226" t="s">
        <v>223</v>
      </c>
      <c r="K905" s="214">
        <f>400000*20%</f>
        <v>80000</v>
      </c>
      <c r="L905" s="185"/>
      <c r="M905" s="185"/>
      <c r="AV905" s="138"/>
      <c r="AW905" s="138"/>
      <c r="AX905" s="138"/>
      <c r="AY905" s="138"/>
      <c r="AZ905" s="138"/>
      <c r="BA905" s="138"/>
      <c r="BB905" s="138"/>
      <c r="BC905" s="138"/>
      <c r="BD905" s="138"/>
      <c r="BE905" s="138"/>
      <c r="BF905" s="138"/>
      <c r="BG905" s="138"/>
      <c r="BH905" s="138"/>
      <c r="BI905" s="138"/>
      <c r="BJ905" s="138"/>
      <c r="BK905" s="138"/>
      <c r="BL905" s="138"/>
      <c r="BM905" s="138"/>
      <c r="BN905" s="138"/>
      <c r="BO905" s="138"/>
    </row>
    <row r="906" spans="1:67" ht="24" customHeight="1" x14ac:dyDescent="0.2">
      <c r="A906" s="244"/>
      <c r="B906" s="190"/>
      <c r="C906" s="191"/>
      <c r="D906" s="244"/>
      <c r="E906" s="192"/>
      <c r="F906" s="192"/>
      <c r="G906" s="192"/>
      <c r="H906" s="192"/>
      <c r="I906" s="203"/>
      <c r="J906" s="204"/>
      <c r="K906" s="351">
        <f>SUM(K903:K905)</f>
        <v>400000</v>
      </c>
      <c r="L906" s="197"/>
      <c r="M906" s="197"/>
      <c r="AV906" s="138"/>
      <c r="AW906" s="138"/>
      <c r="AX906" s="138"/>
      <c r="AY906" s="138"/>
      <c r="AZ906" s="138"/>
      <c r="BA906" s="138"/>
      <c r="BB906" s="138"/>
      <c r="BC906" s="138"/>
      <c r="BD906" s="138"/>
      <c r="BE906" s="138"/>
      <c r="BF906" s="138"/>
      <c r="BG906" s="138"/>
      <c r="BH906" s="138"/>
      <c r="BI906" s="138"/>
      <c r="BJ906" s="138"/>
      <c r="BK906" s="138"/>
      <c r="BL906" s="138"/>
      <c r="BM906" s="138"/>
      <c r="BN906" s="138"/>
      <c r="BO906" s="138"/>
    </row>
    <row r="907" spans="1:67" s="267" customFormat="1" ht="24" customHeight="1" x14ac:dyDescent="0.2">
      <c r="A907" s="399">
        <v>233</v>
      </c>
      <c r="B907" s="402" t="s">
        <v>1283</v>
      </c>
      <c r="C907" s="403"/>
      <c r="D907" s="295" t="s">
        <v>107</v>
      </c>
      <c r="E907" s="295"/>
      <c r="F907" s="295"/>
      <c r="G907" s="295"/>
      <c r="H907" s="295"/>
      <c r="I907" s="280" t="s">
        <v>1284</v>
      </c>
      <c r="J907" s="281" t="s">
        <v>223</v>
      </c>
      <c r="K907" s="282">
        <v>50000</v>
      </c>
      <c r="L907" s="293" t="s">
        <v>111</v>
      </c>
      <c r="M907" s="259" t="s">
        <v>1285</v>
      </c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  <c r="AF907" s="138"/>
      <c r="AG907" s="138"/>
      <c r="AH907" s="138"/>
      <c r="AI907" s="138"/>
      <c r="AJ907" s="138"/>
      <c r="AK907" s="138"/>
      <c r="AL907" s="138"/>
      <c r="AM907" s="138"/>
      <c r="AN907" s="138"/>
      <c r="AO907" s="138"/>
      <c r="AP907" s="138"/>
      <c r="AQ907" s="138"/>
      <c r="AR907" s="138"/>
      <c r="AS907" s="138"/>
      <c r="AT907" s="138"/>
      <c r="AU907" s="138"/>
      <c r="AV907" s="138"/>
      <c r="AW907" s="138"/>
      <c r="AX907" s="138"/>
      <c r="AY907" s="138"/>
      <c r="AZ907" s="138"/>
      <c r="BA907" s="138"/>
      <c r="BB907" s="138"/>
      <c r="BC907" s="138"/>
      <c r="BD907" s="138"/>
      <c r="BE907" s="138"/>
      <c r="BF907" s="138"/>
      <c r="BG907" s="138"/>
      <c r="BH907" s="138"/>
      <c r="BI907" s="138"/>
      <c r="BJ907" s="138"/>
      <c r="BK907" s="138"/>
      <c r="BL907" s="138"/>
      <c r="BM907" s="138"/>
      <c r="BN907" s="138"/>
      <c r="BO907" s="138"/>
    </row>
    <row r="908" spans="1:67" s="267" customFormat="1" ht="24" customHeight="1" x14ac:dyDescent="0.2">
      <c r="A908" s="399">
        <v>234</v>
      </c>
      <c r="B908" s="402" t="s">
        <v>1286</v>
      </c>
      <c r="C908" s="403"/>
      <c r="D908" s="295" t="s">
        <v>107</v>
      </c>
      <c r="E908" s="295"/>
      <c r="F908" s="295"/>
      <c r="G908" s="295"/>
      <c r="H908" s="295"/>
      <c r="I908" s="280" t="s">
        <v>1284</v>
      </c>
      <c r="J908" s="281" t="s">
        <v>223</v>
      </c>
      <c r="K908" s="282">
        <v>63000</v>
      </c>
      <c r="L908" s="293" t="s">
        <v>111</v>
      </c>
      <c r="M908" s="259" t="s">
        <v>1287</v>
      </c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  <c r="AC908" s="138"/>
      <c r="AD908" s="138"/>
      <c r="AE908" s="138"/>
      <c r="AF908" s="138"/>
      <c r="AG908" s="138"/>
      <c r="AH908" s="138"/>
      <c r="AI908" s="138"/>
      <c r="AJ908" s="138"/>
      <c r="AK908" s="138"/>
      <c r="AL908" s="138"/>
      <c r="AM908" s="138"/>
      <c r="AN908" s="138"/>
      <c r="AO908" s="138"/>
      <c r="AP908" s="138"/>
      <c r="AQ908" s="138"/>
      <c r="AR908" s="138"/>
      <c r="AS908" s="138"/>
      <c r="AT908" s="138"/>
      <c r="AU908" s="138"/>
      <c r="AV908" s="138"/>
      <c r="AW908" s="138"/>
      <c r="AX908" s="138"/>
      <c r="AY908" s="138"/>
      <c r="AZ908" s="138"/>
      <c r="BA908" s="138"/>
      <c r="BB908" s="138"/>
      <c r="BC908" s="138"/>
      <c r="BD908" s="138"/>
      <c r="BE908" s="138"/>
      <c r="BF908" s="138"/>
      <c r="BG908" s="138"/>
      <c r="BH908" s="138"/>
      <c r="BI908" s="138"/>
      <c r="BJ908" s="138"/>
      <c r="BK908" s="138"/>
      <c r="BL908" s="138"/>
      <c r="BM908" s="138"/>
      <c r="BN908" s="138"/>
      <c r="BO908" s="138"/>
    </row>
    <row r="909" spans="1:67" s="267" customFormat="1" ht="51" customHeight="1" x14ac:dyDescent="0.2">
      <c r="A909" s="399">
        <v>235</v>
      </c>
      <c r="B909" s="298" t="s">
        <v>1288</v>
      </c>
      <c r="C909" s="299"/>
      <c r="D909" s="295" t="s">
        <v>107</v>
      </c>
      <c r="E909" s="295"/>
      <c r="F909" s="295"/>
      <c r="G909" s="295"/>
      <c r="H909" s="295"/>
      <c r="I909" s="280" t="s">
        <v>1289</v>
      </c>
      <c r="J909" s="281" t="s">
        <v>223</v>
      </c>
      <c r="K909" s="282">
        <v>10000</v>
      </c>
      <c r="L909" s="293" t="s">
        <v>111</v>
      </c>
      <c r="M909" s="259" t="s">
        <v>1290</v>
      </c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  <c r="AC909" s="138"/>
      <c r="AD909" s="138"/>
      <c r="AE909" s="138"/>
      <c r="AF909" s="138"/>
      <c r="AG909" s="138"/>
      <c r="AH909" s="138"/>
      <c r="AI909" s="138"/>
      <c r="AJ909" s="138"/>
      <c r="AK909" s="138"/>
      <c r="AL909" s="138"/>
      <c r="AM909" s="138"/>
      <c r="AN909" s="138"/>
      <c r="AO909" s="138"/>
      <c r="AP909" s="138"/>
      <c r="AQ909" s="138"/>
      <c r="AR909" s="138"/>
      <c r="AS909" s="138"/>
      <c r="AT909" s="138"/>
      <c r="AU909" s="138"/>
      <c r="AV909" s="138"/>
      <c r="AW909" s="138"/>
      <c r="AX909" s="138"/>
      <c r="AY909" s="138"/>
      <c r="AZ909" s="138"/>
      <c r="BA909" s="138"/>
      <c r="BB909" s="138"/>
      <c r="BC909" s="138"/>
      <c r="BD909" s="138"/>
      <c r="BE909" s="138"/>
      <c r="BF909" s="138"/>
      <c r="BG909" s="138"/>
      <c r="BH909" s="138"/>
      <c r="BI909" s="138"/>
      <c r="BJ909" s="138"/>
      <c r="BK909" s="138"/>
      <c r="BL909" s="138"/>
      <c r="BM909" s="138"/>
      <c r="BN909" s="138"/>
      <c r="BO909" s="138"/>
    </row>
    <row r="910" spans="1:67" s="267" customFormat="1" ht="24" customHeight="1" x14ac:dyDescent="0.2">
      <c r="A910" s="250">
        <v>236</v>
      </c>
      <c r="B910" s="263" t="s">
        <v>1291</v>
      </c>
      <c r="C910" s="264"/>
      <c r="D910" s="170" t="s">
        <v>107</v>
      </c>
      <c r="E910" s="170"/>
      <c r="F910" s="170"/>
      <c r="G910" s="170"/>
      <c r="H910" s="170" t="s">
        <v>164</v>
      </c>
      <c r="I910" s="217" t="s">
        <v>1292</v>
      </c>
      <c r="J910" s="265" t="s">
        <v>223</v>
      </c>
      <c r="K910" s="266">
        <f>50000*80%</f>
        <v>40000</v>
      </c>
      <c r="L910" s="175" t="s">
        <v>111</v>
      </c>
      <c r="M910" s="175" t="s">
        <v>1293</v>
      </c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  <c r="AC910" s="138"/>
      <c r="AD910" s="138"/>
      <c r="AE910" s="138"/>
      <c r="AF910" s="138"/>
      <c r="AG910" s="138"/>
      <c r="AH910" s="138"/>
      <c r="AI910" s="138"/>
      <c r="AJ910" s="138"/>
      <c r="AK910" s="138"/>
      <c r="AL910" s="138"/>
      <c r="AM910" s="138"/>
      <c r="AN910" s="138"/>
      <c r="AO910" s="138"/>
      <c r="AP910" s="138"/>
      <c r="AQ910" s="138"/>
      <c r="AR910" s="138"/>
      <c r="AS910" s="138"/>
      <c r="AT910" s="138"/>
      <c r="AU910" s="138"/>
      <c r="AV910" s="138"/>
      <c r="AW910" s="138"/>
      <c r="AX910" s="138"/>
      <c r="AY910" s="138"/>
      <c r="AZ910" s="138"/>
      <c r="BA910" s="138"/>
      <c r="BB910" s="138"/>
      <c r="BC910" s="138"/>
      <c r="BD910" s="138"/>
      <c r="BE910" s="138"/>
      <c r="BF910" s="138"/>
      <c r="BG910" s="138"/>
      <c r="BH910" s="138"/>
      <c r="BI910" s="138"/>
      <c r="BJ910" s="138"/>
      <c r="BK910" s="138"/>
      <c r="BL910" s="138"/>
      <c r="BM910" s="138"/>
      <c r="BN910" s="138"/>
      <c r="BO910" s="138"/>
    </row>
    <row r="911" spans="1:67" s="267" customFormat="1" ht="24" customHeight="1" x14ac:dyDescent="0.2">
      <c r="A911" s="243"/>
      <c r="B911" s="268"/>
      <c r="C911" s="269"/>
      <c r="D911" s="180"/>
      <c r="E911" s="180"/>
      <c r="F911" s="180"/>
      <c r="G911" s="180"/>
      <c r="H911" s="180"/>
      <c r="I911" s="188" t="s">
        <v>1294</v>
      </c>
      <c r="J911" s="270" t="s">
        <v>223</v>
      </c>
      <c r="K911" s="214">
        <f>50000*20%</f>
        <v>10000</v>
      </c>
      <c r="L911" s="185"/>
      <c r="M911" s="185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  <c r="AC911" s="138"/>
      <c r="AD911" s="138"/>
      <c r="AE911" s="138"/>
      <c r="AF911" s="138"/>
      <c r="AG911" s="138"/>
      <c r="AH911" s="138"/>
      <c r="AI911" s="138"/>
      <c r="AJ911" s="138"/>
      <c r="AK911" s="138"/>
      <c r="AL911" s="138"/>
      <c r="AM911" s="138"/>
      <c r="AN911" s="138"/>
      <c r="AO911" s="138"/>
      <c r="AP911" s="138"/>
      <c r="AQ911" s="138"/>
      <c r="AR911" s="138"/>
      <c r="AS911" s="138"/>
      <c r="AT911" s="138"/>
      <c r="AU911" s="138"/>
      <c r="AV911" s="138"/>
      <c r="AW911" s="138"/>
      <c r="AX911" s="138"/>
      <c r="AY911" s="138"/>
      <c r="AZ911" s="138"/>
      <c r="BA911" s="138"/>
      <c r="BB911" s="138"/>
      <c r="BC911" s="138"/>
      <c r="BD911" s="138"/>
      <c r="BE911" s="138"/>
      <c r="BF911" s="138"/>
      <c r="BG911" s="138"/>
      <c r="BH911" s="138"/>
      <c r="BI911" s="138"/>
      <c r="BJ911" s="138"/>
      <c r="BK911" s="138"/>
      <c r="BL911" s="138"/>
      <c r="BM911" s="138"/>
      <c r="BN911" s="138"/>
      <c r="BO911" s="138"/>
    </row>
    <row r="912" spans="1:67" s="267" customFormat="1" ht="24" customHeight="1" x14ac:dyDescent="0.2">
      <c r="A912" s="244"/>
      <c r="B912" s="271"/>
      <c r="C912" s="272"/>
      <c r="D912" s="192"/>
      <c r="E912" s="192"/>
      <c r="F912" s="192"/>
      <c r="G912" s="192"/>
      <c r="H912" s="192"/>
      <c r="I912" s="203"/>
      <c r="J912" s="273"/>
      <c r="K912" s="245">
        <f>SUM(K910:K911)</f>
        <v>50000</v>
      </c>
      <c r="L912" s="197"/>
      <c r="M912" s="197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  <c r="AC912" s="138"/>
      <c r="AD912" s="138"/>
      <c r="AE912" s="138"/>
      <c r="AF912" s="138"/>
      <c r="AG912" s="138"/>
      <c r="AH912" s="138"/>
      <c r="AI912" s="138"/>
      <c r="AJ912" s="138"/>
      <c r="AK912" s="138"/>
      <c r="AL912" s="138"/>
      <c r="AM912" s="138"/>
      <c r="AN912" s="138"/>
      <c r="AO912" s="138"/>
      <c r="AP912" s="138"/>
      <c r="AQ912" s="138"/>
      <c r="AR912" s="138"/>
      <c r="AS912" s="138"/>
      <c r="AT912" s="138"/>
      <c r="AU912" s="138"/>
      <c r="AV912" s="138"/>
      <c r="AW912" s="138"/>
      <c r="AX912" s="138"/>
      <c r="AY912" s="138"/>
      <c r="AZ912" s="138"/>
      <c r="BA912" s="138"/>
      <c r="BB912" s="138"/>
      <c r="BC912" s="138"/>
      <c r="BD912" s="138"/>
      <c r="BE912" s="138"/>
      <c r="BF912" s="138"/>
      <c r="BG912" s="138"/>
      <c r="BH912" s="138"/>
      <c r="BI912" s="138"/>
      <c r="BJ912" s="138"/>
      <c r="BK912" s="138"/>
      <c r="BL912" s="138"/>
      <c r="BM912" s="138"/>
      <c r="BN912" s="138"/>
      <c r="BO912" s="138"/>
    </row>
    <row r="913" spans="1:67" s="267" customFormat="1" ht="24" customHeight="1" x14ac:dyDescent="0.2">
      <c r="A913" s="250">
        <v>237</v>
      </c>
      <c r="B913" s="301" t="s">
        <v>1295</v>
      </c>
      <c r="C913" s="302"/>
      <c r="D913" s="170" t="s">
        <v>107</v>
      </c>
      <c r="E913" s="170"/>
      <c r="F913" s="170"/>
      <c r="G913" s="170"/>
      <c r="H913" s="170"/>
      <c r="I913" s="274" t="s">
        <v>1296</v>
      </c>
      <c r="J913" s="275" t="s">
        <v>223</v>
      </c>
      <c r="K913" s="276">
        <f>10000*60%</f>
        <v>6000</v>
      </c>
      <c r="L913" s="175" t="s">
        <v>111</v>
      </c>
      <c r="M913" s="175" t="s">
        <v>1297</v>
      </c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  <c r="AC913" s="138"/>
      <c r="AD913" s="138"/>
      <c r="AE913" s="138"/>
      <c r="AF913" s="138"/>
      <c r="AG913" s="138"/>
      <c r="AH913" s="138"/>
      <c r="AI913" s="138"/>
      <c r="AJ913" s="138"/>
      <c r="AK913" s="138"/>
      <c r="AL913" s="138"/>
      <c r="AM913" s="138"/>
      <c r="AN913" s="138"/>
      <c r="AO913" s="138"/>
      <c r="AP913" s="138"/>
      <c r="AQ913" s="138"/>
      <c r="AR913" s="138"/>
      <c r="AS913" s="138"/>
      <c r="AT913" s="138"/>
      <c r="AU913" s="138"/>
      <c r="AV913" s="138"/>
      <c r="AW913" s="138"/>
      <c r="AX913" s="138"/>
      <c r="AY913" s="138"/>
      <c r="AZ913" s="138"/>
      <c r="BA913" s="138"/>
      <c r="BB913" s="138"/>
      <c r="BC913" s="138"/>
      <c r="BD913" s="138"/>
      <c r="BE913" s="138"/>
      <c r="BF913" s="138"/>
      <c r="BG913" s="138"/>
      <c r="BH913" s="138"/>
      <c r="BI913" s="138"/>
      <c r="BJ913" s="138"/>
      <c r="BK913" s="138"/>
      <c r="BL913" s="138"/>
      <c r="BM913" s="138"/>
      <c r="BN913" s="138"/>
      <c r="BO913" s="138"/>
    </row>
    <row r="914" spans="1:67" s="267" customFormat="1" ht="24" customHeight="1" x14ac:dyDescent="0.2">
      <c r="A914" s="243"/>
      <c r="B914" s="286"/>
      <c r="C914" s="287"/>
      <c r="D914" s="180"/>
      <c r="E914" s="180"/>
      <c r="F914" s="180"/>
      <c r="G914" s="180"/>
      <c r="H914" s="180"/>
      <c r="I914" s="188" t="s">
        <v>1298</v>
      </c>
      <c r="J914" s="270" t="s">
        <v>223</v>
      </c>
      <c r="K914" s="214">
        <f>10000*10%</f>
        <v>1000</v>
      </c>
      <c r="L914" s="185"/>
      <c r="M914" s="185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38"/>
      <c r="AI914" s="138"/>
      <c r="AJ914" s="138"/>
      <c r="AK914" s="138"/>
      <c r="AL914" s="138"/>
      <c r="AM914" s="138"/>
      <c r="AN914" s="138"/>
      <c r="AO914" s="138"/>
      <c r="AP914" s="138"/>
      <c r="AQ914" s="138"/>
      <c r="AR914" s="138"/>
      <c r="AS914" s="138"/>
      <c r="AT914" s="138"/>
      <c r="AU914" s="138"/>
      <c r="AV914" s="138"/>
      <c r="AW914" s="138"/>
      <c r="AX914" s="138"/>
      <c r="AY914" s="138"/>
      <c r="AZ914" s="138"/>
      <c r="BA914" s="138"/>
      <c r="BB914" s="138"/>
      <c r="BC914" s="138"/>
      <c r="BD914" s="138"/>
      <c r="BE914" s="138"/>
      <c r="BF914" s="138"/>
      <c r="BG914" s="138"/>
      <c r="BH914" s="138"/>
      <c r="BI914" s="138"/>
      <c r="BJ914" s="138"/>
      <c r="BK914" s="138"/>
      <c r="BL914" s="138"/>
      <c r="BM914" s="138"/>
      <c r="BN914" s="138"/>
      <c r="BO914" s="138"/>
    </row>
    <row r="915" spans="1:67" s="267" customFormat="1" ht="24" customHeight="1" x14ac:dyDescent="0.2">
      <c r="A915" s="243"/>
      <c r="B915" s="286"/>
      <c r="C915" s="287"/>
      <c r="D915" s="180"/>
      <c r="E915" s="180"/>
      <c r="F915" s="180"/>
      <c r="G915" s="180"/>
      <c r="H915" s="180"/>
      <c r="I915" s="188" t="s">
        <v>1299</v>
      </c>
      <c r="J915" s="270" t="s">
        <v>223</v>
      </c>
      <c r="K915" s="214">
        <f t="shared" ref="K915:K917" si="14">10000*10%</f>
        <v>1000</v>
      </c>
      <c r="L915" s="185"/>
      <c r="M915" s="185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  <c r="AF915" s="138"/>
      <c r="AG915" s="138"/>
      <c r="AH915" s="138"/>
      <c r="AI915" s="138"/>
      <c r="AJ915" s="138"/>
      <c r="AK915" s="138"/>
      <c r="AL915" s="138"/>
      <c r="AM915" s="138"/>
      <c r="AN915" s="138"/>
      <c r="AO915" s="138"/>
      <c r="AP915" s="138"/>
      <c r="AQ915" s="138"/>
      <c r="AR915" s="138"/>
      <c r="AS915" s="138"/>
      <c r="AT915" s="138"/>
      <c r="AU915" s="138"/>
      <c r="AV915" s="138"/>
      <c r="AW915" s="138"/>
      <c r="AX915" s="138"/>
      <c r="AY915" s="138"/>
      <c r="AZ915" s="138"/>
      <c r="BA915" s="138"/>
      <c r="BB915" s="138"/>
      <c r="BC915" s="138"/>
      <c r="BD915" s="138"/>
      <c r="BE915" s="138"/>
      <c r="BF915" s="138"/>
      <c r="BG915" s="138"/>
      <c r="BH915" s="138"/>
      <c r="BI915" s="138"/>
      <c r="BJ915" s="138"/>
      <c r="BK915" s="138"/>
      <c r="BL915" s="138"/>
      <c r="BM915" s="138"/>
      <c r="BN915" s="138"/>
      <c r="BO915" s="138"/>
    </row>
    <row r="916" spans="1:67" s="267" customFormat="1" ht="24" customHeight="1" x14ac:dyDescent="0.2">
      <c r="A916" s="243"/>
      <c r="B916" s="286"/>
      <c r="C916" s="287"/>
      <c r="D916" s="180"/>
      <c r="E916" s="180"/>
      <c r="F916" s="180"/>
      <c r="G916" s="180"/>
      <c r="H916" s="180"/>
      <c r="I916" s="188" t="s">
        <v>1300</v>
      </c>
      <c r="J916" s="270" t="s">
        <v>223</v>
      </c>
      <c r="K916" s="214">
        <f t="shared" si="14"/>
        <v>1000</v>
      </c>
      <c r="L916" s="185"/>
      <c r="M916" s="185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  <c r="AF916" s="138"/>
      <c r="AG916" s="138"/>
      <c r="AH916" s="138"/>
      <c r="AI916" s="138"/>
      <c r="AJ916" s="138"/>
      <c r="AK916" s="138"/>
      <c r="AL916" s="138"/>
      <c r="AM916" s="138"/>
      <c r="AN916" s="138"/>
      <c r="AO916" s="138"/>
      <c r="AP916" s="138"/>
      <c r="AQ916" s="138"/>
      <c r="AR916" s="138"/>
      <c r="AS916" s="138"/>
      <c r="AT916" s="138"/>
      <c r="AU916" s="138"/>
      <c r="AV916" s="138"/>
      <c r="AW916" s="138"/>
      <c r="AX916" s="138"/>
      <c r="AY916" s="138"/>
      <c r="AZ916" s="138"/>
      <c r="BA916" s="138"/>
      <c r="BB916" s="138"/>
      <c r="BC916" s="138"/>
      <c r="BD916" s="138"/>
      <c r="BE916" s="138"/>
      <c r="BF916" s="138"/>
      <c r="BG916" s="138"/>
      <c r="BH916" s="138"/>
      <c r="BI916" s="138"/>
      <c r="BJ916" s="138"/>
      <c r="BK916" s="138"/>
      <c r="BL916" s="138"/>
      <c r="BM916" s="138"/>
      <c r="BN916" s="138"/>
      <c r="BO916" s="138"/>
    </row>
    <row r="917" spans="1:67" s="267" customFormat="1" ht="24" customHeight="1" x14ac:dyDescent="0.2">
      <c r="A917" s="243"/>
      <c r="B917" s="286"/>
      <c r="C917" s="287"/>
      <c r="D917" s="180"/>
      <c r="E917" s="180"/>
      <c r="F917" s="180"/>
      <c r="G917" s="180"/>
      <c r="H917" s="180"/>
      <c r="I917" s="188" t="s">
        <v>1301</v>
      </c>
      <c r="J917" s="270" t="s">
        <v>223</v>
      </c>
      <c r="K917" s="214">
        <f t="shared" si="14"/>
        <v>1000</v>
      </c>
      <c r="L917" s="185"/>
      <c r="M917" s="185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  <c r="AF917" s="138"/>
      <c r="AG917" s="138"/>
      <c r="AH917" s="138"/>
      <c r="AI917" s="138"/>
      <c r="AJ917" s="138"/>
      <c r="AK917" s="138"/>
      <c r="AL917" s="138"/>
      <c r="AM917" s="138"/>
      <c r="AN917" s="138"/>
      <c r="AO917" s="138"/>
      <c r="AP917" s="138"/>
      <c r="AQ917" s="138"/>
      <c r="AR917" s="138"/>
      <c r="AS917" s="138"/>
      <c r="AT917" s="138"/>
      <c r="AU917" s="138"/>
      <c r="AV917" s="138"/>
      <c r="AW917" s="138"/>
      <c r="AX917" s="138"/>
      <c r="AY917" s="138"/>
      <c r="AZ917" s="138"/>
      <c r="BA917" s="138"/>
      <c r="BB917" s="138"/>
      <c r="BC917" s="138"/>
      <c r="BD917" s="138"/>
      <c r="BE917" s="138"/>
      <c r="BF917" s="138"/>
      <c r="BG917" s="138"/>
      <c r="BH917" s="138"/>
      <c r="BI917" s="138"/>
      <c r="BJ917" s="138"/>
      <c r="BK917" s="138"/>
      <c r="BL917" s="138"/>
      <c r="BM917" s="138"/>
      <c r="BN917" s="138"/>
      <c r="BO917" s="138"/>
    </row>
    <row r="918" spans="1:67" s="267" customFormat="1" ht="24" customHeight="1" x14ac:dyDescent="0.2">
      <c r="A918" s="244"/>
      <c r="B918" s="303"/>
      <c r="C918" s="304"/>
      <c r="D918" s="192"/>
      <c r="E918" s="192"/>
      <c r="F918" s="192"/>
      <c r="G918" s="192"/>
      <c r="H918" s="192"/>
      <c r="I918" s="181"/>
      <c r="J918" s="305"/>
      <c r="K918" s="199">
        <f>SUM(K913:K917)</f>
        <v>10000</v>
      </c>
      <c r="L918" s="197"/>
      <c r="M918" s="197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  <c r="AF918" s="138"/>
      <c r="AG918" s="138"/>
      <c r="AH918" s="138"/>
      <c r="AI918" s="138"/>
      <c r="AJ918" s="138"/>
      <c r="AK918" s="138"/>
      <c r="AL918" s="138"/>
      <c r="AM918" s="138"/>
      <c r="AN918" s="138"/>
      <c r="AO918" s="138"/>
      <c r="AP918" s="138"/>
      <c r="AQ918" s="138"/>
      <c r="AR918" s="138"/>
      <c r="AS918" s="138"/>
      <c r="AT918" s="138"/>
      <c r="AU918" s="138"/>
      <c r="AV918" s="138"/>
      <c r="AW918" s="138"/>
      <c r="AX918" s="138"/>
      <c r="AY918" s="138"/>
      <c r="AZ918" s="138"/>
      <c r="BA918" s="138"/>
      <c r="BB918" s="138"/>
      <c r="BC918" s="138"/>
      <c r="BD918" s="138"/>
      <c r="BE918" s="138"/>
      <c r="BF918" s="138"/>
      <c r="BG918" s="138"/>
      <c r="BH918" s="138"/>
      <c r="BI918" s="138"/>
      <c r="BJ918" s="138"/>
      <c r="BK918" s="138"/>
      <c r="BL918" s="138"/>
      <c r="BM918" s="138"/>
      <c r="BN918" s="138"/>
      <c r="BO918" s="138"/>
    </row>
    <row r="919" spans="1:67" ht="24" customHeight="1" x14ac:dyDescent="0.2">
      <c r="A919" s="167">
        <v>238</v>
      </c>
      <c r="B919" s="168" t="s">
        <v>1302</v>
      </c>
      <c r="C919" s="169"/>
      <c r="D919" s="170" t="s">
        <v>107</v>
      </c>
      <c r="E919" s="170"/>
      <c r="F919" s="170"/>
      <c r="G919" s="170"/>
      <c r="H919" s="246" t="s">
        <v>1303</v>
      </c>
      <c r="I919" s="217" t="s">
        <v>1304</v>
      </c>
      <c r="J919" s="223" t="s">
        <v>1305</v>
      </c>
      <c r="K919" s="353">
        <f>18000*70%</f>
        <v>12600</v>
      </c>
      <c r="L919" s="169" t="s">
        <v>111</v>
      </c>
      <c r="M919" s="175" t="s">
        <v>1306</v>
      </c>
      <c r="AV919" s="138"/>
      <c r="AW919" s="138"/>
      <c r="AX919" s="138"/>
      <c r="AY919" s="138"/>
      <c r="AZ919" s="138"/>
      <c r="BA919" s="138"/>
      <c r="BB919" s="138"/>
      <c r="BC919" s="138"/>
      <c r="BD919" s="138"/>
      <c r="BE919" s="138"/>
      <c r="BF919" s="138"/>
      <c r="BG919" s="138"/>
      <c r="BH919" s="138"/>
      <c r="BI919" s="138"/>
      <c r="BJ919" s="138"/>
      <c r="BK919" s="138"/>
      <c r="BL919" s="138"/>
      <c r="BM919" s="138"/>
      <c r="BN919" s="138"/>
      <c r="BO919" s="138"/>
    </row>
    <row r="920" spans="1:67" ht="24" customHeight="1" x14ac:dyDescent="0.2">
      <c r="A920" s="177"/>
      <c r="B920" s="178"/>
      <c r="C920" s="179"/>
      <c r="D920" s="180"/>
      <c r="E920" s="180"/>
      <c r="F920" s="180"/>
      <c r="G920" s="180"/>
      <c r="H920" s="248"/>
      <c r="I920" s="188" t="s">
        <v>1307</v>
      </c>
      <c r="J920" s="207" t="s">
        <v>1308</v>
      </c>
      <c r="K920" s="343">
        <f>18000*10%</f>
        <v>1800</v>
      </c>
      <c r="L920" s="179"/>
      <c r="M920" s="185"/>
      <c r="N920" s="176"/>
      <c r="AV920" s="138"/>
      <c r="AW920" s="138"/>
      <c r="AX920" s="138"/>
      <c r="AY920" s="138"/>
      <c r="AZ920" s="138"/>
      <c r="BA920" s="138"/>
      <c r="BB920" s="138"/>
      <c r="BC920" s="138"/>
      <c r="BD920" s="138"/>
      <c r="BE920" s="138"/>
      <c r="BF920" s="138"/>
      <c r="BG920" s="138"/>
      <c r="BH920" s="138"/>
      <c r="BI920" s="138"/>
      <c r="BJ920" s="138"/>
      <c r="BK920" s="138"/>
      <c r="BL920" s="138"/>
      <c r="BM920" s="138"/>
      <c r="BN920" s="138"/>
      <c r="BO920" s="138"/>
    </row>
    <row r="921" spans="1:67" ht="24" customHeight="1" x14ac:dyDescent="0.2">
      <c r="A921" s="177"/>
      <c r="B921" s="178"/>
      <c r="C921" s="179"/>
      <c r="D921" s="180"/>
      <c r="E921" s="180"/>
      <c r="F921" s="180"/>
      <c r="G921" s="180"/>
      <c r="H921" s="248"/>
      <c r="I921" s="188" t="s">
        <v>1309</v>
      </c>
      <c r="J921" s="207" t="s">
        <v>1308</v>
      </c>
      <c r="K921" s="343">
        <f t="shared" ref="K921:K922" si="15">18000*10%</f>
        <v>1800</v>
      </c>
      <c r="L921" s="179"/>
      <c r="M921" s="185"/>
      <c r="N921" s="176"/>
      <c r="AV921" s="138"/>
      <c r="AW921" s="138"/>
      <c r="AX921" s="138"/>
      <c r="AY921" s="138"/>
      <c r="AZ921" s="138"/>
      <c r="BA921" s="138"/>
      <c r="BB921" s="138"/>
      <c r="BC921" s="138"/>
      <c r="BD921" s="138"/>
      <c r="BE921" s="138"/>
      <c r="BF921" s="138"/>
      <c r="BG921" s="138"/>
      <c r="BH921" s="138"/>
      <c r="BI921" s="138"/>
      <c r="BJ921" s="138"/>
      <c r="BK921" s="138"/>
      <c r="BL921" s="138"/>
      <c r="BM921" s="138"/>
      <c r="BN921" s="138"/>
      <c r="BO921" s="138"/>
    </row>
    <row r="922" spans="1:67" ht="24" customHeight="1" x14ac:dyDescent="0.2">
      <c r="A922" s="177"/>
      <c r="B922" s="178"/>
      <c r="C922" s="179"/>
      <c r="D922" s="180"/>
      <c r="E922" s="180"/>
      <c r="F922" s="180"/>
      <c r="G922" s="180"/>
      <c r="H922" s="248"/>
      <c r="I922" s="188" t="s">
        <v>1310</v>
      </c>
      <c r="J922" s="207" t="s">
        <v>980</v>
      </c>
      <c r="K922" s="343">
        <f t="shared" si="15"/>
        <v>1800</v>
      </c>
      <c r="L922" s="179"/>
      <c r="M922" s="185"/>
      <c r="N922" s="176"/>
      <c r="AV922" s="138"/>
      <c r="AW922" s="138"/>
      <c r="AX922" s="138"/>
      <c r="AY922" s="138"/>
      <c r="AZ922" s="138"/>
      <c r="BA922" s="138"/>
      <c r="BB922" s="138"/>
      <c r="BC922" s="138"/>
      <c r="BD922" s="138"/>
      <c r="BE922" s="138"/>
      <c r="BF922" s="138"/>
      <c r="BG922" s="138"/>
      <c r="BH922" s="138"/>
      <c r="BI922" s="138"/>
      <c r="BJ922" s="138"/>
      <c r="BK922" s="138"/>
      <c r="BL922" s="138"/>
      <c r="BM922" s="138"/>
      <c r="BN922" s="138"/>
      <c r="BO922" s="138"/>
    </row>
    <row r="923" spans="1:67" x14ac:dyDescent="0.2">
      <c r="A923" s="177"/>
      <c r="B923" s="178"/>
      <c r="C923" s="179"/>
      <c r="D923" s="180"/>
      <c r="E923" s="180"/>
      <c r="F923" s="180"/>
      <c r="G923" s="180"/>
      <c r="H923" s="248"/>
      <c r="I923" s="398"/>
      <c r="J923" s="333"/>
      <c r="K923" s="245">
        <f>SUM(K919:K922)</f>
        <v>18000</v>
      </c>
      <c r="L923" s="179"/>
      <c r="M923" s="185"/>
      <c r="AV923" s="138"/>
      <c r="AW923" s="138"/>
      <c r="AX923" s="138"/>
      <c r="AY923" s="138"/>
      <c r="AZ923" s="138"/>
      <c r="BA923" s="138"/>
      <c r="BB923" s="138"/>
      <c r="BC923" s="138"/>
      <c r="BD923" s="138"/>
      <c r="BE923" s="138"/>
      <c r="BF923" s="138"/>
      <c r="BG923" s="138"/>
      <c r="BH923" s="138"/>
      <c r="BI923" s="138"/>
      <c r="BJ923" s="138"/>
      <c r="BK923" s="138"/>
      <c r="BL923" s="138"/>
      <c r="BM923" s="138"/>
      <c r="BN923" s="138"/>
      <c r="BO923" s="138"/>
    </row>
    <row r="924" spans="1:67" ht="24" customHeight="1" x14ac:dyDescent="0.2">
      <c r="A924" s="167">
        <v>239</v>
      </c>
      <c r="B924" s="168" t="s">
        <v>1311</v>
      </c>
      <c r="C924" s="169"/>
      <c r="D924" s="170" t="s">
        <v>107</v>
      </c>
      <c r="E924" s="170"/>
      <c r="F924" s="170"/>
      <c r="G924" s="170"/>
      <c r="H924" s="246" t="s">
        <v>1303</v>
      </c>
      <c r="I924" s="217" t="s">
        <v>1312</v>
      </c>
      <c r="J924" s="223" t="s">
        <v>1305</v>
      </c>
      <c r="K924" s="353">
        <f>16000*70%</f>
        <v>11200</v>
      </c>
      <c r="L924" s="169" t="s">
        <v>111</v>
      </c>
      <c r="M924" s="175" t="s">
        <v>1313</v>
      </c>
      <c r="AV924" s="138"/>
      <c r="AW924" s="138"/>
      <c r="AX924" s="138"/>
      <c r="AY924" s="138"/>
      <c r="AZ924" s="138"/>
      <c r="BA924" s="138"/>
      <c r="BB924" s="138"/>
      <c r="BC924" s="138"/>
      <c r="BD924" s="138"/>
      <c r="BE924" s="138"/>
      <c r="BF924" s="138"/>
      <c r="BG924" s="138"/>
      <c r="BH924" s="138"/>
      <c r="BI924" s="138"/>
      <c r="BJ924" s="138"/>
      <c r="BK924" s="138"/>
      <c r="BL924" s="138"/>
      <c r="BM924" s="138"/>
      <c r="BN924" s="138"/>
      <c r="BO924" s="138"/>
    </row>
    <row r="925" spans="1:67" ht="24" customHeight="1" x14ac:dyDescent="0.2">
      <c r="A925" s="177"/>
      <c r="B925" s="178"/>
      <c r="C925" s="179"/>
      <c r="D925" s="180"/>
      <c r="E925" s="180"/>
      <c r="F925" s="180"/>
      <c r="G925" s="180"/>
      <c r="H925" s="248"/>
      <c r="I925" s="188" t="s">
        <v>1307</v>
      </c>
      <c r="J925" s="207" t="s">
        <v>1314</v>
      </c>
      <c r="K925" s="343">
        <f>16000*10%</f>
        <v>1600</v>
      </c>
      <c r="L925" s="179"/>
      <c r="M925" s="185"/>
      <c r="AV925" s="138"/>
      <c r="AW925" s="138"/>
      <c r="AX925" s="138"/>
      <c r="AY925" s="138"/>
      <c r="AZ925" s="138"/>
      <c r="BA925" s="138"/>
      <c r="BB925" s="138"/>
      <c r="BC925" s="138"/>
      <c r="BD925" s="138"/>
      <c r="BE925" s="138"/>
      <c r="BF925" s="138"/>
      <c r="BG925" s="138"/>
      <c r="BH925" s="138"/>
      <c r="BI925" s="138"/>
      <c r="BJ925" s="138"/>
      <c r="BK925" s="138"/>
      <c r="BL925" s="138"/>
      <c r="BM925" s="138"/>
      <c r="BN925" s="138"/>
      <c r="BO925" s="138"/>
    </row>
    <row r="926" spans="1:67" ht="24" customHeight="1" x14ac:dyDescent="0.2">
      <c r="A926" s="177"/>
      <c r="B926" s="178"/>
      <c r="C926" s="179"/>
      <c r="D926" s="180"/>
      <c r="E926" s="180"/>
      <c r="F926" s="180"/>
      <c r="G926" s="180"/>
      <c r="H926" s="248"/>
      <c r="I926" s="188" t="s">
        <v>1309</v>
      </c>
      <c r="J926" s="207" t="s">
        <v>1314</v>
      </c>
      <c r="K926" s="343">
        <f t="shared" ref="K926:K927" si="16">16000*10%</f>
        <v>1600</v>
      </c>
      <c r="L926" s="179"/>
      <c r="M926" s="185"/>
      <c r="AV926" s="138"/>
      <c r="AW926" s="138"/>
      <c r="AX926" s="138"/>
      <c r="AY926" s="138"/>
      <c r="AZ926" s="138"/>
      <c r="BA926" s="138"/>
      <c r="BB926" s="138"/>
      <c r="BC926" s="138"/>
      <c r="BD926" s="138"/>
      <c r="BE926" s="138"/>
      <c r="BF926" s="138"/>
      <c r="BG926" s="138"/>
      <c r="BH926" s="138"/>
      <c r="BI926" s="138"/>
      <c r="BJ926" s="138"/>
      <c r="BK926" s="138"/>
      <c r="BL926" s="138"/>
      <c r="BM926" s="138"/>
      <c r="BN926" s="138"/>
      <c r="BO926" s="138"/>
    </row>
    <row r="927" spans="1:67" ht="24" customHeight="1" x14ac:dyDescent="0.2">
      <c r="A927" s="177"/>
      <c r="B927" s="178"/>
      <c r="C927" s="179"/>
      <c r="D927" s="180"/>
      <c r="E927" s="180"/>
      <c r="F927" s="180"/>
      <c r="G927" s="180"/>
      <c r="H927" s="248"/>
      <c r="I927" s="188" t="s">
        <v>1315</v>
      </c>
      <c r="J927" s="207" t="s">
        <v>636</v>
      </c>
      <c r="K927" s="343">
        <f t="shared" si="16"/>
        <v>1600</v>
      </c>
      <c r="L927" s="179"/>
      <c r="M927" s="185"/>
      <c r="N927" s="176"/>
      <c r="AV927" s="138"/>
      <c r="AW927" s="138"/>
      <c r="AX927" s="138"/>
      <c r="AY927" s="138"/>
      <c r="AZ927" s="138"/>
      <c r="BA927" s="138"/>
      <c r="BB927" s="138"/>
      <c r="BC927" s="138"/>
      <c r="BD927" s="138"/>
      <c r="BE927" s="138"/>
      <c r="BF927" s="138"/>
      <c r="BG927" s="138"/>
      <c r="BH927" s="138"/>
      <c r="BI927" s="138"/>
      <c r="BJ927" s="138"/>
      <c r="BK927" s="138"/>
      <c r="BL927" s="138"/>
      <c r="BM927" s="138"/>
      <c r="BN927" s="138"/>
      <c r="BO927" s="138"/>
    </row>
    <row r="928" spans="1:67" x14ac:dyDescent="0.2">
      <c r="A928" s="177"/>
      <c r="B928" s="178"/>
      <c r="C928" s="179"/>
      <c r="D928" s="180"/>
      <c r="E928" s="180"/>
      <c r="F928" s="180"/>
      <c r="G928" s="180"/>
      <c r="H928" s="248"/>
      <c r="I928" s="398"/>
      <c r="J928" s="333"/>
      <c r="K928" s="245">
        <f>SUM(K924:K927)</f>
        <v>16000</v>
      </c>
      <c r="L928" s="179"/>
      <c r="M928" s="185"/>
      <c r="AV928" s="138"/>
      <c r="AW928" s="138"/>
      <c r="AX928" s="138"/>
      <c r="AY928" s="138"/>
      <c r="AZ928" s="138"/>
      <c r="BA928" s="138"/>
      <c r="BB928" s="138"/>
      <c r="BC928" s="138"/>
      <c r="BD928" s="138"/>
      <c r="BE928" s="138"/>
      <c r="BF928" s="138"/>
      <c r="BG928" s="138"/>
      <c r="BH928" s="138"/>
      <c r="BI928" s="138"/>
      <c r="BJ928" s="138"/>
      <c r="BK928" s="138"/>
      <c r="BL928" s="138"/>
      <c r="BM928" s="138"/>
      <c r="BN928" s="138"/>
      <c r="BO928" s="138"/>
    </row>
    <row r="929" spans="1:67" ht="24" customHeight="1" x14ac:dyDescent="0.2">
      <c r="A929" s="167">
        <v>240</v>
      </c>
      <c r="B929" s="168" t="s">
        <v>1316</v>
      </c>
      <c r="C929" s="169"/>
      <c r="D929" s="170" t="s">
        <v>107</v>
      </c>
      <c r="E929" s="170"/>
      <c r="F929" s="170"/>
      <c r="G929" s="170"/>
      <c r="H929" s="246" t="s">
        <v>108</v>
      </c>
      <c r="I929" s="217" t="s">
        <v>1317</v>
      </c>
      <c r="J929" s="223" t="s">
        <v>1308</v>
      </c>
      <c r="K929" s="353">
        <f>16000*70%</f>
        <v>11200</v>
      </c>
      <c r="L929" s="169" t="s">
        <v>111</v>
      </c>
      <c r="M929" s="175" t="s">
        <v>1318</v>
      </c>
      <c r="AV929" s="138"/>
      <c r="AW929" s="138"/>
      <c r="AX929" s="138"/>
      <c r="AY929" s="138"/>
      <c r="AZ929" s="138"/>
      <c r="BA929" s="138"/>
      <c r="BB929" s="138"/>
      <c r="BC929" s="138"/>
      <c r="BD929" s="138"/>
      <c r="BE929" s="138"/>
      <c r="BF929" s="138"/>
      <c r="BG929" s="138"/>
      <c r="BH929" s="138"/>
      <c r="BI929" s="138"/>
      <c r="BJ929" s="138"/>
      <c r="BK929" s="138"/>
      <c r="BL929" s="138"/>
      <c r="BM929" s="138"/>
      <c r="BN929" s="138"/>
      <c r="BO929" s="138"/>
    </row>
    <row r="930" spans="1:67" ht="23.25" customHeight="1" x14ac:dyDescent="0.2">
      <c r="A930" s="177"/>
      <c r="B930" s="178"/>
      <c r="C930" s="179"/>
      <c r="D930" s="180"/>
      <c r="E930" s="180"/>
      <c r="F930" s="180"/>
      <c r="G930" s="180"/>
      <c r="H930" s="248"/>
      <c r="I930" s="188" t="s">
        <v>1309</v>
      </c>
      <c r="J930" s="207" t="s">
        <v>1314</v>
      </c>
      <c r="K930" s="343">
        <f>16000*10%</f>
        <v>1600</v>
      </c>
      <c r="L930" s="179"/>
      <c r="M930" s="185"/>
      <c r="AV930" s="138"/>
      <c r="AW930" s="138"/>
      <c r="AX930" s="138"/>
      <c r="AY930" s="138"/>
      <c r="AZ930" s="138"/>
      <c r="BA930" s="138"/>
      <c r="BB930" s="138"/>
      <c r="BC930" s="138"/>
      <c r="BD930" s="138"/>
      <c r="BE930" s="138"/>
      <c r="BF930" s="138"/>
      <c r="BG930" s="138"/>
      <c r="BH930" s="138"/>
      <c r="BI930" s="138"/>
      <c r="BJ930" s="138"/>
      <c r="BK930" s="138"/>
      <c r="BL930" s="138"/>
      <c r="BM930" s="138"/>
      <c r="BN930" s="138"/>
      <c r="BO930" s="138"/>
    </row>
    <row r="931" spans="1:67" ht="23.25" customHeight="1" x14ac:dyDescent="0.2">
      <c r="A931" s="177"/>
      <c r="B931" s="178"/>
      <c r="C931" s="179"/>
      <c r="D931" s="180"/>
      <c r="E931" s="180"/>
      <c r="F931" s="180"/>
      <c r="G931" s="180"/>
      <c r="H931" s="248"/>
      <c r="I931" s="188" t="s">
        <v>1319</v>
      </c>
      <c r="J931" s="207" t="s">
        <v>636</v>
      </c>
      <c r="K931" s="343">
        <f>16000*20%</f>
        <v>3200</v>
      </c>
      <c r="L931" s="179"/>
      <c r="M931" s="185"/>
      <c r="AV931" s="138"/>
      <c r="AW931" s="138"/>
      <c r="AX931" s="138"/>
      <c r="AY931" s="138"/>
      <c r="AZ931" s="138"/>
      <c r="BA931" s="138"/>
      <c r="BB931" s="138"/>
      <c r="BC931" s="138"/>
      <c r="BD931" s="138"/>
      <c r="BE931" s="138"/>
      <c r="BF931" s="138"/>
      <c r="BG931" s="138"/>
      <c r="BH931" s="138"/>
      <c r="BI931" s="138"/>
      <c r="BJ931" s="138"/>
      <c r="BK931" s="138"/>
      <c r="BL931" s="138"/>
      <c r="BM931" s="138"/>
      <c r="BN931" s="138"/>
      <c r="BO931" s="138"/>
    </row>
    <row r="932" spans="1:67" ht="23.25" customHeight="1" x14ac:dyDescent="0.2">
      <c r="A932" s="177"/>
      <c r="B932" s="178"/>
      <c r="C932" s="179"/>
      <c r="D932" s="180"/>
      <c r="E932" s="180"/>
      <c r="F932" s="180"/>
      <c r="G932" s="180"/>
      <c r="H932" s="248"/>
      <c r="I932" s="188"/>
      <c r="J932" s="207"/>
      <c r="K932" s="343">
        <f>SUM(K929:K931)</f>
        <v>16000</v>
      </c>
      <c r="L932" s="179"/>
      <c r="M932" s="185"/>
      <c r="AV932" s="138"/>
      <c r="AW932" s="138"/>
      <c r="AX932" s="138"/>
      <c r="AY932" s="138"/>
      <c r="AZ932" s="138"/>
      <c r="BA932" s="138"/>
      <c r="BB932" s="138"/>
      <c r="BC932" s="138"/>
      <c r="BD932" s="138"/>
      <c r="BE932" s="138"/>
      <c r="BF932" s="138"/>
      <c r="BG932" s="138"/>
      <c r="BH932" s="138"/>
      <c r="BI932" s="138"/>
      <c r="BJ932" s="138"/>
      <c r="BK932" s="138"/>
      <c r="BL932" s="138"/>
      <c r="BM932" s="138"/>
      <c r="BN932" s="138"/>
      <c r="BO932" s="138"/>
    </row>
    <row r="933" spans="1:67" ht="23.25" customHeight="1" x14ac:dyDescent="0.2">
      <c r="A933" s="167">
        <v>241</v>
      </c>
      <c r="B933" s="168" t="s">
        <v>1320</v>
      </c>
      <c r="C933" s="169"/>
      <c r="D933" s="250" t="s">
        <v>107</v>
      </c>
      <c r="E933" s="170"/>
      <c r="F933" s="170"/>
      <c r="G933" s="170"/>
      <c r="H933" s="246"/>
      <c r="I933" s="296" t="s">
        <v>1321</v>
      </c>
      <c r="J933" s="375" t="s">
        <v>772</v>
      </c>
      <c r="K933" s="363">
        <f>16000*50%</f>
        <v>8000</v>
      </c>
      <c r="L933" s="169" t="s">
        <v>111</v>
      </c>
      <c r="M933" s="175" t="s">
        <v>1322</v>
      </c>
      <c r="AV933" s="138"/>
      <c r="AW933" s="138"/>
      <c r="AX933" s="138"/>
      <c r="AY933" s="138"/>
      <c r="AZ933" s="138"/>
      <c r="BA933" s="138"/>
      <c r="BB933" s="138"/>
      <c r="BC933" s="138"/>
      <c r="BD933" s="138"/>
      <c r="BE933" s="138"/>
      <c r="BF933" s="138"/>
      <c r="BG933" s="138"/>
      <c r="BH933" s="138"/>
      <c r="BI933" s="138"/>
      <c r="BJ933" s="138"/>
      <c r="BK933" s="138"/>
      <c r="BL933" s="138"/>
      <c r="BM933" s="138"/>
      <c r="BN933" s="138"/>
      <c r="BO933" s="138"/>
    </row>
    <row r="934" spans="1:67" ht="23.25" customHeight="1" x14ac:dyDescent="0.2">
      <c r="A934" s="177"/>
      <c r="B934" s="178"/>
      <c r="C934" s="179"/>
      <c r="D934" s="243"/>
      <c r="E934" s="180"/>
      <c r="F934" s="180"/>
      <c r="G934" s="180"/>
      <c r="H934" s="248"/>
      <c r="I934" s="181" t="s">
        <v>1323</v>
      </c>
      <c r="J934" s="207" t="s">
        <v>594</v>
      </c>
      <c r="K934" s="214">
        <f>16000*10%</f>
        <v>1600</v>
      </c>
      <c r="L934" s="179"/>
      <c r="M934" s="185"/>
      <c r="AV934" s="138"/>
      <c r="AW934" s="138"/>
      <c r="AX934" s="138"/>
      <c r="AY934" s="138"/>
      <c r="AZ934" s="138"/>
      <c r="BA934" s="138"/>
      <c r="BB934" s="138"/>
      <c r="BC934" s="138"/>
      <c r="BD934" s="138"/>
      <c r="BE934" s="138"/>
      <c r="BF934" s="138"/>
      <c r="BG934" s="138"/>
      <c r="BH934" s="138"/>
      <c r="BI934" s="138"/>
      <c r="BJ934" s="138"/>
      <c r="BK934" s="138"/>
      <c r="BL934" s="138"/>
      <c r="BM934" s="138"/>
      <c r="BN934" s="138"/>
      <c r="BO934" s="138"/>
    </row>
    <row r="935" spans="1:67" ht="23.25" customHeight="1" x14ac:dyDescent="0.2">
      <c r="A935" s="177"/>
      <c r="B935" s="178"/>
      <c r="C935" s="179"/>
      <c r="D935" s="243"/>
      <c r="E935" s="180"/>
      <c r="F935" s="180"/>
      <c r="G935" s="180"/>
      <c r="H935" s="248"/>
      <c r="I935" s="181" t="s">
        <v>1324</v>
      </c>
      <c r="J935" s="207" t="s">
        <v>772</v>
      </c>
      <c r="K935" s="370">
        <f t="shared" ref="K935:K938" si="17">16000*10%</f>
        <v>1600</v>
      </c>
      <c r="L935" s="179"/>
      <c r="M935" s="185"/>
      <c r="AV935" s="138"/>
      <c r="AW935" s="138"/>
      <c r="AX935" s="138"/>
      <c r="AY935" s="138"/>
      <c r="AZ935" s="138"/>
      <c r="BA935" s="138"/>
      <c r="BB935" s="138"/>
      <c r="BC935" s="138"/>
      <c r="BD935" s="138"/>
      <c r="BE935" s="138"/>
      <c r="BF935" s="138"/>
      <c r="BG935" s="138"/>
      <c r="BH935" s="138"/>
      <c r="BI935" s="138"/>
      <c r="BJ935" s="138"/>
      <c r="BK935" s="138"/>
      <c r="BL935" s="138"/>
      <c r="BM935" s="138"/>
      <c r="BN935" s="138"/>
      <c r="BO935" s="138"/>
    </row>
    <row r="936" spans="1:67" ht="23.25" customHeight="1" x14ac:dyDescent="0.2">
      <c r="A936" s="177"/>
      <c r="B936" s="178"/>
      <c r="C936" s="179"/>
      <c r="D936" s="243"/>
      <c r="E936" s="180"/>
      <c r="F936" s="180"/>
      <c r="G936" s="180"/>
      <c r="H936" s="248"/>
      <c r="I936" s="181" t="s">
        <v>1325</v>
      </c>
      <c r="J936" s="207" t="s">
        <v>772</v>
      </c>
      <c r="K936" s="214">
        <f t="shared" si="17"/>
        <v>1600</v>
      </c>
      <c r="L936" s="179"/>
      <c r="M936" s="185"/>
      <c r="AV936" s="138"/>
      <c r="AW936" s="138"/>
      <c r="AX936" s="138"/>
      <c r="AY936" s="138"/>
      <c r="AZ936" s="138"/>
      <c r="BA936" s="138"/>
      <c r="BB936" s="138"/>
      <c r="BC936" s="138"/>
      <c r="BD936" s="138"/>
      <c r="BE936" s="138"/>
      <c r="BF936" s="138"/>
      <c r="BG936" s="138"/>
      <c r="BH936" s="138"/>
      <c r="BI936" s="138"/>
      <c r="BJ936" s="138"/>
      <c r="BK936" s="138"/>
      <c r="BL936" s="138"/>
      <c r="BM936" s="138"/>
      <c r="BN936" s="138"/>
      <c r="BO936" s="138"/>
    </row>
    <row r="937" spans="1:67" ht="23.25" customHeight="1" x14ac:dyDescent="0.2">
      <c r="A937" s="177"/>
      <c r="B937" s="178"/>
      <c r="C937" s="179"/>
      <c r="D937" s="243"/>
      <c r="E937" s="180"/>
      <c r="F937" s="180"/>
      <c r="G937" s="180"/>
      <c r="H937" s="248"/>
      <c r="I937" s="181" t="s">
        <v>1326</v>
      </c>
      <c r="J937" s="207" t="s">
        <v>772</v>
      </c>
      <c r="K937" s="370">
        <f t="shared" si="17"/>
        <v>1600</v>
      </c>
      <c r="L937" s="179"/>
      <c r="M937" s="185"/>
      <c r="AV937" s="138"/>
      <c r="AW937" s="138"/>
      <c r="AX937" s="138"/>
      <c r="AY937" s="138"/>
      <c r="AZ937" s="138"/>
      <c r="BA937" s="138"/>
      <c r="BB937" s="138"/>
      <c r="BC937" s="138"/>
      <c r="BD937" s="138"/>
      <c r="BE937" s="138"/>
      <c r="BF937" s="138"/>
      <c r="BG937" s="138"/>
      <c r="BH937" s="138"/>
      <c r="BI937" s="138"/>
      <c r="BJ937" s="138"/>
      <c r="BK937" s="138"/>
      <c r="BL937" s="138"/>
      <c r="BM937" s="138"/>
      <c r="BN937" s="138"/>
      <c r="BO937" s="138"/>
    </row>
    <row r="938" spans="1:67" ht="23.25" customHeight="1" x14ac:dyDescent="0.2">
      <c r="A938" s="177"/>
      <c r="B938" s="178"/>
      <c r="C938" s="179"/>
      <c r="D938" s="243"/>
      <c r="E938" s="180"/>
      <c r="F938" s="180"/>
      <c r="G938" s="180"/>
      <c r="H938" s="248"/>
      <c r="I938" s="188" t="s">
        <v>1327</v>
      </c>
      <c r="J938" s="207" t="s">
        <v>117</v>
      </c>
      <c r="K938" s="214">
        <f t="shared" si="17"/>
        <v>1600</v>
      </c>
      <c r="L938" s="179"/>
      <c r="M938" s="185"/>
      <c r="AV938" s="138"/>
      <c r="AW938" s="138"/>
      <c r="AX938" s="138"/>
      <c r="AY938" s="138"/>
      <c r="AZ938" s="138"/>
      <c r="BA938" s="138"/>
      <c r="BB938" s="138"/>
      <c r="BC938" s="138"/>
      <c r="BD938" s="138"/>
      <c r="BE938" s="138"/>
      <c r="BF938" s="138"/>
      <c r="BG938" s="138"/>
      <c r="BH938" s="138"/>
      <c r="BI938" s="138"/>
      <c r="BJ938" s="138"/>
      <c r="BK938" s="138"/>
      <c r="BL938" s="138"/>
      <c r="BM938" s="138"/>
      <c r="BN938" s="138"/>
      <c r="BO938" s="138"/>
    </row>
    <row r="939" spans="1:67" ht="23.25" customHeight="1" x14ac:dyDescent="0.2">
      <c r="A939" s="189"/>
      <c r="B939" s="190"/>
      <c r="C939" s="191"/>
      <c r="D939" s="244"/>
      <c r="E939" s="192"/>
      <c r="F939" s="192"/>
      <c r="G939" s="192"/>
      <c r="H939" s="249"/>
      <c r="I939" s="193"/>
      <c r="J939" s="204"/>
      <c r="K939" s="290">
        <f>SUM(K933:K938)</f>
        <v>16000</v>
      </c>
      <c r="L939" s="191"/>
      <c r="M939" s="197"/>
      <c r="AV939" s="138"/>
      <c r="AW939" s="138"/>
      <c r="AX939" s="138"/>
      <c r="AY939" s="138"/>
      <c r="AZ939" s="138"/>
      <c r="BA939" s="138"/>
      <c r="BB939" s="138"/>
      <c r="BC939" s="138"/>
      <c r="BD939" s="138"/>
      <c r="BE939" s="138"/>
      <c r="BF939" s="138"/>
      <c r="BG939" s="138"/>
      <c r="BH939" s="138"/>
      <c r="BI939" s="138"/>
      <c r="BJ939" s="138"/>
      <c r="BK939" s="138"/>
      <c r="BL939" s="138"/>
      <c r="BM939" s="138"/>
      <c r="BN939" s="138"/>
      <c r="BO939" s="138"/>
    </row>
    <row r="940" spans="1:67" ht="23.25" customHeight="1" x14ac:dyDescent="0.2">
      <c r="A940" s="167">
        <v>242</v>
      </c>
      <c r="B940" s="168" t="s">
        <v>1328</v>
      </c>
      <c r="C940" s="169"/>
      <c r="D940" s="250" t="s">
        <v>107</v>
      </c>
      <c r="E940" s="170"/>
      <c r="F940" s="170"/>
      <c r="G940" s="170"/>
      <c r="H940" s="246"/>
      <c r="I940" s="217" t="s">
        <v>1321</v>
      </c>
      <c r="J940" s="223" t="s">
        <v>772</v>
      </c>
      <c r="K940" s="266">
        <f>16000*50%</f>
        <v>8000</v>
      </c>
      <c r="L940" s="169" t="s">
        <v>111</v>
      </c>
      <c r="M940" s="175" t="s">
        <v>1329</v>
      </c>
      <c r="AV940" s="138"/>
      <c r="AW940" s="138"/>
      <c r="AX940" s="138"/>
      <c r="AY940" s="138"/>
      <c r="AZ940" s="138"/>
      <c r="BA940" s="138"/>
      <c r="BB940" s="138"/>
      <c r="BC940" s="138"/>
      <c r="BD940" s="138"/>
      <c r="BE940" s="138"/>
      <c r="BF940" s="138"/>
      <c r="BG940" s="138"/>
      <c r="BH940" s="138"/>
      <c r="BI940" s="138"/>
      <c r="BJ940" s="138"/>
      <c r="BK940" s="138"/>
      <c r="BL940" s="138"/>
      <c r="BM940" s="138"/>
      <c r="BN940" s="138"/>
      <c r="BO940" s="138"/>
    </row>
    <row r="941" spans="1:67" ht="23.25" customHeight="1" x14ac:dyDescent="0.2">
      <c r="A941" s="177"/>
      <c r="B941" s="178"/>
      <c r="C941" s="179"/>
      <c r="D941" s="243"/>
      <c r="E941" s="180"/>
      <c r="F941" s="180"/>
      <c r="G941" s="180"/>
      <c r="H941" s="248"/>
      <c r="I941" s="171" t="s">
        <v>1330</v>
      </c>
      <c r="J941" s="371" t="s">
        <v>1331</v>
      </c>
      <c r="K941" s="370">
        <f>16000*10%</f>
        <v>1600</v>
      </c>
      <c r="L941" s="179"/>
      <c r="M941" s="185"/>
      <c r="AV941" s="138"/>
      <c r="AW941" s="138"/>
      <c r="AX941" s="138"/>
      <c r="AY941" s="138"/>
      <c r="AZ941" s="138"/>
      <c r="BA941" s="138"/>
      <c r="BB941" s="138"/>
      <c r="BC941" s="138"/>
      <c r="BD941" s="138"/>
      <c r="BE941" s="138"/>
      <c r="BF941" s="138"/>
      <c r="BG941" s="138"/>
      <c r="BH941" s="138"/>
      <c r="BI941" s="138"/>
      <c r="BJ941" s="138"/>
      <c r="BK941" s="138"/>
      <c r="BL941" s="138"/>
      <c r="BM941" s="138"/>
      <c r="BN941" s="138"/>
      <c r="BO941" s="138"/>
    </row>
    <row r="942" spans="1:67" ht="23.25" customHeight="1" x14ac:dyDescent="0.2">
      <c r="A942" s="177"/>
      <c r="B942" s="178"/>
      <c r="C942" s="179"/>
      <c r="D942" s="243"/>
      <c r="E942" s="180"/>
      <c r="F942" s="180"/>
      <c r="G942" s="180"/>
      <c r="H942" s="248"/>
      <c r="I942" s="188" t="s">
        <v>1332</v>
      </c>
      <c r="J942" s="207" t="s">
        <v>772</v>
      </c>
      <c r="K942" s="199">
        <f t="shared" ref="K942:K945" si="18">16000*10%</f>
        <v>1600</v>
      </c>
      <c r="L942" s="179"/>
      <c r="M942" s="185"/>
      <c r="AV942" s="138"/>
      <c r="AW942" s="138"/>
      <c r="AX942" s="138"/>
      <c r="AY942" s="138"/>
      <c r="AZ942" s="138"/>
      <c r="BA942" s="138"/>
      <c r="BB942" s="138"/>
      <c r="BC942" s="138"/>
      <c r="BD942" s="138"/>
      <c r="BE942" s="138"/>
      <c r="BF942" s="138"/>
      <c r="BG942" s="138"/>
      <c r="BH942" s="138"/>
      <c r="BI942" s="138"/>
      <c r="BJ942" s="138"/>
      <c r="BK942" s="138"/>
      <c r="BL942" s="138"/>
      <c r="BM942" s="138"/>
      <c r="BN942" s="138"/>
      <c r="BO942" s="138"/>
    </row>
    <row r="943" spans="1:67" ht="23.25" customHeight="1" x14ac:dyDescent="0.2">
      <c r="A943" s="177"/>
      <c r="B943" s="178"/>
      <c r="C943" s="179"/>
      <c r="D943" s="243"/>
      <c r="E943" s="180"/>
      <c r="F943" s="180"/>
      <c r="G943" s="180"/>
      <c r="H943" s="248"/>
      <c r="I943" s="188" t="s">
        <v>1333</v>
      </c>
      <c r="J943" s="207" t="s">
        <v>772</v>
      </c>
      <c r="K943" s="199">
        <f t="shared" si="18"/>
        <v>1600</v>
      </c>
      <c r="L943" s="179"/>
      <c r="M943" s="185"/>
      <c r="AV943" s="138"/>
      <c r="AW943" s="138"/>
      <c r="AX943" s="138"/>
      <c r="AY943" s="138"/>
      <c r="AZ943" s="138"/>
      <c r="BA943" s="138"/>
      <c r="BB943" s="138"/>
      <c r="BC943" s="138"/>
      <c r="BD943" s="138"/>
      <c r="BE943" s="138"/>
      <c r="BF943" s="138"/>
      <c r="BG943" s="138"/>
      <c r="BH943" s="138"/>
      <c r="BI943" s="138"/>
      <c r="BJ943" s="138"/>
      <c r="BK943" s="138"/>
      <c r="BL943" s="138"/>
      <c r="BM943" s="138"/>
      <c r="BN943" s="138"/>
      <c r="BO943" s="138"/>
    </row>
    <row r="944" spans="1:67" ht="23.25" customHeight="1" x14ac:dyDescent="0.2">
      <c r="A944" s="177"/>
      <c r="B944" s="178"/>
      <c r="C944" s="179"/>
      <c r="D944" s="243"/>
      <c r="E944" s="180"/>
      <c r="F944" s="180"/>
      <c r="G944" s="180"/>
      <c r="H944" s="248"/>
      <c r="I944" s="171" t="s">
        <v>1334</v>
      </c>
      <c r="J944" s="207" t="s">
        <v>772</v>
      </c>
      <c r="K944" s="214">
        <f t="shared" si="18"/>
        <v>1600</v>
      </c>
      <c r="L944" s="179"/>
      <c r="M944" s="185"/>
      <c r="AV944" s="138"/>
      <c r="AW944" s="138"/>
      <c r="AX944" s="138"/>
      <c r="AY944" s="138"/>
      <c r="AZ944" s="138"/>
      <c r="BA944" s="138"/>
      <c r="BB944" s="138"/>
      <c r="BC944" s="138"/>
      <c r="BD944" s="138"/>
      <c r="BE944" s="138"/>
      <c r="BF944" s="138"/>
      <c r="BG944" s="138"/>
      <c r="BH944" s="138"/>
      <c r="BI944" s="138"/>
      <c r="BJ944" s="138"/>
      <c r="BK944" s="138"/>
      <c r="BL944" s="138"/>
      <c r="BM944" s="138"/>
      <c r="BN944" s="138"/>
      <c r="BO944" s="138"/>
    </row>
    <row r="945" spans="1:67" ht="23.25" customHeight="1" x14ac:dyDescent="0.2">
      <c r="A945" s="177"/>
      <c r="B945" s="178"/>
      <c r="C945" s="179"/>
      <c r="D945" s="243"/>
      <c r="E945" s="180"/>
      <c r="F945" s="180"/>
      <c r="G945" s="180"/>
      <c r="H945" s="248"/>
      <c r="I945" s="181" t="s">
        <v>1335</v>
      </c>
      <c r="J945" s="207" t="s">
        <v>772</v>
      </c>
      <c r="K945" s="370">
        <f t="shared" si="18"/>
        <v>1600</v>
      </c>
      <c r="L945" s="179"/>
      <c r="M945" s="185"/>
      <c r="AV945" s="138"/>
      <c r="AW945" s="138"/>
      <c r="AX945" s="138"/>
      <c r="AY945" s="138"/>
      <c r="AZ945" s="138"/>
      <c r="BA945" s="138"/>
      <c r="BB945" s="138"/>
      <c r="BC945" s="138"/>
      <c r="BD945" s="138"/>
      <c r="BE945" s="138"/>
      <c r="BF945" s="138"/>
      <c r="BG945" s="138"/>
      <c r="BH945" s="138"/>
      <c r="BI945" s="138"/>
      <c r="BJ945" s="138"/>
      <c r="BK945" s="138"/>
      <c r="BL945" s="138"/>
      <c r="BM945" s="138"/>
      <c r="BN945" s="138"/>
      <c r="BO945" s="138"/>
    </row>
    <row r="946" spans="1:67" ht="23.25" customHeight="1" x14ac:dyDescent="0.2">
      <c r="A946" s="189"/>
      <c r="B946" s="190"/>
      <c r="C946" s="191"/>
      <c r="D946" s="244"/>
      <c r="E946" s="192"/>
      <c r="F946" s="192"/>
      <c r="G946" s="192"/>
      <c r="H946" s="249"/>
      <c r="I946" s="203"/>
      <c r="J946" s="204"/>
      <c r="K946" s="245">
        <f>SUM(K940:K945)</f>
        <v>16000</v>
      </c>
      <c r="L946" s="191"/>
      <c r="M946" s="197"/>
      <c r="AV946" s="138"/>
      <c r="AW946" s="138"/>
      <c r="AX946" s="138"/>
      <c r="AY946" s="138"/>
      <c r="AZ946" s="138"/>
      <c r="BA946" s="138"/>
      <c r="BB946" s="138"/>
      <c r="BC946" s="138"/>
      <c r="BD946" s="138"/>
      <c r="BE946" s="138"/>
      <c r="BF946" s="138"/>
      <c r="BG946" s="138"/>
      <c r="BH946" s="138"/>
      <c r="BI946" s="138"/>
      <c r="BJ946" s="138"/>
      <c r="BK946" s="138"/>
      <c r="BL946" s="138"/>
      <c r="BM946" s="138"/>
      <c r="BN946" s="138"/>
      <c r="BO946" s="138"/>
    </row>
    <row r="947" spans="1:67" ht="46.5" customHeight="1" x14ac:dyDescent="0.2">
      <c r="A947" s="231">
        <v>243</v>
      </c>
      <c r="B947" s="253" t="s">
        <v>1336</v>
      </c>
      <c r="C947" s="254" t="s">
        <v>1336</v>
      </c>
      <c r="D947" s="255" t="s">
        <v>107</v>
      </c>
      <c r="E947" s="256"/>
      <c r="F947" s="256"/>
      <c r="G947" s="256"/>
      <c r="H947" s="257"/>
      <c r="I947" s="280" t="s">
        <v>1337</v>
      </c>
      <c r="J947" s="300" t="s">
        <v>772</v>
      </c>
      <c r="K947" s="282">
        <v>18000</v>
      </c>
      <c r="L947" s="293" t="s">
        <v>111</v>
      </c>
      <c r="M947" s="215" t="s">
        <v>1338</v>
      </c>
      <c r="AV947" s="138"/>
      <c r="AW947" s="138"/>
      <c r="AX947" s="138"/>
      <c r="AY947" s="138"/>
      <c r="AZ947" s="138"/>
      <c r="BA947" s="138"/>
      <c r="BB947" s="138"/>
      <c r="BC947" s="138"/>
      <c r="BD947" s="138"/>
      <c r="BE947" s="138"/>
      <c r="BF947" s="138"/>
      <c r="BG947" s="138"/>
      <c r="BH947" s="138"/>
      <c r="BI947" s="138"/>
      <c r="BJ947" s="138"/>
      <c r="BK947" s="138"/>
      <c r="BL947" s="138"/>
      <c r="BM947" s="138"/>
      <c r="BN947" s="138"/>
      <c r="BO947" s="138"/>
    </row>
    <row r="948" spans="1:67" ht="52.5" customHeight="1" x14ac:dyDescent="0.2">
      <c r="A948" s="399">
        <v>244</v>
      </c>
      <c r="B948" s="168" t="s">
        <v>1339</v>
      </c>
      <c r="C948" s="169"/>
      <c r="D948" s="260" t="s">
        <v>25</v>
      </c>
      <c r="E948" s="261"/>
      <c r="F948" s="261"/>
      <c r="G948" s="261" t="s">
        <v>1340</v>
      </c>
      <c r="H948" s="404"/>
      <c r="I948" s="296" t="s">
        <v>1341</v>
      </c>
      <c r="J948" s="259" t="s">
        <v>772</v>
      </c>
      <c r="K948" s="363">
        <v>900000</v>
      </c>
      <c r="L948" s="259" t="s">
        <v>1340</v>
      </c>
      <c r="M948" s="172" t="s">
        <v>1342</v>
      </c>
      <c r="AV948" s="138"/>
      <c r="AW948" s="138"/>
      <c r="AX948" s="138"/>
      <c r="AY948" s="138"/>
      <c r="AZ948" s="138"/>
      <c r="BA948" s="138"/>
      <c r="BB948" s="138"/>
      <c r="BC948" s="138"/>
      <c r="BD948" s="138"/>
      <c r="BE948" s="138"/>
      <c r="BF948" s="138"/>
      <c r="BG948" s="138"/>
      <c r="BH948" s="138"/>
      <c r="BI948" s="138"/>
      <c r="BJ948" s="138"/>
      <c r="BK948" s="138"/>
      <c r="BL948" s="138"/>
      <c r="BM948" s="138"/>
      <c r="BN948" s="138"/>
      <c r="BO948" s="138"/>
    </row>
    <row r="949" spans="1:67" ht="29.25" customHeight="1" x14ac:dyDescent="0.2">
      <c r="A949" s="250">
        <v>245</v>
      </c>
      <c r="B949" s="168" t="s">
        <v>1343</v>
      </c>
      <c r="C949" s="169"/>
      <c r="D949" s="250" t="s">
        <v>25</v>
      </c>
      <c r="E949" s="170"/>
      <c r="F949" s="170"/>
      <c r="G949" s="170" t="s">
        <v>1344</v>
      </c>
      <c r="H949" s="170"/>
      <c r="I949" s="296" t="s">
        <v>1345</v>
      </c>
      <c r="J949" s="259" t="s">
        <v>772</v>
      </c>
      <c r="K949" s="405">
        <f>500000*50%</f>
        <v>250000</v>
      </c>
      <c r="L949" s="175" t="s">
        <v>1344</v>
      </c>
      <c r="M949" s="175" t="s">
        <v>1346</v>
      </c>
      <c r="AV949" s="138"/>
      <c r="AW949" s="138"/>
      <c r="AX949" s="138"/>
      <c r="AY949" s="138"/>
      <c r="AZ949" s="138"/>
      <c r="BA949" s="138"/>
      <c r="BB949" s="138"/>
      <c r="BC949" s="138"/>
      <c r="BD949" s="138"/>
      <c r="BE949" s="138"/>
      <c r="BF949" s="138"/>
      <c r="BG949" s="138"/>
      <c r="BH949" s="138"/>
      <c r="BI949" s="138"/>
      <c r="BJ949" s="138"/>
      <c r="BK949" s="138"/>
      <c r="BL949" s="138"/>
      <c r="BM949" s="138"/>
      <c r="BN949" s="138"/>
      <c r="BO949" s="138"/>
    </row>
    <row r="950" spans="1:67" ht="27.75" customHeight="1" x14ac:dyDescent="0.2">
      <c r="A950" s="243"/>
      <c r="B950" s="178"/>
      <c r="C950" s="179"/>
      <c r="D950" s="243"/>
      <c r="E950" s="180"/>
      <c r="F950" s="180"/>
      <c r="G950" s="180"/>
      <c r="H950" s="180"/>
      <c r="I950" s="188" t="s">
        <v>1347</v>
      </c>
      <c r="J950" s="207" t="s">
        <v>1348</v>
      </c>
      <c r="K950" s="406">
        <f>500000*25%</f>
        <v>125000</v>
      </c>
      <c r="L950" s="185"/>
      <c r="M950" s="185"/>
      <c r="AV950" s="138"/>
      <c r="AW950" s="138"/>
      <c r="AX950" s="138"/>
      <c r="AY950" s="138"/>
      <c r="AZ950" s="138"/>
      <c r="BA950" s="138"/>
      <c r="BB950" s="138"/>
      <c r="BC950" s="138"/>
      <c r="BD950" s="138"/>
      <c r="BE950" s="138"/>
      <c r="BF950" s="138"/>
      <c r="BG950" s="138"/>
      <c r="BH950" s="138"/>
      <c r="BI950" s="138"/>
      <c r="BJ950" s="138"/>
      <c r="BK950" s="138"/>
      <c r="BL950" s="138"/>
      <c r="BM950" s="138"/>
      <c r="BN950" s="138"/>
      <c r="BO950" s="138"/>
    </row>
    <row r="951" spans="1:67" ht="27" customHeight="1" x14ac:dyDescent="0.2">
      <c r="A951" s="243"/>
      <c r="B951" s="178"/>
      <c r="C951" s="179"/>
      <c r="D951" s="243"/>
      <c r="E951" s="180"/>
      <c r="F951" s="180"/>
      <c r="G951" s="180"/>
      <c r="H951" s="180"/>
      <c r="I951" s="181" t="s">
        <v>1349</v>
      </c>
      <c r="J951" s="207" t="s">
        <v>1348</v>
      </c>
      <c r="K951" s="407">
        <f>500000*25%</f>
        <v>125000</v>
      </c>
      <c r="L951" s="185"/>
      <c r="M951" s="185"/>
      <c r="AV951" s="138"/>
      <c r="AW951" s="138"/>
      <c r="AX951" s="138"/>
      <c r="AY951" s="138"/>
      <c r="AZ951" s="138"/>
      <c r="BA951" s="138"/>
      <c r="BB951" s="138"/>
      <c r="BC951" s="138"/>
      <c r="BD951" s="138"/>
      <c r="BE951" s="138"/>
      <c r="BF951" s="138"/>
      <c r="BG951" s="138"/>
      <c r="BH951" s="138"/>
      <c r="BI951" s="138"/>
      <c r="BJ951" s="138"/>
      <c r="BK951" s="138"/>
      <c r="BL951" s="138"/>
      <c r="BM951" s="138"/>
      <c r="BN951" s="138"/>
      <c r="BO951" s="138"/>
    </row>
    <row r="952" spans="1:67" ht="27.75" customHeight="1" x14ac:dyDescent="0.2">
      <c r="A952" s="243"/>
      <c r="B952" s="178"/>
      <c r="C952" s="179"/>
      <c r="D952" s="244"/>
      <c r="E952" s="192"/>
      <c r="F952" s="180"/>
      <c r="G952" s="180"/>
      <c r="H952" s="180"/>
      <c r="I952" s="203"/>
      <c r="J952" s="204"/>
      <c r="K952" s="290">
        <v>500000</v>
      </c>
      <c r="L952" s="185"/>
      <c r="M952" s="185"/>
      <c r="AV952" s="138"/>
      <c r="AW952" s="138"/>
      <c r="AX952" s="138"/>
      <c r="AY952" s="138"/>
      <c r="AZ952" s="138"/>
      <c r="BA952" s="138"/>
      <c r="BB952" s="138"/>
      <c r="BC952" s="138"/>
      <c r="BD952" s="138"/>
      <c r="BE952" s="138"/>
      <c r="BF952" s="138"/>
      <c r="BG952" s="138"/>
      <c r="BH952" s="138"/>
      <c r="BI952" s="138"/>
      <c r="BJ952" s="138"/>
      <c r="BK952" s="138"/>
      <c r="BL952" s="138"/>
      <c r="BM952" s="138"/>
      <c r="BN952" s="138"/>
      <c r="BO952" s="138"/>
    </row>
    <row r="953" spans="1:67" ht="27.75" customHeight="1" x14ac:dyDescent="0.2">
      <c r="A953" s="408">
        <v>246</v>
      </c>
      <c r="B953" s="246" t="s">
        <v>1350</v>
      </c>
      <c r="C953" s="222"/>
      <c r="D953" s="250" t="s">
        <v>25</v>
      </c>
      <c r="E953" s="170"/>
      <c r="F953" s="170"/>
      <c r="G953" s="170" t="s">
        <v>1351</v>
      </c>
      <c r="H953" s="409"/>
      <c r="I953" s="217" t="s">
        <v>1352</v>
      </c>
      <c r="J953" s="223" t="s">
        <v>772</v>
      </c>
      <c r="K953" s="363">
        <f>300000*65%</f>
        <v>195000</v>
      </c>
      <c r="L953" s="376" t="s">
        <v>1351</v>
      </c>
      <c r="M953" s="376" t="s">
        <v>1346</v>
      </c>
      <c r="AV953" s="138"/>
      <c r="AW953" s="138"/>
      <c r="AX953" s="138"/>
      <c r="AY953" s="138"/>
      <c r="AZ953" s="138"/>
      <c r="BA953" s="138"/>
      <c r="BB953" s="138"/>
      <c r="BC953" s="138"/>
      <c r="BD953" s="138"/>
      <c r="BE953" s="138"/>
      <c r="BF953" s="138"/>
      <c r="BG953" s="138"/>
      <c r="BH953" s="138"/>
      <c r="BI953" s="138"/>
      <c r="BJ953" s="138"/>
      <c r="BK953" s="138"/>
      <c r="BL953" s="138"/>
      <c r="BM953" s="138"/>
      <c r="BN953" s="138"/>
      <c r="BO953" s="138"/>
    </row>
    <row r="954" spans="1:67" ht="27.75" customHeight="1" x14ac:dyDescent="0.2">
      <c r="A954" s="408"/>
      <c r="B954" s="248"/>
      <c r="C954" s="225"/>
      <c r="D954" s="243"/>
      <c r="E954" s="180"/>
      <c r="F954" s="180"/>
      <c r="G954" s="180"/>
      <c r="H954" s="409"/>
      <c r="I954" s="188" t="s">
        <v>1353</v>
      </c>
      <c r="J954" s="207" t="s">
        <v>1348</v>
      </c>
      <c r="K954" s="214">
        <f>300000*15%</f>
        <v>45000</v>
      </c>
      <c r="L954" s="376"/>
      <c r="M954" s="376"/>
      <c r="AV954" s="138"/>
      <c r="AW954" s="138"/>
      <c r="AX954" s="138"/>
      <c r="AY954" s="138"/>
      <c r="AZ954" s="138"/>
      <c r="BA954" s="138"/>
      <c r="BB954" s="138"/>
      <c r="BC954" s="138"/>
      <c r="BD954" s="138"/>
      <c r="BE954" s="138"/>
      <c r="BF954" s="138"/>
      <c r="BG954" s="138"/>
      <c r="BH954" s="138"/>
      <c r="BI954" s="138"/>
      <c r="BJ954" s="138"/>
      <c r="BK954" s="138"/>
      <c r="BL954" s="138"/>
      <c r="BM954" s="138"/>
      <c r="BN954" s="138"/>
      <c r="BO954" s="138"/>
    </row>
    <row r="955" spans="1:67" ht="27.75" customHeight="1" x14ac:dyDescent="0.2">
      <c r="A955" s="408"/>
      <c r="B955" s="248"/>
      <c r="C955" s="225"/>
      <c r="D955" s="243"/>
      <c r="E955" s="180"/>
      <c r="F955" s="180"/>
      <c r="G955" s="180"/>
      <c r="H955" s="409"/>
      <c r="I955" s="171" t="s">
        <v>1354</v>
      </c>
      <c r="J955" s="172" t="s">
        <v>1348</v>
      </c>
      <c r="K955" s="370">
        <f>300000*10%</f>
        <v>30000</v>
      </c>
      <c r="L955" s="376"/>
      <c r="M955" s="376"/>
      <c r="AV955" s="138"/>
      <c r="AW955" s="138"/>
      <c r="AX955" s="138"/>
      <c r="AY955" s="138"/>
      <c r="AZ955" s="138"/>
      <c r="BA955" s="138"/>
      <c r="BB955" s="138"/>
      <c r="BC955" s="138"/>
      <c r="BD955" s="138"/>
      <c r="BE955" s="138"/>
      <c r="BF955" s="138"/>
      <c r="BG955" s="138"/>
      <c r="BH955" s="138"/>
      <c r="BI955" s="138"/>
      <c r="BJ955" s="138"/>
      <c r="BK955" s="138"/>
      <c r="BL955" s="138"/>
      <c r="BM955" s="138"/>
      <c r="BN955" s="138"/>
      <c r="BO955" s="138"/>
    </row>
    <row r="956" spans="1:67" ht="27.75" customHeight="1" x14ac:dyDescent="0.2">
      <c r="A956" s="408"/>
      <c r="B956" s="248"/>
      <c r="C956" s="225"/>
      <c r="D956" s="243"/>
      <c r="E956" s="180"/>
      <c r="F956" s="180"/>
      <c r="G956" s="180"/>
      <c r="H956" s="409"/>
      <c r="I956" s="188" t="s">
        <v>1355</v>
      </c>
      <c r="J956" s="207" t="s">
        <v>1356</v>
      </c>
      <c r="K956" s="199">
        <f>300000*10%</f>
        <v>30000</v>
      </c>
      <c r="L956" s="376"/>
      <c r="M956" s="376"/>
      <c r="AV956" s="138"/>
      <c r="AW956" s="138"/>
      <c r="AX956" s="138"/>
      <c r="AY956" s="138"/>
      <c r="AZ956" s="138"/>
      <c r="BA956" s="138"/>
      <c r="BB956" s="138"/>
      <c r="BC956" s="138"/>
      <c r="BD956" s="138"/>
      <c r="BE956" s="138"/>
      <c r="BF956" s="138"/>
      <c r="BG956" s="138"/>
      <c r="BH956" s="138"/>
      <c r="BI956" s="138"/>
      <c r="BJ956" s="138"/>
      <c r="BK956" s="138"/>
      <c r="BL956" s="138"/>
      <c r="BM956" s="138"/>
      <c r="BN956" s="138"/>
      <c r="BO956" s="138"/>
    </row>
    <row r="957" spans="1:67" ht="27.75" customHeight="1" x14ac:dyDescent="0.2">
      <c r="A957" s="408"/>
      <c r="B957" s="249"/>
      <c r="C957" s="228"/>
      <c r="D957" s="244"/>
      <c r="E957" s="192"/>
      <c r="F957" s="192"/>
      <c r="G957" s="192"/>
      <c r="H957" s="409"/>
      <c r="I957" s="203"/>
      <c r="J957" s="204"/>
      <c r="K957" s="290">
        <v>300000</v>
      </c>
      <c r="L957" s="376"/>
      <c r="M957" s="376"/>
      <c r="AV957" s="138"/>
      <c r="AW957" s="138"/>
      <c r="AX957" s="138"/>
      <c r="AY957" s="138"/>
      <c r="AZ957" s="138"/>
      <c r="BA957" s="138"/>
      <c r="BB957" s="138"/>
      <c r="BC957" s="138"/>
      <c r="BD957" s="138"/>
      <c r="BE957" s="138"/>
      <c r="BF957" s="138"/>
      <c r="BG957" s="138"/>
      <c r="BH957" s="138"/>
      <c r="BI957" s="138"/>
      <c r="BJ957" s="138"/>
      <c r="BK957" s="138"/>
      <c r="BL957" s="138"/>
      <c r="BM957" s="138"/>
      <c r="BN957" s="138"/>
      <c r="BO957" s="138"/>
    </row>
    <row r="958" spans="1:67" s="267" customFormat="1" ht="78" customHeight="1" x14ac:dyDescent="0.2">
      <c r="A958" s="294">
        <v>247</v>
      </c>
      <c r="B958" s="298" t="s">
        <v>1357</v>
      </c>
      <c r="C958" s="299"/>
      <c r="D958" s="295" t="s">
        <v>107</v>
      </c>
      <c r="E958" s="295"/>
      <c r="F958" s="295"/>
      <c r="G958" s="295"/>
      <c r="H958" s="295"/>
      <c r="I958" s="280" t="s">
        <v>1358</v>
      </c>
      <c r="J958" s="300" t="s">
        <v>1359</v>
      </c>
      <c r="K958" s="282">
        <v>18000</v>
      </c>
      <c r="L958" s="293" t="s">
        <v>111</v>
      </c>
      <c r="M958" s="259" t="s">
        <v>1360</v>
      </c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  <c r="AF958" s="138"/>
      <c r="AG958" s="138"/>
      <c r="AH958" s="138"/>
      <c r="AI958" s="138"/>
      <c r="AJ958" s="138"/>
      <c r="AK958" s="138"/>
      <c r="AL958" s="138"/>
      <c r="AM958" s="138"/>
      <c r="AN958" s="138"/>
      <c r="AO958" s="138"/>
      <c r="AP958" s="138"/>
      <c r="AQ958" s="138"/>
      <c r="AR958" s="138"/>
      <c r="AS958" s="138"/>
      <c r="AT958" s="138"/>
      <c r="AU958" s="138"/>
      <c r="AV958" s="138"/>
      <c r="AW958" s="138"/>
      <c r="AX958" s="138"/>
      <c r="AY958" s="138"/>
      <c r="AZ958" s="138"/>
      <c r="BA958" s="138"/>
      <c r="BB958" s="138"/>
      <c r="BC958" s="138"/>
      <c r="BD958" s="138"/>
      <c r="BE958" s="138"/>
      <c r="BF958" s="138"/>
      <c r="BG958" s="138"/>
      <c r="BH958" s="138"/>
      <c r="BI958" s="138"/>
      <c r="BJ958" s="138"/>
      <c r="BK958" s="138"/>
      <c r="BL958" s="138"/>
      <c r="BM958" s="138"/>
      <c r="BN958" s="138"/>
      <c r="BO958" s="138"/>
    </row>
    <row r="959" spans="1:67" s="267" customFormat="1" ht="27.75" customHeight="1" x14ac:dyDescent="0.2">
      <c r="A959" s="250">
        <v>248</v>
      </c>
      <c r="B959" s="263" t="s">
        <v>1361</v>
      </c>
      <c r="C959" s="264"/>
      <c r="D959" s="170" t="s">
        <v>107</v>
      </c>
      <c r="E959" s="170"/>
      <c r="F959" s="170"/>
      <c r="G959" s="170"/>
      <c r="H959" s="170" t="s">
        <v>137</v>
      </c>
      <c r="I959" s="274" t="s">
        <v>1362</v>
      </c>
      <c r="J959" s="275" t="s">
        <v>1359</v>
      </c>
      <c r="K959" s="276">
        <f>63000*70%</f>
        <v>44100</v>
      </c>
      <c r="L959" s="175" t="s">
        <v>111</v>
      </c>
      <c r="M959" s="175" t="s">
        <v>1363</v>
      </c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38"/>
      <c r="AI959" s="138"/>
      <c r="AJ959" s="138"/>
      <c r="AK959" s="138"/>
      <c r="AL959" s="138"/>
      <c r="AM959" s="138"/>
      <c r="AN959" s="138"/>
      <c r="AO959" s="138"/>
      <c r="AP959" s="138"/>
      <c r="AQ959" s="138"/>
      <c r="AR959" s="138"/>
      <c r="AS959" s="138"/>
      <c r="AT959" s="138"/>
      <c r="AU959" s="138"/>
      <c r="AV959" s="138"/>
      <c r="AW959" s="138"/>
      <c r="AX959" s="138"/>
      <c r="AY959" s="138"/>
      <c r="AZ959" s="138"/>
      <c r="BA959" s="138"/>
      <c r="BB959" s="138"/>
      <c r="BC959" s="138"/>
      <c r="BD959" s="138"/>
      <c r="BE959" s="138"/>
      <c r="BF959" s="138"/>
      <c r="BG959" s="138"/>
      <c r="BH959" s="138"/>
      <c r="BI959" s="138"/>
      <c r="BJ959" s="138"/>
      <c r="BK959" s="138"/>
      <c r="BL959" s="138"/>
      <c r="BM959" s="138"/>
      <c r="BN959" s="138"/>
      <c r="BO959" s="138"/>
    </row>
    <row r="960" spans="1:67" s="267" customFormat="1" ht="27.75" customHeight="1" x14ac:dyDescent="0.2">
      <c r="A960" s="243"/>
      <c r="B960" s="268"/>
      <c r="C960" s="269"/>
      <c r="D960" s="180"/>
      <c r="E960" s="180"/>
      <c r="F960" s="180"/>
      <c r="G960" s="180"/>
      <c r="H960" s="180"/>
      <c r="I960" s="188" t="s">
        <v>1364</v>
      </c>
      <c r="J960" s="270" t="s">
        <v>1365</v>
      </c>
      <c r="K960" s="214">
        <f>63000*30%</f>
        <v>18900</v>
      </c>
      <c r="L960" s="185"/>
      <c r="M960" s="185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  <c r="AF960" s="138"/>
      <c r="AG960" s="138"/>
      <c r="AH960" s="138"/>
      <c r="AI960" s="138"/>
      <c r="AJ960" s="138"/>
      <c r="AK960" s="138"/>
      <c r="AL960" s="138"/>
      <c r="AM960" s="138"/>
      <c r="AN960" s="138"/>
      <c r="AO960" s="138"/>
      <c r="AP960" s="138"/>
      <c r="AQ960" s="138"/>
      <c r="AR960" s="138"/>
      <c r="AS960" s="138"/>
      <c r="AT960" s="138"/>
      <c r="AU960" s="138"/>
      <c r="AV960" s="138"/>
      <c r="AW960" s="138"/>
      <c r="AX960" s="138"/>
      <c r="AY960" s="138"/>
      <c r="AZ960" s="138"/>
      <c r="BA960" s="138"/>
      <c r="BB960" s="138"/>
      <c r="BC960" s="138"/>
      <c r="BD960" s="138"/>
      <c r="BE960" s="138"/>
      <c r="BF960" s="138"/>
      <c r="BG960" s="138"/>
      <c r="BH960" s="138"/>
      <c r="BI960" s="138"/>
      <c r="BJ960" s="138"/>
      <c r="BK960" s="138"/>
      <c r="BL960" s="138"/>
      <c r="BM960" s="138"/>
      <c r="BN960" s="138"/>
      <c r="BO960" s="138"/>
    </row>
    <row r="961" spans="1:67" s="267" customFormat="1" ht="27.75" customHeight="1" x14ac:dyDescent="0.2">
      <c r="A961" s="244"/>
      <c r="B961" s="271"/>
      <c r="C961" s="272"/>
      <c r="D961" s="192"/>
      <c r="E961" s="192"/>
      <c r="F961" s="192"/>
      <c r="G961" s="192"/>
      <c r="H961" s="192"/>
      <c r="I961" s="181"/>
      <c r="J961" s="305"/>
      <c r="K961" s="199">
        <f>SUM(K959:K960)</f>
        <v>63000</v>
      </c>
      <c r="L961" s="197"/>
      <c r="M961" s="197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  <c r="AF961" s="138"/>
      <c r="AG961" s="138"/>
      <c r="AH961" s="138"/>
      <c r="AI961" s="138"/>
      <c r="AJ961" s="138"/>
      <c r="AK961" s="138"/>
      <c r="AL961" s="138"/>
      <c r="AM961" s="138"/>
      <c r="AN961" s="138"/>
      <c r="AO961" s="138"/>
      <c r="AP961" s="138"/>
      <c r="AQ961" s="138"/>
      <c r="AR961" s="138"/>
      <c r="AS961" s="138"/>
      <c r="AT961" s="138"/>
      <c r="AU961" s="138"/>
      <c r="AV961" s="138"/>
      <c r="AW961" s="138"/>
      <c r="AX961" s="138"/>
      <c r="AY961" s="138"/>
      <c r="AZ961" s="138"/>
      <c r="BA961" s="138"/>
      <c r="BB961" s="138"/>
      <c r="BC961" s="138"/>
      <c r="BD961" s="138"/>
      <c r="BE961" s="138"/>
      <c r="BF961" s="138"/>
      <c r="BG961" s="138"/>
      <c r="BH961" s="138"/>
      <c r="BI961" s="138"/>
      <c r="BJ961" s="138"/>
      <c r="BK961" s="138"/>
      <c r="BL961" s="138"/>
      <c r="BM961" s="138"/>
      <c r="BN961" s="138"/>
      <c r="BO961" s="138"/>
    </row>
    <row r="962" spans="1:67" ht="24.75" customHeight="1" x14ac:dyDescent="0.2">
      <c r="A962" s="167">
        <v>249</v>
      </c>
      <c r="B962" s="168" t="s">
        <v>1366</v>
      </c>
      <c r="C962" s="169"/>
      <c r="D962" s="170" t="s">
        <v>163</v>
      </c>
      <c r="E962" s="170"/>
      <c r="F962" s="170"/>
      <c r="G962" s="170"/>
      <c r="H962" s="246" t="s">
        <v>964</v>
      </c>
      <c r="I962" s="217" t="s">
        <v>1367</v>
      </c>
      <c r="J962" s="223" t="s">
        <v>1368</v>
      </c>
      <c r="K962" s="353">
        <f>K967*45%</f>
        <v>67500</v>
      </c>
      <c r="L962" s="169" t="s">
        <v>166</v>
      </c>
      <c r="M962" s="175" t="s">
        <v>1369</v>
      </c>
      <c r="AV962" s="138"/>
      <c r="AW962" s="138"/>
      <c r="AX962" s="138"/>
      <c r="AY962" s="138"/>
      <c r="AZ962" s="138"/>
      <c r="BA962" s="138"/>
      <c r="BB962" s="138"/>
      <c r="BC962" s="138"/>
      <c r="BD962" s="138"/>
      <c r="BE962" s="138"/>
      <c r="BF962" s="138"/>
      <c r="BG962" s="138"/>
      <c r="BH962" s="138"/>
      <c r="BI962" s="138"/>
      <c r="BJ962" s="138"/>
      <c r="BK962" s="138"/>
      <c r="BL962" s="138"/>
      <c r="BM962" s="138"/>
      <c r="BN962" s="138"/>
      <c r="BO962" s="138"/>
    </row>
    <row r="963" spans="1:67" ht="24.75" customHeight="1" x14ac:dyDescent="0.2">
      <c r="A963" s="177"/>
      <c r="B963" s="178"/>
      <c r="C963" s="179"/>
      <c r="D963" s="180"/>
      <c r="E963" s="180"/>
      <c r="F963" s="180"/>
      <c r="G963" s="180"/>
      <c r="H963" s="248"/>
      <c r="I963" s="188" t="s">
        <v>1370</v>
      </c>
      <c r="J963" s="207" t="s">
        <v>664</v>
      </c>
      <c r="K963" s="343">
        <f>K967*20%</f>
        <v>30000</v>
      </c>
      <c r="L963" s="179"/>
      <c r="M963" s="185"/>
      <c r="AV963" s="138"/>
      <c r="AW963" s="138"/>
      <c r="AX963" s="138"/>
      <c r="AY963" s="138"/>
      <c r="AZ963" s="138"/>
      <c r="BA963" s="138"/>
      <c r="BB963" s="138"/>
      <c r="BC963" s="138"/>
      <c r="BD963" s="138"/>
      <c r="BE963" s="138"/>
      <c r="BF963" s="138"/>
      <c r="BG963" s="138"/>
      <c r="BH963" s="138"/>
      <c r="BI963" s="138"/>
      <c r="BJ963" s="138"/>
      <c r="BK963" s="138"/>
      <c r="BL963" s="138"/>
      <c r="BM963" s="138"/>
      <c r="BN963" s="138"/>
      <c r="BO963" s="138"/>
    </row>
    <row r="964" spans="1:67" ht="24.75" customHeight="1" x14ac:dyDescent="0.2">
      <c r="A964" s="177"/>
      <c r="B964" s="178"/>
      <c r="C964" s="179"/>
      <c r="D964" s="180"/>
      <c r="E964" s="180"/>
      <c r="F964" s="180"/>
      <c r="G964" s="180"/>
      <c r="H964" s="248"/>
      <c r="I964" s="188" t="s">
        <v>1371</v>
      </c>
      <c r="J964" s="207" t="s">
        <v>274</v>
      </c>
      <c r="K964" s="343">
        <f>K967*15%</f>
        <v>22500</v>
      </c>
      <c r="L964" s="179"/>
      <c r="M964" s="185"/>
      <c r="AV964" s="138"/>
      <c r="AW964" s="138"/>
      <c r="AX964" s="138"/>
      <c r="AY964" s="138"/>
      <c r="AZ964" s="138"/>
      <c r="BA964" s="138"/>
      <c r="BB964" s="138"/>
      <c r="BC964" s="138"/>
      <c r="BD964" s="138"/>
      <c r="BE964" s="138"/>
      <c r="BF964" s="138"/>
      <c r="BG964" s="138"/>
      <c r="BH964" s="138"/>
      <c r="BI964" s="138"/>
      <c r="BJ964" s="138"/>
      <c r="BK964" s="138"/>
      <c r="BL964" s="138"/>
      <c r="BM964" s="138"/>
      <c r="BN964" s="138"/>
      <c r="BO964" s="138"/>
    </row>
    <row r="965" spans="1:67" ht="24.75" customHeight="1" x14ac:dyDescent="0.2">
      <c r="A965" s="177"/>
      <c r="B965" s="178"/>
      <c r="C965" s="179"/>
      <c r="D965" s="180"/>
      <c r="E965" s="180"/>
      <c r="F965" s="180"/>
      <c r="G965" s="180"/>
      <c r="H965" s="248"/>
      <c r="I965" s="188" t="s">
        <v>1372</v>
      </c>
      <c r="J965" s="207" t="s">
        <v>664</v>
      </c>
      <c r="K965" s="343">
        <f>K967*10%</f>
        <v>15000</v>
      </c>
      <c r="L965" s="179"/>
      <c r="M965" s="185"/>
      <c r="AV965" s="138"/>
      <c r="AW965" s="138"/>
      <c r="AX965" s="138"/>
      <c r="AY965" s="138"/>
      <c r="AZ965" s="138"/>
      <c r="BA965" s="138"/>
      <c r="BB965" s="138"/>
      <c r="BC965" s="138"/>
      <c r="BD965" s="138"/>
      <c r="BE965" s="138"/>
      <c r="BF965" s="138"/>
      <c r="BG965" s="138"/>
      <c r="BH965" s="138"/>
      <c r="BI965" s="138"/>
      <c r="BJ965" s="138"/>
      <c r="BK965" s="138"/>
      <c r="BL965" s="138"/>
      <c r="BM965" s="138"/>
      <c r="BN965" s="138"/>
      <c r="BO965" s="138"/>
    </row>
    <row r="966" spans="1:67" ht="24.75" customHeight="1" x14ac:dyDescent="0.2">
      <c r="A966" s="177"/>
      <c r="B966" s="178"/>
      <c r="C966" s="179"/>
      <c r="D966" s="180"/>
      <c r="E966" s="180"/>
      <c r="F966" s="180"/>
      <c r="G966" s="180"/>
      <c r="H966" s="248"/>
      <c r="I966" s="188" t="s">
        <v>736</v>
      </c>
      <c r="J966" s="207" t="s">
        <v>664</v>
      </c>
      <c r="K966" s="343">
        <f>K967*10%</f>
        <v>15000</v>
      </c>
      <c r="L966" s="179"/>
      <c r="M966" s="185"/>
      <c r="AV966" s="138"/>
      <c r="AW966" s="138"/>
      <c r="AX966" s="138"/>
      <c r="AY966" s="138"/>
      <c r="AZ966" s="138"/>
      <c r="BA966" s="138"/>
      <c r="BB966" s="138"/>
      <c r="BC966" s="138"/>
      <c r="BD966" s="138"/>
      <c r="BE966" s="138"/>
      <c r="BF966" s="138"/>
      <c r="BG966" s="138"/>
      <c r="BH966" s="138"/>
      <c r="BI966" s="138"/>
      <c r="BJ966" s="138"/>
      <c r="BK966" s="138"/>
      <c r="BL966" s="138"/>
      <c r="BM966" s="138"/>
      <c r="BN966" s="138"/>
      <c r="BO966" s="138"/>
    </row>
    <row r="967" spans="1:67" ht="24.75" customHeight="1" x14ac:dyDescent="0.2">
      <c r="A967" s="189"/>
      <c r="B967" s="190"/>
      <c r="C967" s="191"/>
      <c r="D967" s="192"/>
      <c r="E967" s="192"/>
      <c r="F967" s="192"/>
      <c r="G967" s="192"/>
      <c r="H967" s="249"/>
      <c r="I967" s="203"/>
      <c r="J967" s="204"/>
      <c r="K967" s="354">
        <v>150000</v>
      </c>
      <c r="L967" s="191"/>
      <c r="M967" s="197"/>
      <c r="AV967" s="138"/>
      <c r="AW967" s="138"/>
      <c r="AX967" s="138"/>
      <c r="AY967" s="138"/>
      <c r="AZ967" s="138"/>
      <c r="BA967" s="138"/>
      <c r="BB967" s="138"/>
      <c r="BC967" s="138"/>
      <c r="BD967" s="138"/>
      <c r="BE967" s="138"/>
      <c r="BF967" s="138"/>
      <c r="BG967" s="138"/>
      <c r="BH967" s="138"/>
      <c r="BI967" s="138"/>
      <c r="BJ967" s="138"/>
      <c r="BK967" s="138"/>
      <c r="BL967" s="138"/>
      <c r="BM967" s="138"/>
      <c r="BN967" s="138"/>
      <c r="BO967" s="138"/>
    </row>
    <row r="968" spans="1:67" ht="22.5" customHeight="1" x14ac:dyDescent="0.2">
      <c r="A968" s="167">
        <v>250</v>
      </c>
      <c r="B968" s="168" t="s">
        <v>1373</v>
      </c>
      <c r="C968" s="169"/>
      <c r="D968" s="170" t="s">
        <v>163</v>
      </c>
      <c r="E968" s="170"/>
      <c r="F968" s="170"/>
      <c r="G968" s="170"/>
      <c r="H968" s="246" t="s">
        <v>1374</v>
      </c>
      <c r="I968" s="217" t="s">
        <v>1375</v>
      </c>
      <c r="J968" s="223" t="s">
        <v>1368</v>
      </c>
      <c r="K968" s="353">
        <f>K975*50%</f>
        <v>161100</v>
      </c>
      <c r="L968" s="169" t="s">
        <v>166</v>
      </c>
      <c r="M968" s="175" t="s">
        <v>1376</v>
      </c>
      <c r="AV968" s="138"/>
      <c r="AW968" s="138"/>
      <c r="AX968" s="138"/>
      <c r="AY968" s="138"/>
      <c r="AZ968" s="138"/>
      <c r="BA968" s="138"/>
      <c r="BB968" s="138"/>
      <c r="BC968" s="138"/>
      <c r="BD968" s="138"/>
      <c r="BE968" s="138"/>
      <c r="BF968" s="138"/>
      <c r="BG968" s="138"/>
      <c r="BH968" s="138"/>
      <c r="BI968" s="138"/>
      <c r="BJ968" s="138"/>
      <c r="BK968" s="138"/>
      <c r="BL968" s="138"/>
      <c r="BM968" s="138"/>
      <c r="BN968" s="138"/>
      <c r="BO968" s="138"/>
    </row>
    <row r="969" spans="1:67" x14ac:dyDescent="0.2">
      <c r="A969" s="177"/>
      <c r="B969" s="178"/>
      <c r="C969" s="179"/>
      <c r="D969" s="180"/>
      <c r="E969" s="180"/>
      <c r="F969" s="180"/>
      <c r="G969" s="180"/>
      <c r="H969" s="248"/>
      <c r="I969" s="188" t="s">
        <v>1377</v>
      </c>
      <c r="J969" s="207" t="s">
        <v>664</v>
      </c>
      <c r="K969" s="343">
        <f>K975*15%</f>
        <v>48330</v>
      </c>
      <c r="L969" s="179"/>
      <c r="M969" s="185"/>
      <c r="AV969" s="138"/>
      <c r="AW969" s="138"/>
      <c r="AX969" s="138"/>
      <c r="AY969" s="138"/>
      <c r="AZ969" s="138"/>
      <c r="BA969" s="138"/>
      <c r="BB969" s="138"/>
      <c r="BC969" s="138"/>
      <c r="BD969" s="138"/>
      <c r="BE969" s="138"/>
      <c r="BF969" s="138"/>
      <c r="BG969" s="138"/>
      <c r="BH969" s="138"/>
      <c r="BI969" s="138"/>
      <c r="BJ969" s="138"/>
      <c r="BK969" s="138"/>
      <c r="BL969" s="138"/>
      <c r="BM969" s="138"/>
      <c r="BN969" s="138"/>
      <c r="BO969" s="138"/>
    </row>
    <row r="970" spans="1:67" x14ac:dyDescent="0.2">
      <c r="A970" s="177"/>
      <c r="B970" s="178"/>
      <c r="C970" s="179"/>
      <c r="D970" s="180"/>
      <c r="E970" s="180"/>
      <c r="F970" s="180"/>
      <c r="G970" s="180"/>
      <c r="H970" s="248"/>
      <c r="I970" s="188" t="s">
        <v>1378</v>
      </c>
      <c r="J970" s="207" t="s">
        <v>664</v>
      </c>
      <c r="K970" s="343">
        <f>K975*15%</f>
        <v>48330</v>
      </c>
      <c r="L970" s="179"/>
      <c r="M970" s="185"/>
      <c r="AV970" s="138"/>
      <c r="AW970" s="138"/>
      <c r="AX970" s="138"/>
      <c r="AY970" s="138"/>
      <c r="AZ970" s="138"/>
      <c r="BA970" s="138"/>
      <c r="BB970" s="138"/>
      <c r="BC970" s="138"/>
      <c r="BD970" s="138"/>
      <c r="BE970" s="138"/>
      <c r="BF970" s="138"/>
      <c r="BG970" s="138"/>
      <c r="BH970" s="138"/>
      <c r="BI970" s="138"/>
      <c r="BJ970" s="138"/>
      <c r="BK970" s="138"/>
      <c r="BL970" s="138"/>
      <c r="BM970" s="138"/>
      <c r="BN970" s="138"/>
      <c r="BO970" s="138"/>
    </row>
    <row r="971" spans="1:67" x14ac:dyDescent="0.2">
      <c r="A971" s="177"/>
      <c r="B971" s="178"/>
      <c r="C971" s="179"/>
      <c r="D971" s="180"/>
      <c r="E971" s="180"/>
      <c r="F971" s="180"/>
      <c r="G971" s="180"/>
      <c r="H971" s="248"/>
      <c r="I971" s="188" t="s">
        <v>1379</v>
      </c>
      <c r="J971" s="207" t="s">
        <v>664</v>
      </c>
      <c r="K971" s="343">
        <f>K975*5%</f>
        <v>16110</v>
      </c>
      <c r="L971" s="179"/>
      <c r="M971" s="185"/>
      <c r="AV971" s="138"/>
      <c r="AW971" s="138"/>
      <c r="AX971" s="138"/>
      <c r="AY971" s="138"/>
      <c r="AZ971" s="138"/>
      <c r="BA971" s="138"/>
      <c r="BB971" s="138"/>
      <c r="BC971" s="138"/>
      <c r="BD971" s="138"/>
      <c r="BE971" s="138"/>
      <c r="BF971" s="138"/>
      <c r="BG971" s="138"/>
      <c r="BH971" s="138"/>
      <c r="BI971" s="138"/>
      <c r="BJ971" s="138"/>
      <c r="BK971" s="138"/>
      <c r="BL971" s="138"/>
      <c r="BM971" s="138"/>
      <c r="BN971" s="138"/>
      <c r="BO971" s="138"/>
    </row>
    <row r="972" spans="1:67" x14ac:dyDescent="0.2">
      <c r="A972" s="177"/>
      <c r="B972" s="178"/>
      <c r="C972" s="179"/>
      <c r="D972" s="180"/>
      <c r="E972" s="180"/>
      <c r="F972" s="180"/>
      <c r="G972" s="180"/>
      <c r="H972" s="248"/>
      <c r="I972" s="188" t="s">
        <v>1380</v>
      </c>
      <c r="J972" s="207" t="s">
        <v>664</v>
      </c>
      <c r="K972" s="343">
        <f>K975*5%</f>
        <v>16110</v>
      </c>
      <c r="L972" s="179"/>
      <c r="M972" s="185"/>
      <c r="AV972" s="138"/>
      <c r="AW972" s="138"/>
      <c r="AX972" s="138"/>
      <c r="AY972" s="138"/>
      <c r="AZ972" s="138"/>
      <c r="BA972" s="138"/>
      <c r="BB972" s="138"/>
      <c r="BC972" s="138"/>
      <c r="BD972" s="138"/>
      <c r="BE972" s="138"/>
      <c r="BF972" s="138"/>
      <c r="BG972" s="138"/>
      <c r="BH972" s="138"/>
      <c r="BI972" s="138"/>
      <c r="BJ972" s="138"/>
      <c r="BK972" s="138"/>
      <c r="BL972" s="138"/>
      <c r="BM972" s="138"/>
      <c r="BN972" s="138"/>
      <c r="BO972" s="138"/>
    </row>
    <row r="973" spans="1:67" x14ac:dyDescent="0.2">
      <c r="A973" s="177"/>
      <c r="B973" s="178"/>
      <c r="C973" s="179"/>
      <c r="D973" s="180"/>
      <c r="E973" s="180"/>
      <c r="F973" s="180"/>
      <c r="G973" s="180"/>
      <c r="H973" s="248"/>
      <c r="I973" s="188" t="s">
        <v>1381</v>
      </c>
      <c r="J973" s="207" t="s">
        <v>117</v>
      </c>
      <c r="K973" s="343">
        <f>K975*5%</f>
        <v>16110</v>
      </c>
      <c r="L973" s="179"/>
      <c r="M973" s="185"/>
      <c r="AV973" s="138"/>
      <c r="AW973" s="138"/>
      <c r="AX973" s="138"/>
      <c r="AY973" s="138"/>
      <c r="AZ973" s="138"/>
      <c r="BA973" s="138"/>
      <c r="BB973" s="138"/>
      <c r="BC973" s="138"/>
      <c r="BD973" s="138"/>
      <c r="BE973" s="138"/>
      <c r="BF973" s="138"/>
      <c r="BG973" s="138"/>
      <c r="BH973" s="138"/>
      <c r="BI973" s="138"/>
      <c r="BJ973" s="138"/>
      <c r="BK973" s="138"/>
      <c r="BL973" s="138"/>
      <c r="BM973" s="138"/>
      <c r="BN973" s="138"/>
      <c r="BO973" s="138"/>
    </row>
    <row r="974" spans="1:67" ht="48" x14ac:dyDescent="0.2">
      <c r="A974" s="177"/>
      <c r="B974" s="178"/>
      <c r="C974" s="179"/>
      <c r="D974" s="180"/>
      <c r="E974" s="180"/>
      <c r="F974" s="180"/>
      <c r="G974" s="180"/>
      <c r="H974" s="248"/>
      <c r="I974" s="188" t="s">
        <v>1382</v>
      </c>
      <c r="J974" s="207" t="s">
        <v>547</v>
      </c>
      <c r="K974" s="343">
        <f>K975*5%</f>
        <v>16110</v>
      </c>
      <c r="L974" s="179"/>
      <c r="M974" s="185"/>
      <c r="AV974" s="138"/>
      <c r="AW974" s="138"/>
      <c r="AX974" s="138"/>
      <c r="AY974" s="138"/>
      <c r="AZ974" s="138"/>
      <c r="BA974" s="138"/>
      <c r="BB974" s="138"/>
      <c r="BC974" s="138"/>
      <c r="BD974" s="138"/>
      <c r="BE974" s="138"/>
      <c r="BF974" s="138"/>
      <c r="BG974" s="138"/>
      <c r="BH974" s="138"/>
      <c r="BI974" s="138"/>
      <c r="BJ974" s="138"/>
      <c r="BK974" s="138"/>
      <c r="BL974" s="138"/>
      <c r="BM974" s="138"/>
      <c r="BN974" s="138"/>
      <c r="BO974" s="138"/>
    </row>
    <row r="975" spans="1:67" x14ac:dyDescent="0.2">
      <c r="A975" s="189"/>
      <c r="B975" s="190"/>
      <c r="C975" s="191"/>
      <c r="D975" s="192"/>
      <c r="E975" s="192"/>
      <c r="F975" s="192"/>
      <c r="G975" s="192"/>
      <c r="H975" s="249"/>
      <c r="I975" s="193"/>
      <c r="J975" s="215"/>
      <c r="K975" s="352">
        <v>322200</v>
      </c>
      <c r="L975" s="191"/>
      <c r="M975" s="197"/>
      <c r="AV975" s="138"/>
      <c r="AW975" s="138"/>
      <c r="AX975" s="138"/>
      <c r="AY975" s="138"/>
      <c r="AZ975" s="138"/>
      <c r="BA975" s="138"/>
      <c r="BB975" s="138"/>
      <c r="BC975" s="138"/>
      <c r="BD975" s="138"/>
      <c r="BE975" s="138"/>
      <c r="BF975" s="138"/>
      <c r="BG975" s="138"/>
      <c r="BH975" s="138"/>
      <c r="BI975" s="138"/>
      <c r="BJ975" s="138"/>
      <c r="BK975" s="138"/>
      <c r="BL975" s="138"/>
      <c r="BM975" s="138"/>
      <c r="BN975" s="138"/>
      <c r="BO975" s="138"/>
    </row>
    <row r="976" spans="1:67" ht="23.25" customHeight="1" x14ac:dyDescent="0.2">
      <c r="A976" s="167">
        <v>251</v>
      </c>
      <c r="B976" s="168" t="s">
        <v>1383</v>
      </c>
      <c r="C976" s="169"/>
      <c r="D976" s="170" t="s">
        <v>107</v>
      </c>
      <c r="E976" s="170"/>
      <c r="F976" s="170"/>
      <c r="G976" s="170"/>
      <c r="H976" s="246"/>
      <c r="I976" s="217" t="s">
        <v>1384</v>
      </c>
      <c r="J976" s="223" t="s">
        <v>1368</v>
      </c>
      <c r="K976" s="353">
        <f>K981*80%</f>
        <v>7200</v>
      </c>
      <c r="L976" s="169" t="s">
        <v>111</v>
      </c>
      <c r="M976" s="175" t="s">
        <v>1385</v>
      </c>
      <c r="AV976" s="138"/>
      <c r="AW976" s="138"/>
      <c r="AX976" s="138"/>
      <c r="AY976" s="138"/>
      <c r="AZ976" s="138"/>
      <c r="BA976" s="138"/>
      <c r="BB976" s="138"/>
      <c r="BC976" s="138"/>
      <c r="BD976" s="138"/>
      <c r="BE976" s="138"/>
      <c r="BF976" s="138"/>
      <c r="BG976" s="138"/>
      <c r="BH976" s="138"/>
      <c r="BI976" s="138"/>
      <c r="BJ976" s="138"/>
      <c r="BK976" s="138"/>
      <c r="BL976" s="138"/>
      <c r="BM976" s="138"/>
      <c r="BN976" s="138"/>
      <c r="BO976" s="138"/>
    </row>
    <row r="977" spans="1:67" ht="48" x14ac:dyDescent="0.2">
      <c r="A977" s="177"/>
      <c r="B977" s="178"/>
      <c r="C977" s="179"/>
      <c r="D977" s="180"/>
      <c r="E977" s="180"/>
      <c r="F977" s="180"/>
      <c r="G977" s="180"/>
      <c r="H977" s="248"/>
      <c r="I977" s="188" t="s">
        <v>1386</v>
      </c>
      <c r="J977" s="207" t="s">
        <v>1387</v>
      </c>
      <c r="K977" s="343">
        <f>K981*5%</f>
        <v>450</v>
      </c>
      <c r="L977" s="179"/>
      <c r="M977" s="185"/>
      <c r="AV977" s="138"/>
      <c r="AW977" s="138"/>
      <c r="AX977" s="138"/>
      <c r="AY977" s="138"/>
      <c r="AZ977" s="138"/>
      <c r="BA977" s="138"/>
      <c r="BB977" s="138"/>
      <c r="BC977" s="138"/>
      <c r="BD977" s="138"/>
      <c r="BE977" s="138"/>
      <c r="BF977" s="138"/>
      <c r="BG977" s="138"/>
      <c r="BH977" s="138"/>
      <c r="BI977" s="138"/>
      <c r="BJ977" s="138"/>
      <c r="BK977" s="138"/>
      <c r="BL977" s="138"/>
      <c r="BM977" s="138"/>
      <c r="BN977" s="138"/>
      <c r="BO977" s="138"/>
    </row>
    <row r="978" spans="1:67" x14ac:dyDescent="0.2">
      <c r="A978" s="177"/>
      <c r="B978" s="178"/>
      <c r="C978" s="179"/>
      <c r="D978" s="180"/>
      <c r="E978" s="180"/>
      <c r="F978" s="180"/>
      <c r="G978" s="180"/>
      <c r="H978" s="248"/>
      <c r="I978" s="188" t="s">
        <v>1388</v>
      </c>
      <c r="J978" s="207" t="s">
        <v>1387</v>
      </c>
      <c r="K978" s="343">
        <f>K981*5%</f>
        <v>450</v>
      </c>
      <c r="L978" s="179"/>
      <c r="M978" s="185"/>
      <c r="AV978" s="138"/>
      <c r="AW978" s="138"/>
      <c r="AX978" s="138"/>
      <c r="AY978" s="138"/>
      <c r="AZ978" s="138"/>
      <c r="BA978" s="138"/>
      <c r="BB978" s="138"/>
      <c r="BC978" s="138"/>
      <c r="BD978" s="138"/>
      <c r="BE978" s="138"/>
      <c r="BF978" s="138"/>
      <c r="BG978" s="138"/>
      <c r="BH978" s="138"/>
      <c r="BI978" s="138"/>
      <c r="BJ978" s="138"/>
      <c r="BK978" s="138"/>
      <c r="BL978" s="138"/>
      <c r="BM978" s="138"/>
      <c r="BN978" s="138"/>
      <c r="BO978" s="138"/>
    </row>
    <row r="979" spans="1:67" x14ac:dyDescent="0.2">
      <c r="A979" s="177"/>
      <c r="B979" s="178"/>
      <c r="C979" s="179"/>
      <c r="D979" s="180"/>
      <c r="E979" s="180"/>
      <c r="F979" s="180"/>
      <c r="G979" s="180"/>
      <c r="H979" s="248"/>
      <c r="I979" s="188" t="s">
        <v>1389</v>
      </c>
      <c r="J979" s="207" t="s">
        <v>1387</v>
      </c>
      <c r="K979" s="343">
        <f>K981*5%</f>
        <v>450</v>
      </c>
      <c r="L979" s="179"/>
      <c r="M979" s="185"/>
      <c r="AV979" s="138"/>
      <c r="AW979" s="138"/>
      <c r="AX979" s="138"/>
      <c r="AY979" s="138"/>
      <c r="AZ979" s="138"/>
      <c r="BA979" s="138"/>
      <c r="BB979" s="138"/>
      <c r="BC979" s="138"/>
      <c r="BD979" s="138"/>
      <c r="BE979" s="138"/>
      <c r="BF979" s="138"/>
      <c r="BG979" s="138"/>
      <c r="BH979" s="138"/>
      <c r="BI979" s="138"/>
      <c r="BJ979" s="138"/>
      <c r="BK979" s="138"/>
      <c r="BL979" s="138"/>
      <c r="BM979" s="138"/>
      <c r="BN979" s="138"/>
      <c r="BO979" s="138"/>
    </row>
    <row r="980" spans="1:67" x14ac:dyDescent="0.2">
      <c r="A980" s="177"/>
      <c r="B980" s="178"/>
      <c r="C980" s="179"/>
      <c r="D980" s="180"/>
      <c r="E980" s="180"/>
      <c r="F980" s="180"/>
      <c r="G980" s="180"/>
      <c r="H980" s="248"/>
      <c r="I980" s="188" t="s">
        <v>1390</v>
      </c>
      <c r="J980" s="207" t="s">
        <v>1387</v>
      </c>
      <c r="K980" s="343">
        <f>K981*5%</f>
        <v>450</v>
      </c>
      <c r="L980" s="179"/>
      <c r="M980" s="185"/>
      <c r="AV980" s="138"/>
      <c r="AW980" s="138"/>
      <c r="AX980" s="138"/>
      <c r="AY980" s="138"/>
      <c r="AZ980" s="138"/>
      <c r="BA980" s="138"/>
      <c r="BB980" s="138"/>
      <c r="BC980" s="138"/>
      <c r="BD980" s="138"/>
      <c r="BE980" s="138"/>
      <c r="BF980" s="138"/>
      <c r="BG980" s="138"/>
      <c r="BH980" s="138"/>
      <c r="BI980" s="138"/>
      <c r="BJ980" s="138"/>
      <c r="BK980" s="138"/>
      <c r="BL980" s="138"/>
      <c r="BM980" s="138"/>
      <c r="BN980" s="138"/>
      <c r="BO980" s="138"/>
    </row>
    <row r="981" spans="1:67" x14ac:dyDescent="0.2">
      <c r="A981" s="189"/>
      <c r="B981" s="190"/>
      <c r="C981" s="191"/>
      <c r="D981" s="192"/>
      <c r="E981" s="192"/>
      <c r="F981" s="192"/>
      <c r="G981" s="192"/>
      <c r="H981" s="249"/>
      <c r="I981" s="203"/>
      <c r="J981" s="204"/>
      <c r="K981" s="354">
        <v>9000</v>
      </c>
      <c r="L981" s="191"/>
      <c r="M981" s="197"/>
      <c r="AV981" s="138"/>
      <c r="AW981" s="138"/>
      <c r="AX981" s="138"/>
      <c r="AY981" s="138"/>
      <c r="AZ981" s="138"/>
      <c r="BA981" s="138"/>
      <c r="BB981" s="138"/>
      <c r="BC981" s="138"/>
      <c r="BD981" s="138"/>
      <c r="BE981" s="138"/>
      <c r="BF981" s="138"/>
      <c r="BG981" s="138"/>
      <c r="BH981" s="138"/>
      <c r="BI981" s="138"/>
      <c r="BJ981" s="138"/>
      <c r="BK981" s="138"/>
      <c r="BL981" s="138"/>
      <c r="BM981" s="138"/>
      <c r="BN981" s="138"/>
      <c r="BO981" s="138"/>
    </row>
    <row r="982" spans="1:67" ht="22.5" customHeight="1" x14ac:dyDescent="0.2">
      <c r="A982" s="167">
        <v>252</v>
      </c>
      <c r="B982" s="168" t="s">
        <v>1391</v>
      </c>
      <c r="C982" s="169"/>
      <c r="D982" s="170" t="s">
        <v>107</v>
      </c>
      <c r="E982" s="170"/>
      <c r="F982" s="170"/>
      <c r="G982" s="170"/>
      <c r="H982" s="246" t="s">
        <v>137</v>
      </c>
      <c r="I982" s="217" t="s">
        <v>1392</v>
      </c>
      <c r="J982" s="223" t="s">
        <v>983</v>
      </c>
      <c r="K982" s="353">
        <f>K985*5%</f>
        <v>900</v>
      </c>
      <c r="L982" s="169" t="s">
        <v>111</v>
      </c>
      <c r="M982" s="175" t="s">
        <v>1393</v>
      </c>
      <c r="AV982" s="138"/>
      <c r="AW982" s="138"/>
      <c r="AX982" s="138"/>
      <c r="AY982" s="138"/>
      <c r="AZ982" s="138"/>
      <c r="BA982" s="138"/>
      <c r="BB982" s="138"/>
      <c r="BC982" s="138"/>
      <c r="BD982" s="138"/>
      <c r="BE982" s="138"/>
      <c r="BF982" s="138"/>
      <c r="BG982" s="138"/>
      <c r="BH982" s="138"/>
      <c r="BI982" s="138"/>
      <c r="BJ982" s="138"/>
      <c r="BK982" s="138"/>
      <c r="BL982" s="138"/>
      <c r="BM982" s="138"/>
      <c r="BN982" s="138"/>
      <c r="BO982" s="138"/>
    </row>
    <row r="983" spans="1:67" ht="48" x14ac:dyDescent="0.2">
      <c r="A983" s="177"/>
      <c r="B983" s="178"/>
      <c r="C983" s="179"/>
      <c r="D983" s="180"/>
      <c r="E983" s="180"/>
      <c r="F983" s="180"/>
      <c r="G983" s="180"/>
      <c r="H983" s="248"/>
      <c r="I983" s="188" t="s">
        <v>1394</v>
      </c>
      <c r="J983" s="207" t="s">
        <v>664</v>
      </c>
      <c r="K983" s="343">
        <f>K985*25%</f>
        <v>4500</v>
      </c>
      <c r="L983" s="179"/>
      <c r="M983" s="185"/>
      <c r="AV983" s="138"/>
      <c r="AW983" s="138"/>
      <c r="AX983" s="138"/>
      <c r="AY983" s="138"/>
      <c r="AZ983" s="138"/>
      <c r="BA983" s="138"/>
      <c r="BB983" s="138"/>
      <c r="BC983" s="138"/>
      <c r="BD983" s="138"/>
      <c r="BE983" s="138"/>
      <c r="BF983" s="138"/>
      <c r="BG983" s="138"/>
      <c r="BH983" s="138"/>
      <c r="BI983" s="138"/>
      <c r="BJ983" s="138"/>
      <c r="BK983" s="138"/>
      <c r="BL983" s="138"/>
      <c r="BM983" s="138"/>
      <c r="BN983" s="138"/>
      <c r="BO983" s="138"/>
    </row>
    <row r="984" spans="1:67" x14ac:dyDescent="0.2">
      <c r="A984" s="177"/>
      <c r="B984" s="178"/>
      <c r="C984" s="179"/>
      <c r="D984" s="180"/>
      <c r="E984" s="180"/>
      <c r="F984" s="180"/>
      <c r="G984" s="180"/>
      <c r="H984" s="248"/>
      <c r="I984" s="188" t="s">
        <v>1395</v>
      </c>
      <c r="J984" s="207" t="s">
        <v>274</v>
      </c>
      <c r="K984" s="343">
        <f>K985*70%</f>
        <v>12600</v>
      </c>
      <c r="L984" s="179"/>
      <c r="M984" s="185"/>
      <c r="AV984" s="138"/>
      <c r="AW984" s="138"/>
      <c r="AX984" s="138"/>
      <c r="AY984" s="138"/>
      <c r="AZ984" s="138"/>
      <c r="BA984" s="138"/>
      <c r="BB984" s="138"/>
      <c r="BC984" s="138"/>
      <c r="BD984" s="138"/>
      <c r="BE984" s="138"/>
      <c r="BF984" s="138"/>
      <c r="BG984" s="138"/>
      <c r="BH984" s="138"/>
      <c r="BI984" s="138"/>
      <c r="BJ984" s="138"/>
      <c r="BK984" s="138"/>
      <c r="BL984" s="138"/>
      <c r="BM984" s="138"/>
      <c r="BN984" s="138"/>
      <c r="BO984" s="138"/>
    </row>
    <row r="985" spans="1:67" x14ac:dyDescent="0.2">
      <c r="A985" s="189"/>
      <c r="B985" s="190"/>
      <c r="C985" s="191"/>
      <c r="D985" s="192"/>
      <c r="E985" s="192"/>
      <c r="F985" s="192"/>
      <c r="G985" s="192"/>
      <c r="H985" s="249"/>
      <c r="I985" s="203"/>
      <c r="J985" s="204"/>
      <c r="K985" s="354">
        <v>18000</v>
      </c>
      <c r="L985" s="191"/>
      <c r="M985" s="197"/>
      <c r="AV985" s="138"/>
      <c r="AW985" s="138"/>
      <c r="AX985" s="138"/>
      <c r="AY985" s="138"/>
      <c r="AZ985" s="138"/>
      <c r="BA985" s="138"/>
      <c r="BB985" s="138"/>
      <c r="BC985" s="138"/>
      <c r="BD985" s="138"/>
      <c r="BE985" s="138"/>
      <c r="BF985" s="138"/>
      <c r="BG985" s="138"/>
      <c r="BH985" s="138"/>
      <c r="BI985" s="138"/>
      <c r="BJ985" s="138"/>
      <c r="BK985" s="138"/>
      <c r="BL985" s="138"/>
      <c r="BM985" s="138"/>
      <c r="BN985" s="138"/>
      <c r="BO985" s="138"/>
    </row>
    <row r="986" spans="1:67" ht="21.75" customHeight="1" x14ac:dyDescent="0.2">
      <c r="A986" s="167">
        <v>253</v>
      </c>
      <c r="B986" s="168" t="s">
        <v>1396</v>
      </c>
      <c r="C986" s="169"/>
      <c r="D986" s="170" t="s">
        <v>107</v>
      </c>
      <c r="E986" s="170"/>
      <c r="F986" s="170"/>
      <c r="G986" s="170"/>
      <c r="H986" s="246"/>
      <c r="I986" s="217" t="s">
        <v>1397</v>
      </c>
      <c r="J986" s="223" t="s">
        <v>1368</v>
      </c>
      <c r="K986" s="353">
        <f>K995*60%</f>
        <v>8400</v>
      </c>
      <c r="L986" s="169" t="s">
        <v>111</v>
      </c>
      <c r="M986" s="175" t="s">
        <v>1398</v>
      </c>
      <c r="AV986" s="138"/>
      <c r="AW986" s="138"/>
      <c r="AX986" s="138"/>
      <c r="AY986" s="138"/>
      <c r="AZ986" s="138"/>
      <c r="BA986" s="138"/>
      <c r="BB986" s="138"/>
      <c r="BC986" s="138"/>
      <c r="BD986" s="138"/>
      <c r="BE986" s="138"/>
      <c r="BF986" s="138"/>
      <c r="BG986" s="138"/>
      <c r="BH986" s="138"/>
      <c r="BI986" s="138"/>
      <c r="BJ986" s="138"/>
      <c r="BK986" s="138"/>
      <c r="BL986" s="138"/>
      <c r="BM986" s="138"/>
      <c r="BN986" s="138"/>
      <c r="BO986" s="138"/>
    </row>
    <row r="987" spans="1:67" x14ac:dyDescent="0.2">
      <c r="A987" s="177"/>
      <c r="B987" s="178"/>
      <c r="C987" s="179"/>
      <c r="D987" s="180"/>
      <c r="E987" s="180"/>
      <c r="F987" s="180"/>
      <c r="G987" s="180"/>
      <c r="H987" s="248"/>
      <c r="I987" s="188" t="s">
        <v>1399</v>
      </c>
      <c r="J987" s="207" t="s">
        <v>274</v>
      </c>
      <c r="K987" s="343">
        <f>K995*5%</f>
        <v>700</v>
      </c>
      <c r="L987" s="179"/>
      <c r="M987" s="185"/>
      <c r="AV987" s="138"/>
      <c r="AW987" s="138"/>
      <c r="AX987" s="138"/>
      <c r="AY987" s="138"/>
      <c r="AZ987" s="138"/>
      <c r="BA987" s="138"/>
      <c r="BB987" s="138"/>
      <c r="BC987" s="138"/>
      <c r="BD987" s="138"/>
      <c r="BE987" s="138"/>
      <c r="BF987" s="138"/>
      <c r="BG987" s="138"/>
      <c r="BH987" s="138"/>
      <c r="BI987" s="138"/>
      <c r="BJ987" s="138"/>
      <c r="BK987" s="138"/>
      <c r="BL987" s="138"/>
      <c r="BM987" s="138"/>
      <c r="BN987" s="138"/>
      <c r="BO987" s="138"/>
    </row>
    <row r="988" spans="1:67" x14ac:dyDescent="0.2">
      <c r="A988" s="177"/>
      <c r="B988" s="178"/>
      <c r="C988" s="179"/>
      <c r="D988" s="180"/>
      <c r="E988" s="180"/>
      <c r="F988" s="180"/>
      <c r="G988" s="180"/>
      <c r="H988" s="248"/>
      <c r="I988" s="188" t="s">
        <v>1400</v>
      </c>
      <c r="J988" s="207" t="s">
        <v>274</v>
      </c>
      <c r="K988" s="343">
        <f>K995*5%</f>
        <v>700</v>
      </c>
      <c r="L988" s="179"/>
      <c r="M988" s="185"/>
      <c r="AV988" s="138"/>
      <c r="AW988" s="138"/>
      <c r="AX988" s="138"/>
      <c r="AY988" s="138"/>
      <c r="AZ988" s="138"/>
      <c r="BA988" s="138"/>
      <c r="BB988" s="138"/>
      <c r="BC988" s="138"/>
      <c r="BD988" s="138"/>
      <c r="BE988" s="138"/>
      <c r="BF988" s="138"/>
      <c r="BG988" s="138"/>
      <c r="BH988" s="138"/>
      <c r="BI988" s="138"/>
      <c r="BJ988" s="138"/>
      <c r="BK988" s="138"/>
      <c r="BL988" s="138"/>
      <c r="BM988" s="138"/>
      <c r="BN988" s="138"/>
      <c r="BO988" s="138"/>
    </row>
    <row r="989" spans="1:67" x14ac:dyDescent="0.2">
      <c r="A989" s="177"/>
      <c r="B989" s="178"/>
      <c r="C989" s="179"/>
      <c r="D989" s="180"/>
      <c r="E989" s="180"/>
      <c r="F989" s="180"/>
      <c r="G989" s="180"/>
      <c r="H989" s="248"/>
      <c r="I989" s="188" t="s">
        <v>1401</v>
      </c>
      <c r="J989" s="207" t="s">
        <v>274</v>
      </c>
      <c r="K989" s="343">
        <f>K995*5%</f>
        <v>700</v>
      </c>
      <c r="L989" s="179"/>
      <c r="M989" s="185"/>
      <c r="AV989" s="138"/>
      <c r="AW989" s="138"/>
      <c r="AX989" s="138"/>
      <c r="AY989" s="138"/>
      <c r="AZ989" s="138"/>
      <c r="BA989" s="138"/>
      <c r="BB989" s="138"/>
      <c r="BC989" s="138"/>
      <c r="BD989" s="138"/>
      <c r="BE989" s="138"/>
      <c r="BF989" s="138"/>
      <c r="BG989" s="138"/>
      <c r="BH989" s="138"/>
      <c r="BI989" s="138"/>
      <c r="BJ989" s="138"/>
      <c r="BK989" s="138"/>
      <c r="BL989" s="138"/>
      <c r="BM989" s="138"/>
      <c r="BN989" s="138"/>
      <c r="BO989" s="138"/>
    </row>
    <row r="990" spans="1:67" x14ac:dyDescent="0.2">
      <c r="A990" s="177"/>
      <c r="B990" s="178"/>
      <c r="C990" s="179"/>
      <c r="D990" s="180"/>
      <c r="E990" s="180"/>
      <c r="F990" s="180"/>
      <c r="G990" s="180"/>
      <c r="H990" s="248"/>
      <c r="I990" s="188" t="s">
        <v>1402</v>
      </c>
      <c r="J990" s="207" t="s">
        <v>274</v>
      </c>
      <c r="K990" s="343">
        <f>K995*5%</f>
        <v>700</v>
      </c>
      <c r="L990" s="179"/>
      <c r="M990" s="185"/>
      <c r="AV990" s="138"/>
      <c r="AW990" s="138"/>
      <c r="AX990" s="138"/>
      <c r="AY990" s="138"/>
      <c r="AZ990" s="138"/>
      <c r="BA990" s="138"/>
      <c r="BB990" s="138"/>
      <c r="BC990" s="138"/>
      <c r="BD990" s="138"/>
      <c r="BE990" s="138"/>
      <c r="BF990" s="138"/>
      <c r="BG990" s="138"/>
      <c r="BH990" s="138"/>
      <c r="BI990" s="138"/>
      <c r="BJ990" s="138"/>
      <c r="BK990" s="138"/>
      <c r="BL990" s="138"/>
      <c r="BM990" s="138"/>
      <c r="BN990" s="138"/>
      <c r="BO990" s="138"/>
    </row>
    <row r="991" spans="1:67" x14ac:dyDescent="0.2">
      <c r="A991" s="177"/>
      <c r="B991" s="178"/>
      <c r="C991" s="179"/>
      <c r="D991" s="180"/>
      <c r="E991" s="180"/>
      <c r="F991" s="180"/>
      <c r="G991" s="180"/>
      <c r="H991" s="248"/>
      <c r="I991" s="188" t="s">
        <v>1403</v>
      </c>
      <c r="J991" s="207" t="s">
        <v>274</v>
      </c>
      <c r="K991" s="343">
        <f>K995*5%</f>
        <v>700</v>
      </c>
      <c r="L991" s="179"/>
      <c r="M991" s="185"/>
      <c r="AV991" s="138"/>
      <c r="AW991" s="138"/>
      <c r="AX991" s="138"/>
      <c r="AY991" s="138"/>
      <c r="AZ991" s="138"/>
      <c r="BA991" s="138"/>
      <c r="BB991" s="138"/>
      <c r="BC991" s="138"/>
      <c r="BD991" s="138"/>
      <c r="BE991" s="138"/>
      <c r="BF991" s="138"/>
      <c r="BG991" s="138"/>
      <c r="BH991" s="138"/>
      <c r="BI991" s="138"/>
      <c r="BJ991" s="138"/>
      <c r="BK991" s="138"/>
      <c r="BL991" s="138"/>
      <c r="BM991" s="138"/>
      <c r="BN991" s="138"/>
      <c r="BO991" s="138"/>
    </row>
    <row r="992" spans="1:67" x14ac:dyDescent="0.2">
      <c r="A992" s="177"/>
      <c r="B992" s="178"/>
      <c r="C992" s="179"/>
      <c r="D992" s="180"/>
      <c r="E992" s="180"/>
      <c r="F992" s="180"/>
      <c r="G992" s="180"/>
      <c r="H992" s="248"/>
      <c r="I992" s="188" t="s">
        <v>1404</v>
      </c>
      <c r="J992" s="207" t="s">
        <v>274</v>
      </c>
      <c r="K992" s="343">
        <f>K995*5%</f>
        <v>700</v>
      </c>
      <c r="L992" s="179"/>
      <c r="M992" s="185"/>
      <c r="AV992" s="138"/>
      <c r="AW992" s="138"/>
      <c r="AX992" s="138"/>
      <c r="AY992" s="138"/>
      <c r="AZ992" s="138"/>
      <c r="BA992" s="138"/>
      <c r="BB992" s="138"/>
      <c r="BC992" s="138"/>
      <c r="BD992" s="138"/>
      <c r="BE992" s="138"/>
      <c r="BF992" s="138"/>
      <c r="BG992" s="138"/>
      <c r="BH992" s="138"/>
      <c r="BI992" s="138"/>
      <c r="BJ992" s="138"/>
      <c r="BK992" s="138"/>
      <c r="BL992" s="138"/>
      <c r="BM992" s="138"/>
      <c r="BN992" s="138"/>
      <c r="BO992" s="138"/>
    </row>
    <row r="993" spans="1:67" ht="48" x14ac:dyDescent="0.2">
      <c r="A993" s="177"/>
      <c r="B993" s="178"/>
      <c r="C993" s="179"/>
      <c r="D993" s="180"/>
      <c r="E993" s="180"/>
      <c r="F993" s="180"/>
      <c r="G993" s="180"/>
      <c r="H993" s="248"/>
      <c r="I993" s="188" t="s">
        <v>1405</v>
      </c>
      <c r="J993" s="207" t="s">
        <v>274</v>
      </c>
      <c r="K993" s="343">
        <f>K995*5%</f>
        <v>700</v>
      </c>
      <c r="L993" s="179"/>
      <c r="M993" s="185"/>
      <c r="AV993" s="138"/>
      <c r="AW993" s="138"/>
      <c r="AX993" s="138"/>
      <c r="AY993" s="138"/>
      <c r="AZ993" s="138"/>
      <c r="BA993" s="138"/>
      <c r="BB993" s="138"/>
      <c r="BC993" s="138"/>
      <c r="BD993" s="138"/>
      <c r="BE993" s="138"/>
      <c r="BF993" s="138"/>
      <c r="BG993" s="138"/>
      <c r="BH993" s="138"/>
      <c r="BI993" s="138"/>
      <c r="BJ993" s="138"/>
      <c r="BK993" s="138"/>
      <c r="BL993" s="138"/>
      <c r="BM993" s="138"/>
      <c r="BN993" s="138"/>
      <c r="BO993" s="138"/>
    </row>
    <row r="994" spans="1:67" x14ac:dyDescent="0.2">
      <c r="A994" s="177"/>
      <c r="B994" s="178"/>
      <c r="C994" s="179"/>
      <c r="D994" s="180"/>
      <c r="E994" s="180"/>
      <c r="F994" s="180"/>
      <c r="G994" s="180"/>
      <c r="H994" s="248"/>
      <c r="I994" s="188" t="s">
        <v>685</v>
      </c>
      <c r="J994" s="207" t="s">
        <v>664</v>
      </c>
      <c r="K994" s="343">
        <f>K995*5%</f>
        <v>700</v>
      </c>
      <c r="L994" s="179"/>
      <c r="M994" s="185"/>
      <c r="AV994" s="138"/>
      <c r="AW994" s="138"/>
      <c r="AX994" s="138"/>
      <c r="AY994" s="138"/>
      <c r="AZ994" s="138"/>
      <c r="BA994" s="138"/>
      <c r="BB994" s="138"/>
      <c r="BC994" s="138"/>
      <c r="BD994" s="138"/>
      <c r="BE994" s="138"/>
      <c r="BF994" s="138"/>
      <c r="BG994" s="138"/>
      <c r="BH994" s="138"/>
      <c r="BI994" s="138"/>
      <c r="BJ994" s="138"/>
      <c r="BK994" s="138"/>
      <c r="BL994" s="138"/>
      <c r="BM994" s="138"/>
      <c r="BN994" s="138"/>
      <c r="BO994" s="138"/>
    </row>
    <row r="995" spans="1:67" x14ac:dyDescent="0.2">
      <c r="A995" s="189"/>
      <c r="B995" s="190"/>
      <c r="C995" s="191"/>
      <c r="D995" s="192"/>
      <c r="E995" s="192"/>
      <c r="F995" s="192"/>
      <c r="G995" s="192"/>
      <c r="H995" s="249"/>
      <c r="I995" s="203"/>
      <c r="J995" s="204"/>
      <c r="K995" s="354">
        <v>14000</v>
      </c>
      <c r="L995" s="191"/>
      <c r="M995" s="197"/>
      <c r="AV995" s="138"/>
      <c r="AW995" s="138"/>
      <c r="AX995" s="138"/>
      <c r="AY995" s="138"/>
      <c r="AZ995" s="138"/>
      <c r="BA995" s="138"/>
      <c r="BB995" s="138"/>
      <c r="BC995" s="138"/>
      <c r="BD995" s="138"/>
      <c r="BE995" s="138"/>
      <c r="BF995" s="138"/>
      <c r="BG995" s="138"/>
      <c r="BH995" s="138"/>
      <c r="BI995" s="138"/>
      <c r="BJ995" s="138"/>
      <c r="BK995" s="138"/>
      <c r="BL995" s="138"/>
      <c r="BM995" s="138"/>
      <c r="BN995" s="138"/>
      <c r="BO995" s="138"/>
    </row>
    <row r="996" spans="1:67" ht="24" customHeight="1" x14ac:dyDescent="0.2">
      <c r="A996" s="167">
        <v>254</v>
      </c>
      <c r="B996" s="168" t="s">
        <v>1406</v>
      </c>
      <c r="C996" s="169"/>
      <c r="D996" s="170" t="s">
        <v>107</v>
      </c>
      <c r="E996" s="170"/>
      <c r="F996" s="170"/>
      <c r="G996" s="170"/>
      <c r="H996" s="246" t="s">
        <v>108</v>
      </c>
      <c r="I996" s="217" t="s">
        <v>1407</v>
      </c>
      <c r="J996" s="223" t="s">
        <v>360</v>
      </c>
      <c r="K996" s="353">
        <f>K1000*20%</f>
        <v>2700</v>
      </c>
      <c r="L996" s="169" t="s">
        <v>111</v>
      </c>
      <c r="M996" s="175" t="s">
        <v>1408</v>
      </c>
      <c r="AV996" s="138"/>
      <c r="AW996" s="138"/>
      <c r="AX996" s="138"/>
      <c r="AY996" s="138"/>
      <c r="AZ996" s="138"/>
      <c r="BA996" s="138"/>
      <c r="BB996" s="138"/>
      <c r="BC996" s="138"/>
      <c r="BD996" s="138"/>
      <c r="BE996" s="138"/>
      <c r="BF996" s="138"/>
      <c r="BG996" s="138"/>
      <c r="BH996" s="138"/>
      <c r="BI996" s="138"/>
      <c r="BJ996" s="138"/>
      <c r="BK996" s="138"/>
      <c r="BL996" s="138"/>
      <c r="BM996" s="138"/>
      <c r="BN996" s="138"/>
      <c r="BO996" s="138"/>
    </row>
    <row r="997" spans="1:67" x14ac:dyDescent="0.2">
      <c r="A997" s="177"/>
      <c r="B997" s="178"/>
      <c r="C997" s="179"/>
      <c r="D997" s="180"/>
      <c r="E997" s="180"/>
      <c r="F997" s="180"/>
      <c r="G997" s="180"/>
      <c r="H997" s="248"/>
      <c r="I997" s="188" t="s">
        <v>1409</v>
      </c>
      <c r="J997" s="207" t="s">
        <v>571</v>
      </c>
      <c r="K997" s="343">
        <f>K1000*10%</f>
        <v>1350</v>
      </c>
      <c r="L997" s="179"/>
      <c r="M997" s="185"/>
      <c r="AV997" s="138"/>
      <c r="AW997" s="138"/>
      <c r="AX997" s="138"/>
      <c r="AY997" s="138"/>
      <c r="AZ997" s="138"/>
      <c r="BA997" s="138"/>
      <c r="BB997" s="138"/>
      <c r="BC997" s="138"/>
      <c r="BD997" s="138"/>
      <c r="BE997" s="138"/>
      <c r="BF997" s="138"/>
      <c r="BG997" s="138"/>
      <c r="BH997" s="138"/>
      <c r="BI997" s="138"/>
      <c r="BJ997" s="138"/>
      <c r="BK997" s="138"/>
      <c r="BL997" s="138"/>
      <c r="BM997" s="138"/>
      <c r="BN997" s="138"/>
      <c r="BO997" s="138"/>
    </row>
    <row r="998" spans="1:67" x14ac:dyDescent="0.2">
      <c r="A998" s="177"/>
      <c r="B998" s="178"/>
      <c r="C998" s="179"/>
      <c r="D998" s="180"/>
      <c r="E998" s="180"/>
      <c r="F998" s="180"/>
      <c r="G998" s="180"/>
      <c r="H998" s="248"/>
      <c r="I998" s="188" t="s">
        <v>1410</v>
      </c>
      <c r="J998" s="207" t="s">
        <v>571</v>
      </c>
      <c r="K998" s="343">
        <f>K995*10%</f>
        <v>1400</v>
      </c>
      <c r="L998" s="179"/>
      <c r="M998" s="185"/>
      <c r="AV998" s="138"/>
      <c r="AW998" s="138"/>
      <c r="AX998" s="138"/>
      <c r="AY998" s="138"/>
      <c r="AZ998" s="138"/>
      <c r="BA998" s="138"/>
      <c r="BB998" s="138"/>
      <c r="BC998" s="138"/>
      <c r="BD998" s="138"/>
      <c r="BE998" s="138"/>
      <c r="BF998" s="138"/>
      <c r="BG998" s="138"/>
      <c r="BH998" s="138"/>
      <c r="BI998" s="138"/>
      <c r="BJ998" s="138"/>
      <c r="BK998" s="138"/>
      <c r="BL998" s="138"/>
      <c r="BM998" s="138"/>
      <c r="BN998" s="138"/>
      <c r="BO998" s="138"/>
    </row>
    <row r="999" spans="1:67" ht="48" x14ac:dyDescent="0.2">
      <c r="A999" s="177"/>
      <c r="B999" s="178"/>
      <c r="C999" s="179"/>
      <c r="D999" s="180"/>
      <c r="E999" s="180"/>
      <c r="F999" s="180"/>
      <c r="G999" s="180"/>
      <c r="H999" s="248"/>
      <c r="I999" s="188" t="s">
        <v>1411</v>
      </c>
      <c r="J999" s="207" t="s">
        <v>571</v>
      </c>
      <c r="K999" s="343">
        <f>K995*20%</f>
        <v>2800</v>
      </c>
      <c r="L999" s="179"/>
      <c r="M999" s="185"/>
      <c r="AV999" s="138"/>
      <c r="AW999" s="138"/>
      <c r="AX999" s="138"/>
      <c r="AY999" s="138"/>
      <c r="AZ999" s="138"/>
      <c r="BA999" s="138"/>
      <c r="BB999" s="138"/>
      <c r="BC999" s="138"/>
      <c r="BD999" s="138"/>
      <c r="BE999" s="138"/>
      <c r="BF999" s="138"/>
      <c r="BG999" s="138"/>
      <c r="BH999" s="138"/>
      <c r="BI999" s="138"/>
      <c r="BJ999" s="138"/>
      <c r="BK999" s="138"/>
      <c r="BL999" s="138"/>
      <c r="BM999" s="138"/>
      <c r="BN999" s="138"/>
      <c r="BO999" s="138"/>
    </row>
    <row r="1000" spans="1:67" x14ac:dyDescent="0.2">
      <c r="A1000" s="189"/>
      <c r="B1000" s="190"/>
      <c r="C1000" s="191"/>
      <c r="D1000" s="192"/>
      <c r="E1000" s="192"/>
      <c r="F1000" s="192"/>
      <c r="G1000" s="192"/>
      <c r="H1000" s="249"/>
      <c r="I1000" s="203"/>
      <c r="J1000" s="204"/>
      <c r="K1000" s="354">
        <v>13500</v>
      </c>
      <c r="L1000" s="191"/>
      <c r="M1000" s="197"/>
      <c r="AV1000" s="138"/>
      <c r="AW1000" s="138"/>
      <c r="AX1000" s="138"/>
      <c r="AY1000" s="138"/>
      <c r="AZ1000" s="138"/>
      <c r="BA1000" s="138"/>
      <c r="BB1000" s="138"/>
      <c r="BC1000" s="138"/>
      <c r="BD1000" s="138"/>
      <c r="BE1000" s="138"/>
      <c r="BF1000" s="138"/>
      <c r="BG1000" s="138"/>
      <c r="BH1000" s="138"/>
      <c r="BI1000" s="138"/>
      <c r="BJ1000" s="138"/>
      <c r="BK1000" s="138"/>
      <c r="BL1000" s="138"/>
      <c r="BM1000" s="138"/>
      <c r="BN1000" s="138"/>
      <c r="BO1000" s="138"/>
    </row>
    <row r="1001" spans="1:67" ht="24" customHeight="1" x14ac:dyDescent="0.2">
      <c r="A1001" s="167">
        <v>255</v>
      </c>
      <c r="B1001" s="168" t="s">
        <v>1412</v>
      </c>
      <c r="C1001" s="169"/>
      <c r="D1001" s="170" t="s">
        <v>107</v>
      </c>
      <c r="E1001" s="170"/>
      <c r="F1001" s="170"/>
      <c r="G1001" s="170"/>
      <c r="H1001" s="246" t="s">
        <v>164</v>
      </c>
      <c r="I1001" s="217" t="s">
        <v>1413</v>
      </c>
      <c r="J1001" s="223" t="s">
        <v>1368</v>
      </c>
      <c r="K1001" s="353">
        <f>K1003*80%</f>
        <v>16000</v>
      </c>
      <c r="L1001" s="169" t="s">
        <v>111</v>
      </c>
      <c r="M1001" s="175" t="s">
        <v>1414</v>
      </c>
      <c r="AV1001" s="138"/>
      <c r="AW1001" s="138"/>
      <c r="AX1001" s="138"/>
      <c r="AY1001" s="138"/>
      <c r="AZ1001" s="138"/>
      <c r="BA1001" s="138"/>
      <c r="BB1001" s="138"/>
      <c r="BC1001" s="138"/>
      <c r="BD1001" s="138"/>
      <c r="BE1001" s="138"/>
      <c r="BF1001" s="138"/>
      <c r="BG1001" s="138"/>
      <c r="BH1001" s="138"/>
      <c r="BI1001" s="138"/>
      <c r="BJ1001" s="138"/>
      <c r="BK1001" s="138"/>
      <c r="BL1001" s="138"/>
      <c r="BM1001" s="138"/>
      <c r="BN1001" s="138"/>
      <c r="BO1001" s="138"/>
    </row>
    <row r="1002" spans="1:67" x14ac:dyDescent="0.2">
      <c r="A1002" s="177"/>
      <c r="B1002" s="178"/>
      <c r="C1002" s="179"/>
      <c r="D1002" s="180"/>
      <c r="E1002" s="180"/>
      <c r="F1002" s="180"/>
      <c r="G1002" s="180"/>
      <c r="H1002" s="248"/>
      <c r="I1002" s="188" t="s">
        <v>1415</v>
      </c>
      <c r="J1002" s="207" t="s">
        <v>571</v>
      </c>
      <c r="K1002" s="343">
        <f>K1003*20%</f>
        <v>4000</v>
      </c>
      <c r="L1002" s="179"/>
      <c r="M1002" s="185"/>
      <c r="AV1002" s="138"/>
      <c r="AW1002" s="138"/>
      <c r="AX1002" s="138"/>
      <c r="AY1002" s="138"/>
      <c r="AZ1002" s="138"/>
      <c r="BA1002" s="138"/>
      <c r="BB1002" s="138"/>
      <c r="BC1002" s="138"/>
      <c r="BD1002" s="138"/>
      <c r="BE1002" s="138"/>
      <c r="BF1002" s="138"/>
      <c r="BG1002" s="138"/>
      <c r="BH1002" s="138"/>
      <c r="BI1002" s="138"/>
      <c r="BJ1002" s="138"/>
      <c r="BK1002" s="138"/>
      <c r="BL1002" s="138"/>
      <c r="BM1002" s="138"/>
      <c r="BN1002" s="138"/>
      <c r="BO1002" s="138"/>
    </row>
    <row r="1003" spans="1:67" x14ac:dyDescent="0.2">
      <c r="A1003" s="189"/>
      <c r="B1003" s="190"/>
      <c r="C1003" s="191"/>
      <c r="D1003" s="192"/>
      <c r="E1003" s="192"/>
      <c r="F1003" s="192"/>
      <c r="G1003" s="192"/>
      <c r="H1003" s="249"/>
      <c r="I1003" s="203"/>
      <c r="J1003" s="204"/>
      <c r="K1003" s="354">
        <v>20000</v>
      </c>
      <c r="L1003" s="191"/>
      <c r="M1003" s="197"/>
      <c r="AV1003" s="138"/>
      <c r="AW1003" s="138"/>
      <c r="AX1003" s="138"/>
      <c r="AY1003" s="138"/>
      <c r="AZ1003" s="138"/>
      <c r="BA1003" s="138"/>
      <c r="BB1003" s="138"/>
      <c r="BC1003" s="138"/>
      <c r="BD1003" s="138"/>
      <c r="BE1003" s="138"/>
      <c r="BF1003" s="138"/>
      <c r="BG1003" s="138"/>
      <c r="BH1003" s="138"/>
      <c r="BI1003" s="138"/>
      <c r="BJ1003" s="138"/>
      <c r="BK1003" s="138"/>
      <c r="BL1003" s="138"/>
      <c r="BM1003" s="138"/>
      <c r="BN1003" s="138"/>
      <c r="BO1003" s="138"/>
    </row>
    <row r="1004" spans="1:67" ht="29.25" customHeight="1" x14ac:dyDescent="0.2">
      <c r="A1004" s="231">
        <v>256</v>
      </c>
      <c r="B1004" s="253" t="s">
        <v>1416</v>
      </c>
      <c r="C1004" s="254" t="s">
        <v>1416</v>
      </c>
      <c r="D1004" s="256" t="s">
        <v>107</v>
      </c>
      <c r="E1004" s="256"/>
      <c r="F1004" s="256"/>
      <c r="G1004" s="256"/>
      <c r="H1004" s="410"/>
      <c r="I1004" s="193" t="s">
        <v>1417</v>
      </c>
      <c r="J1004" s="215" t="s">
        <v>664</v>
      </c>
      <c r="K1004" s="388">
        <v>8000</v>
      </c>
      <c r="L1004" s="293" t="s">
        <v>111</v>
      </c>
      <c r="M1004" s="215" t="s">
        <v>1418</v>
      </c>
      <c r="AV1004" s="138"/>
      <c r="AW1004" s="138"/>
      <c r="AX1004" s="138"/>
      <c r="AY1004" s="138"/>
      <c r="AZ1004" s="138"/>
      <c r="BA1004" s="138"/>
      <c r="BB1004" s="138"/>
      <c r="BC1004" s="138"/>
      <c r="BD1004" s="138"/>
      <c r="BE1004" s="138"/>
      <c r="BF1004" s="138"/>
      <c r="BG1004" s="138"/>
      <c r="BH1004" s="138"/>
      <c r="BI1004" s="138"/>
      <c r="BJ1004" s="138"/>
      <c r="BK1004" s="138"/>
      <c r="BL1004" s="138"/>
      <c r="BM1004" s="138"/>
      <c r="BN1004" s="138"/>
      <c r="BO1004" s="138"/>
    </row>
    <row r="1005" spans="1:67" ht="54.75" customHeight="1" x14ac:dyDescent="0.2">
      <c r="A1005" s="231">
        <v>257</v>
      </c>
      <c r="B1005" s="253" t="s">
        <v>1419</v>
      </c>
      <c r="C1005" s="254" t="s">
        <v>1419</v>
      </c>
      <c r="D1005" s="256" t="s">
        <v>163</v>
      </c>
      <c r="E1005" s="256"/>
      <c r="F1005" s="256"/>
      <c r="G1005" s="256"/>
      <c r="H1005" s="257"/>
      <c r="I1005" s="193" t="s">
        <v>1420</v>
      </c>
      <c r="J1005" s="215" t="s">
        <v>664</v>
      </c>
      <c r="K1005" s="389">
        <v>500000</v>
      </c>
      <c r="L1005" s="390" t="s">
        <v>166</v>
      </c>
      <c r="M1005" s="215" t="s">
        <v>1421</v>
      </c>
      <c r="AV1005" s="138"/>
      <c r="AW1005" s="138"/>
      <c r="AX1005" s="138"/>
      <c r="AY1005" s="138"/>
      <c r="AZ1005" s="138"/>
      <c r="BA1005" s="138"/>
      <c r="BB1005" s="138"/>
      <c r="BC1005" s="138"/>
      <c r="BD1005" s="138"/>
      <c r="BE1005" s="138"/>
      <c r="BF1005" s="138"/>
      <c r="BG1005" s="138"/>
      <c r="BH1005" s="138"/>
      <c r="BI1005" s="138"/>
      <c r="BJ1005" s="138"/>
      <c r="BK1005" s="138"/>
      <c r="BL1005" s="138"/>
      <c r="BM1005" s="138"/>
      <c r="BN1005" s="138"/>
      <c r="BO1005" s="138"/>
    </row>
    <row r="1006" spans="1:67" ht="63" customHeight="1" x14ac:dyDescent="0.2">
      <c r="A1006" s="231">
        <v>258</v>
      </c>
      <c r="B1006" s="253" t="s">
        <v>1422</v>
      </c>
      <c r="C1006" s="254" t="s">
        <v>1422</v>
      </c>
      <c r="D1006" s="256" t="s">
        <v>163</v>
      </c>
      <c r="E1006" s="256"/>
      <c r="F1006" s="256"/>
      <c r="G1006" s="256"/>
      <c r="H1006" s="257"/>
      <c r="I1006" s="193" t="s">
        <v>1423</v>
      </c>
      <c r="J1006" s="215" t="s">
        <v>664</v>
      </c>
      <c r="K1006" s="389">
        <v>530000</v>
      </c>
      <c r="L1006" s="390" t="s">
        <v>166</v>
      </c>
      <c r="M1006" s="215" t="s">
        <v>1424</v>
      </c>
      <c r="AV1006" s="138"/>
      <c r="AW1006" s="138"/>
      <c r="AX1006" s="138"/>
      <c r="AY1006" s="138"/>
      <c r="AZ1006" s="138"/>
      <c r="BA1006" s="138"/>
      <c r="BB1006" s="138"/>
      <c r="BC1006" s="138"/>
      <c r="BD1006" s="138"/>
      <c r="BE1006" s="138"/>
      <c r="BF1006" s="138"/>
      <c r="BG1006" s="138"/>
      <c r="BH1006" s="138"/>
      <c r="BI1006" s="138"/>
      <c r="BJ1006" s="138"/>
      <c r="BK1006" s="138"/>
      <c r="BL1006" s="138"/>
      <c r="BM1006" s="138"/>
      <c r="BN1006" s="138"/>
      <c r="BO1006" s="138"/>
    </row>
    <row r="1007" spans="1:67" ht="65.25" customHeight="1" x14ac:dyDescent="0.2">
      <c r="A1007" s="231">
        <v>259</v>
      </c>
      <c r="B1007" s="253" t="s">
        <v>1425</v>
      </c>
      <c r="C1007" s="254" t="s">
        <v>1425</v>
      </c>
      <c r="D1007" s="256" t="s">
        <v>163</v>
      </c>
      <c r="E1007" s="256"/>
      <c r="F1007" s="256"/>
      <c r="G1007" s="256"/>
      <c r="H1007" s="257"/>
      <c r="I1007" s="171" t="s">
        <v>1420</v>
      </c>
      <c r="J1007" s="172" t="s">
        <v>664</v>
      </c>
      <c r="K1007" s="387">
        <v>500000</v>
      </c>
      <c r="L1007" s="390" t="s">
        <v>166</v>
      </c>
      <c r="M1007" s="215" t="s">
        <v>1426</v>
      </c>
      <c r="AV1007" s="138"/>
      <c r="AW1007" s="138"/>
      <c r="AX1007" s="138"/>
      <c r="AY1007" s="138"/>
      <c r="AZ1007" s="138"/>
      <c r="BA1007" s="138"/>
      <c r="BB1007" s="138"/>
      <c r="BC1007" s="138"/>
      <c r="BD1007" s="138"/>
      <c r="BE1007" s="138"/>
      <c r="BF1007" s="138"/>
      <c r="BG1007" s="138"/>
      <c r="BH1007" s="138"/>
      <c r="BI1007" s="138"/>
      <c r="BJ1007" s="138"/>
      <c r="BK1007" s="138"/>
      <c r="BL1007" s="138"/>
      <c r="BM1007" s="138"/>
      <c r="BN1007" s="138"/>
      <c r="BO1007" s="138"/>
    </row>
    <row r="1008" spans="1:67" ht="24.75" customHeight="1" x14ac:dyDescent="0.2">
      <c r="A1008" s="167">
        <v>260</v>
      </c>
      <c r="B1008" s="168" t="s">
        <v>1427</v>
      </c>
      <c r="C1008" s="169"/>
      <c r="D1008" s="170" t="s">
        <v>163</v>
      </c>
      <c r="E1008" s="170"/>
      <c r="F1008" s="170"/>
      <c r="G1008" s="170"/>
      <c r="H1008" s="246" t="s">
        <v>164</v>
      </c>
      <c r="I1008" s="217" t="s">
        <v>1428</v>
      </c>
      <c r="J1008" s="223" t="s">
        <v>1368</v>
      </c>
      <c r="K1008" s="353">
        <f>K1010*80%</f>
        <v>424000</v>
      </c>
      <c r="L1008" s="169" t="s">
        <v>166</v>
      </c>
      <c r="M1008" s="175" t="s">
        <v>1429</v>
      </c>
      <c r="AV1008" s="138"/>
      <c r="AW1008" s="138"/>
      <c r="AX1008" s="138"/>
      <c r="AY1008" s="138"/>
      <c r="AZ1008" s="138"/>
      <c r="BA1008" s="138"/>
      <c r="BB1008" s="138"/>
      <c r="BC1008" s="138"/>
      <c r="BD1008" s="138"/>
      <c r="BE1008" s="138"/>
      <c r="BF1008" s="138"/>
      <c r="BG1008" s="138"/>
      <c r="BH1008" s="138"/>
      <c r="BI1008" s="138"/>
      <c r="BJ1008" s="138"/>
      <c r="BK1008" s="138"/>
      <c r="BL1008" s="138"/>
      <c r="BM1008" s="138"/>
      <c r="BN1008" s="138"/>
      <c r="BO1008" s="138"/>
    </row>
    <row r="1009" spans="1:67" x14ac:dyDescent="0.2">
      <c r="A1009" s="177"/>
      <c r="B1009" s="178"/>
      <c r="C1009" s="179"/>
      <c r="D1009" s="180"/>
      <c r="E1009" s="180"/>
      <c r="F1009" s="180"/>
      <c r="G1009" s="180"/>
      <c r="H1009" s="248"/>
      <c r="I1009" s="188" t="s">
        <v>1430</v>
      </c>
      <c r="J1009" s="207" t="s">
        <v>664</v>
      </c>
      <c r="K1009" s="343">
        <f>K1010*20%</f>
        <v>106000</v>
      </c>
      <c r="L1009" s="179"/>
      <c r="M1009" s="185"/>
      <c r="AV1009" s="138"/>
      <c r="AW1009" s="138"/>
      <c r="AX1009" s="138"/>
      <c r="AY1009" s="138"/>
      <c r="AZ1009" s="138"/>
      <c r="BA1009" s="138"/>
      <c r="BB1009" s="138"/>
      <c r="BC1009" s="138"/>
      <c r="BD1009" s="138"/>
      <c r="BE1009" s="138"/>
      <c r="BF1009" s="138"/>
      <c r="BG1009" s="138"/>
      <c r="BH1009" s="138"/>
      <c r="BI1009" s="138"/>
      <c r="BJ1009" s="138"/>
      <c r="BK1009" s="138"/>
      <c r="BL1009" s="138"/>
      <c r="BM1009" s="138"/>
      <c r="BN1009" s="138"/>
      <c r="BO1009" s="138"/>
    </row>
    <row r="1010" spans="1:67" x14ac:dyDescent="0.2">
      <c r="A1010" s="189"/>
      <c r="B1010" s="190"/>
      <c r="C1010" s="191"/>
      <c r="D1010" s="192"/>
      <c r="E1010" s="192"/>
      <c r="F1010" s="192"/>
      <c r="G1010" s="192"/>
      <c r="H1010" s="249"/>
      <c r="I1010" s="203"/>
      <c r="J1010" s="204"/>
      <c r="K1010" s="354">
        <v>530000</v>
      </c>
      <c r="L1010" s="191"/>
      <c r="M1010" s="197"/>
      <c r="AV1010" s="138"/>
      <c r="AW1010" s="138"/>
      <c r="AX1010" s="138"/>
      <c r="AY1010" s="138"/>
      <c r="AZ1010" s="138"/>
      <c r="BA1010" s="138"/>
      <c r="BB1010" s="138"/>
      <c r="BC1010" s="138"/>
      <c r="BD1010" s="138"/>
      <c r="BE1010" s="138"/>
      <c r="BF1010" s="138"/>
      <c r="BG1010" s="138"/>
      <c r="BH1010" s="138"/>
      <c r="BI1010" s="138"/>
      <c r="BJ1010" s="138"/>
      <c r="BK1010" s="138"/>
      <c r="BL1010" s="138"/>
      <c r="BM1010" s="138"/>
      <c r="BN1010" s="138"/>
      <c r="BO1010" s="138"/>
    </row>
    <row r="1011" spans="1:67" ht="23.25" customHeight="1" x14ac:dyDescent="0.2">
      <c r="A1011" s="167">
        <v>261</v>
      </c>
      <c r="B1011" s="168" t="s">
        <v>1431</v>
      </c>
      <c r="C1011" s="169"/>
      <c r="D1011" s="170" t="s">
        <v>163</v>
      </c>
      <c r="E1011" s="170"/>
      <c r="F1011" s="170"/>
      <c r="G1011" s="170"/>
      <c r="H1011" s="246" t="s">
        <v>137</v>
      </c>
      <c r="I1011" s="217" t="s">
        <v>1432</v>
      </c>
      <c r="J1011" s="223" t="s">
        <v>1368</v>
      </c>
      <c r="K1011" s="353">
        <f>K1014*90%</f>
        <v>1260000</v>
      </c>
      <c r="L1011" s="169" t="s">
        <v>166</v>
      </c>
      <c r="M1011" s="175" t="s">
        <v>1433</v>
      </c>
      <c r="AV1011" s="138"/>
      <c r="AW1011" s="138"/>
      <c r="AX1011" s="138"/>
      <c r="AY1011" s="138"/>
      <c r="AZ1011" s="138"/>
      <c r="BA1011" s="138"/>
      <c r="BB1011" s="138"/>
      <c r="BC1011" s="138"/>
      <c r="BD1011" s="138"/>
      <c r="BE1011" s="138"/>
      <c r="BF1011" s="138"/>
      <c r="BG1011" s="138"/>
      <c r="BH1011" s="138"/>
      <c r="BI1011" s="138"/>
      <c r="BJ1011" s="138"/>
      <c r="BK1011" s="138"/>
      <c r="BL1011" s="138"/>
      <c r="BM1011" s="138"/>
      <c r="BN1011" s="138"/>
      <c r="BO1011" s="138"/>
    </row>
    <row r="1012" spans="1:67" x14ac:dyDescent="0.2">
      <c r="A1012" s="177"/>
      <c r="B1012" s="178"/>
      <c r="C1012" s="179"/>
      <c r="D1012" s="180"/>
      <c r="E1012" s="180"/>
      <c r="F1012" s="180"/>
      <c r="G1012" s="180"/>
      <c r="H1012" s="248"/>
      <c r="I1012" s="188" t="s">
        <v>1434</v>
      </c>
      <c r="J1012" s="207" t="s">
        <v>664</v>
      </c>
      <c r="K1012" s="343">
        <f>K1014*5%</f>
        <v>70000</v>
      </c>
      <c r="L1012" s="179"/>
      <c r="M1012" s="185"/>
      <c r="AV1012" s="138"/>
      <c r="AW1012" s="138"/>
      <c r="AX1012" s="138"/>
      <c r="AY1012" s="138"/>
      <c r="AZ1012" s="138"/>
      <c r="BA1012" s="138"/>
      <c r="BB1012" s="138"/>
      <c r="BC1012" s="138"/>
      <c r="BD1012" s="138"/>
      <c r="BE1012" s="138"/>
      <c r="BF1012" s="138"/>
      <c r="BG1012" s="138"/>
      <c r="BH1012" s="138"/>
      <c r="BI1012" s="138"/>
      <c r="BJ1012" s="138"/>
      <c r="BK1012" s="138"/>
      <c r="BL1012" s="138"/>
      <c r="BM1012" s="138"/>
      <c r="BN1012" s="138"/>
      <c r="BO1012" s="138"/>
    </row>
    <row r="1013" spans="1:67" x14ac:dyDescent="0.2">
      <c r="A1013" s="177"/>
      <c r="B1013" s="178"/>
      <c r="C1013" s="179"/>
      <c r="D1013" s="180"/>
      <c r="E1013" s="180"/>
      <c r="F1013" s="180"/>
      <c r="G1013" s="180"/>
      <c r="H1013" s="248"/>
      <c r="I1013" s="188" t="s">
        <v>1435</v>
      </c>
      <c r="J1013" s="207" t="s">
        <v>664</v>
      </c>
      <c r="K1013" s="343">
        <f>K1014*5%</f>
        <v>70000</v>
      </c>
      <c r="L1013" s="179"/>
      <c r="M1013" s="185"/>
      <c r="AV1013" s="138"/>
      <c r="AW1013" s="138"/>
      <c r="AX1013" s="138"/>
      <c r="AY1013" s="138"/>
      <c r="AZ1013" s="138"/>
      <c r="BA1013" s="138"/>
      <c r="BB1013" s="138"/>
      <c r="BC1013" s="138"/>
      <c r="BD1013" s="138"/>
      <c r="BE1013" s="138"/>
      <c r="BF1013" s="138"/>
      <c r="BG1013" s="138"/>
      <c r="BH1013" s="138"/>
      <c r="BI1013" s="138"/>
      <c r="BJ1013" s="138"/>
      <c r="BK1013" s="138"/>
      <c r="BL1013" s="138"/>
      <c r="BM1013" s="138"/>
      <c r="BN1013" s="138"/>
      <c r="BO1013" s="138"/>
    </row>
    <row r="1014" spans="1:67" x14ac:dyDescent="0.2">
      <c r="A1014" s="189"/>
      <c r="B1014" s="190"/>
      <c r="C1014" s="191"/>
      <c r="D1014" s="192"/>
      <c r="E1014" s="192"/>
      <c r="F1014" s="192"/>
      <c r="G1014" s="192"/>
      <c r="H1014" s="249"/>
      <c r="I1014" s="203"/>
      <c r="J1014" s="204"/>
      <c r="K1014" s="354">
        <v>1400000</v>
      </c>
      <c r="L1014" s="191"/>
      <c r="M1014" s="197"/>
      <c r="AV1014" s="138"/>
      <c r="AW1014" s="138"/>
      <c r="AX1014" s="138"/>
      <c r="AY1014" s="138"/>
      <c r="AZ1014" s="138"/>
      <c r="BA1014" s="138"/>
      <c r="BB1014" s="138"/>
      <c r="BC1014" s="138"/>
      <c r="BD1014" s="138"/>
      <c r="BE1014" s="138"/>
      <c r="BF1014" s="138"/>
      <c r="BG1014" s="138"/>
      <c r="BH1014" s="138"/>
      <c r="BI1014" s="138"/>
      <c r="BJ1014" s="138"/>
      <c r="BK1014" s="138"/>
      <c r="BL1014" s="138"/>
      <c r="BM1014" s="138"/>
      <c r="BN1014" s="138"/>
      <c r="BO1014" s="138"/>
    </row>
    <row r="1015" spans="1:67" ht="24" customHeight="1" x14ac:dyDescent="0.2">
      <c r="A1015" s="167">
        <v>262</v>
      </c>
      <c r="B1015" s="168" t="s">
        <v>1436</v>
      </c>
      <c r="C1015" s="169"/>
      <c r="D1015" s="170" t="s">
        <v>163</v>
      </c>
      <c r="E1015" s="170"/>
      <c r="F1015" s="170"/>
      <c r="G1015" s="170"/>
      <c r="H1015" s="246"/>
      <c r="I1015" s="217" t="s">
        <v>1437</v>
      </c>
      <c r="J1015" s="223" t="s">
        <v>1368</v>
      </c>
      <c r="K1015" s="353">
        <f>K1019*85%</f>
        <v>459595</v>
      </c>
      <c r="L1015" s="169" t="s">
        <v>166</v>
      </c>
      <c r="M1015" s="175" t="s">
        <v>1438</v>
      </c>
      <c r="AV1015" s="138"/>
      <c r="AW1015" s="138"/>
      <c r="AX1015" s="138"/>
      <c r="AY1015" s="138"/>
      <c r="AZ1015" s="138"/>
      <c r="BA1015" s="138"/>
      <c r="BB1015" s="138"/>
      <c r="BC1015" s="138"/>
      <c r="BD1015" s="138"/>
      <c r="BE1015" s="138"/>
      <c r="BF1015" s="138"/>
      <c r="BG1015" s="138"/>
      <c r="BH1015" s="138"/>
      <c r="BI1015" s="138"/>
      <c r="BJ1015" s="138"/>
      <c r="BK1015" s="138"/>
      <c r="BL1015" s="138"/>
      <c r="BM1015" s="138"/>
      <c r="BN1015" s="138"/>
      <c r="BO1015" s="138"/>
    </row>
    <row r="1016" spans="1:67" x14ac:dyDescent="0.2">
      <c r="A1016" s="177"/>
      <c r="B1016" s="178"/>
      <c r="C1016" s="179"/>
      <c r="D1016" s="180"/>
      <c r="E1016" s="180"/>
      <c r="F1016" s="180"/>
      <c r="G1016" s="180"/>
      <c r="H1016" s="248"/>
      <c r="I1016" s="188" t="s">
        <v>1439</v>
      </c>
      <c r="J1016" s="207" t="s">
        <v>655</v>
      </c>
      <c r="K1016" s="343">
        <f>K1019*5%</f>
        <v>27035</v>
      </c>
      <c r="L1016" s="179"/>
      <c r="M1016" s="185"/>
      <c r="AV1016" s="138"/>
      <c r="AW1016" s="138"/>
      <c r="AX1016" s="138"/>
      <c r="AY1016" s="138"/>
      <c r="AZ1016" s="138"/>
      <c r="BA1016" s="138"/>
      <c r="BB1016" s="138"/>
      <c r="BC1016" s="138"/>
      <c r="BD1016" s="138"/>
      <c r="BE1016" s="138"/>
      <c r="BF1016" s="138"/>
      <c r="BG1016" s="138"/>
      <c r="BH1016" s="138"/>
      <c r="BI1016" s="138"/>
      <c r="BJ1016" s="138"/>
      <c r="BK1016" s="138"/>
      <c r="BL1016" s="138"/>
      <c r="BM1016" s="138"/>
      <c r="BN1016" s="138"/>
      <c r="BO1016" s="138"/>
    </row>
    <row r="1017" spans="1:67" x14ac:dyDescent="0.2">
      <c r="A1017" s="177"/>
      <c r="B1017" s="178"/>
      <c r="C1017" s="179"/>
      <c r="D1017" s="180"/>
      <c r="E1017" s="180"/>
      <c r="F1017" s="180"/>
      <c r="G1017" s="180"/>
      <c r="H1017" s="248"/>
      <c r="I1017" s="188" t="s">
        <v>1440</v>
      </c>
      <c r="J1017" s="207" t="s">
        <v>274</v>
      </c>
      <c r="K1017" s="343">
        <f>K1019*5%</f>
        <v>27035</v>
      </c>
      <c r="L1017" s="179"/>
      <c r="M1017" s="185"/>
      <c r="AV1017" s="138"/>
      <c r="AW1017" s="138"/>
      <c r="AX1017" s="138"/>
      <c r="AY1017" s="138"/>
      <c r="AZ1017" s="138"/>
      <c r="BA1017" s="138"/>
      <c r="BB1017" s="138"/>
      <c r="BC1017" s="138"/>
      <c r="BD1017" s="138"/>
      <c r="BE1017" s="138"/>
      <c r="BF1017" s="138"/>
      <c r="BG1017" s="138"/>
      <c r="BH1017" s="138"/>
      <c r="BI1017" s="138"/>
      <c r="BJ1017" s="138"/>
      <c r="BK1017" s="138"/>
      <c r="BL1017" s="138"/>
      <c r="BM1017" s="138"/>
      <c r="BN1017" s="138"/>
      <c r="BO1017" s="138"/>
    </row>
    <row r="1018" spans="1:67" ht="48" x14ac:dyDescent="0.2">
      <c r="A1018" s="177"/>
      <c r="B1018" s="178"/>
      <c r="C1018" s="179"/>
      <c r="D1018" s="180"/>
      <c r="E1018" s="180"/>
      <c r="F1018" s="180"/>
      <c r="G1018" s="180"/>
      <c r="H1018" s="248"/>
      <c r="I1018" s="188" t="s">
        <v>1441</v>
      </c>
      <c r="J1018" s="207" t="s">
        <v>274</v>
      </c>
      <c r="K1018" s="343">
        <f>K1019*5%</f>
        <v>27035</v>
      </c>
      <c r="L1018" s="179"/>
      <c r="M1018" s="185"/>
      <c r="AV1018" s="138"/>
      <c r="AW1018" s="138"/>
      <c r="AX1018" s="138"/>
      <c r="AY1018" s="138"/>
      <c r="AZ1018" s="138"/>
      <c r="BA1018" s="138"/>
      <c r="BB1018" s="138"/>
      <c r="BC1018" s="138"/>
      <c r="BD1018" s="138"/>
      <c r="BE1018" s="138"/>
      <c r="BF1018" s="138"/>
      <c r="BG1018" s="138"/>
      <c r="BH1018" s="138"/>
      <c r="BI1018" s="138"/>
      <c r="BJ1018" s="138"/>
      <c r="BK1018" s="138"/>
      <c r="BL1018" s="138"/>
      <c r="BM1018" s="138"/>
      <c r="BN1018" s="138"/>
      <c r="BO1018" s="138"/>
    </row>
    <row r="1019" spans="1:67" x14ac:dyDescent="0.2">
      <c r="A1019" s="189"/>
      <c r="B1019" s="190"/>
      <c r="C1019" s="191"/>
      <c r="D1019" s="192"/>
      <c r="E1019" s="192"/>
      <c r="F1019" s="192"/>
      <c r="G1019" s="192"/>
      <c r="H1019" s="249"/>
      <c r="I1019" s="203"/>
      <c r="J1019" s="204"/>
      <c r="K1019" s="354">
        <v>540700</v>
      </c>
      <c r="L1019" s="191"/>
      <c r="M1019" s="197"/>
      <c r="AV1019" s="138"/>
      <c r="AW1019" s="138"/>
      <c r="AX1019" s="138"/>
      <c r="AY1019" s="138"/>
      <c r="AZ1019" s="138"/>
      <c r="BA1019" s="138"/>
      <c r="BB1019" s="138"/>
      <c r="BC1019" s="138"/>
      <c r="BD1019" s="138"/>
      <c r="BE1019" s="138"/>
      <c r="BF1019" s="138"/>
      <c r="BG1019" s="138"/>
      <c r="BH1019" s="138"/>
      <c r="BI1019" s="138"/>
      <c r="BJ1019" s="138"/>
      <c r="BK1019" s="138"/>
      <c r="BL1019" s="138"/>
      <c r="BM1019" s="138"/>
      <c r="BN1019" s="138"/>
      <c r="BO1019" s="138"/>
    </row>
    <row r="1020" spans="1:67" ht="25.5" customHeight="1" x14ac:dyDescent="0.2">
      <c r="A1020" s="167">
        <v>263</v>
      </c>
      <c r="B1020" s="168" t="s">
        <v>1442</v>
      </c>
      <c r="C1020" s="169"/>
      <c r="D1020" s="170" t="s">
        <v>163</v>
      </c>
      <c r="E1020" s="170"/>
      <c r="F1020" s="170"/>
      <c r="G1020" s="170"/>
      <c r="H1020" s="246" t="s">
        <v>964</v>
      </c>
      <c r="I1020" s="217" t="s">
        <v>1443</v>
      </c>
      <c r="J1020" s="223" t="s">
        <v>1368</v>
      </c>
      <c r="K1020" s="353">
        <f>K1024*60%</f>
        <v>444420</v>
      </c>
      <c r="L1020" s="169" t="s">
        <v>166</v>
      </c>
      <c r="M1020" s="411" t="s">
        <v>1444</v>
      </c>
      <c r="AV1020" s="138"/>
      <c r="AW1020" s="138"/>
      <c r="AX1020" s="138"/>
      <c r="AY1020" s="138"/>
      <c r="AZ1020" s="138"/>
      <c r="BA1020" s="138"/>
      <c r="BB1020" s="138"/>
      <c r="BC1020" s="138"/>
      <c r="BD1020" s="138"/>
      <c r="BE1020" s="138"/>
      <c r="BF1020" s="138"/>
      <c r="BG1020" s="138"/>
      <c r="BH1020" s="138"/>
      <c r="BI1020" s="138"/>
      <c r="BJ1020" s="138"/>
      <c r="BK1020" s="138"/>
      <c r="BL1020" s="138"/>
      <c r="BM1020" s="138"/>
      <c r="BN1020" s="138"/>
      <c r="BO1020" s="138"/>
    </row>
    <row r="1021" spans="1:67" x14ac:dyDescent="0.2">
      <c r="A1021" s="177"/>
      <c r="B1021" s="178"/>
      <c r="C1021" s="179"/>
      <c r="D1021" s="180"/>
      <c r="E1021" s="180"/>
      <c r="F1021" s="180"/>
      <c r="G1021" s="180"/>
      <c r="H1021" s="248"/>
      <c r="I1021" s="188" t="s">
        <v>1445</v>
      </c>
      <c r="J1021" s="207" t="s">
        <v>664</v>
      </c>
      <c r="K1021" s="343">
        <f>K1024*10%</f>
        <v>74070</v>
      </c>
      <c r="L1021" s="179"/>
      <c r="M1021" s="412"/>
      <c r="AV1021" s="138"/>
      <c r="AW1021" s="138"/>
      <c r="AX1021" s="138"/>
      <c r="AY1021" s="138"/>
      <c r="AZ1021" s="138"/>
      <c r="BA1021" s="138"/>
      <c r="BB1021" s="138"/>
      <c r="BC1021" s="138"/>
      <c r="BD1021" s="138"/>
      <c r="BE1021" s="138"/>
      <c r="BF1021" s="138"/>
      <c r="BG1021" s="138"/>
      <c r="BH1021" s="138"/>
      <c r="BI1021" s="138"/>
      <c r="BJ1021" s="138"/>
      <c r="BK1021" s="138"/>
      <c r="BL1021" s="138"/>
      <c r="BM1021" s="138"/>
      <c r="BN1021" s="138"/>
      <c r="BO1021" s="138"/>
    </row>
    <row r="1022" spans="1:67" x14ac:dyDescent="0.2">
      <c r="A1022" s="177"/>
      <c r="B1022" s="178"/>
      <c r="C1022" s="179"/>
      <c r="D1022" s="180"/>
      <c r="E1022" s="180"/>
      <c r="F1022" s="180"/>
      <c r="G1022" s="180"/>
      <c r="H1022" s="248"/>
      <c r="I1022" s="188" t="s">
        <v>1446</v>
      </c>
      <c r="J1022" s="207" t="s">
        <v>274</v>
      </c>
      <c r="K1022" s="343">
        <f>K1024*10%</f>
        <v>74070</v>
      </c>
      <c r="L1022" s="179"/>
      <c r="M1022" s="412"/>
      <c r="AV1022" s="138"/>
      <c r="AW1022" s="138"/>
      <c r="AX1022" s="138"/>
      <c r="AY1022" s="138"/>
      <c r="AZ1022" s="138"/>
      <c r="BA1022" s="138"/>
      <c r="BB1022" s="138"/>
      <c r="BC1022" s="138"/>
      <c r="BD1022" s="138"/>
      <c r="BE1022" s="138"/>
      <c r="BF1022" s="138"/>
      <c r="BG1022" s="138"/>
      <c r="BH1022" s="138"/>
      <c r="BI1022" s="138"/>
      <c r="BJ1022" s="138"/>
      <c r="BK1022" s="138"/>
      <c r="BL1022" s="138"/>
      <c r="BM1022" s="138"/>
      <c r="BN1022" s="138"/>
      <c r="BO1022" s="138"/>
    </row>
    <row r="1023" spans="1:67" x14ac:dyDescent="0.2">
      <c r="A1023" s="177"/>
      <c r="B1023" s="178"/>
      <c r="C1023" s="179"/>
      <c r="D1023" s="180"/>
      <c r="E1023" s="180"/>
      <c r="F1023" s="180"/>
      <c r="G1023" s="180"/>
      <c r="H1023" s="248"/>
      <c r="I1023" s="188" t="s">
        <v>1447</v>
      </c>
      <c r="J1023" s="207" t="s">
        <v>571</v>
      </c>
      <c r="K1023" s="343">
        <f>K1024*10%</f>
        <v>74070</v>
      </c>
      <c r="L1023" s="179"/>
      <c r="M1023" s="412"/>
      <c r="N1023" s="176"/>
      <c r="AV1023" s="138"/>
      <c r="AW1023" s="138"/>
      <c r="AX1023" s="138"/>
      <c r="AY1023" s="138"/>
      <c r="AZ1023" s="138"/>
      <c r="BA1023" s="138"/>
      <c r="BB1023" s="138"/>
      <c r="BC1023" s="138"/>
      <c r="BD1023" s="138"/>
      <c r="BE1023" s="138"/>
      <c r="BF1023" s="138"/>
      <c r="BG1023" s="138"/>
      <c r="BH1023" s="138"/>
      <c r="BI1023" s="138"/>
      <c r="BJ1023" s="138"/>
      <c r="BK1023" s="138"/>
      <c r="BL1023" s="138"/>
      <c r="BM1023" s="138"/>
      <c r="BN1023" s="138"/>
      <c r="BO1023" s="138"/>
    </row>
    <row r="1024" spans="1:67" x14ac:dyDescent="0.2">
      <c r="A1024" s="189"/>
      <c r="B1024" s="190"/>
      <c r="C1024" s="191"/>
      <c r="D1024" s="192"/>
      <c r="E1024" s="192"/>
      <c r="F1024" s="192"/>
      <c r="G1024" s="192"/>
      <c r="H1024" s="249"/>
      <c r="I1024" s="203"/>
      <c r="J1024" s="204"/>
      <c r="K1024" s="354">
        <v>740700</v>
      </c>
      <c r="L1024" s="191"/>
      <c r="M1024" s="413"/>
      <c r="AV1024" s="138"/>
      <c r="AW1024" s="138"/>
      <c r="AX1024" s="138"/>
      <c r="AY1024" s="138"/>
      <c r="AZ1024" s="138"/>
      <c r="BA1024" s="138"/>
      <c r="BB1024" s="138"/>
      <c r="BC1024" s="138"/>
      <c r="BD1024" s="138"/>
      <c r="BE1024" s="138"/>
      <c r="BF1024" s="138"/>
      <c r="BG1024" s="138"/>
      <c r="BH1024" s="138"/>
      <c r="BI1024" s="138"/>
      <c r="BJ1024" s="138"/>
      <c r="BK1024" s="138"/>
      <c r="BL1024" s="138"/>
      <c r="BM1024" s="138"/>
      <c r="BN1024" s="138"/>
      <c r="BO1024" s="138"/>
    </row>
    <row r="1025" spans="1:67" ht="23.25" customHeight="1" x14ac:dyDescent="0.2">
      <c r="A1025" s="167">
        <v>264</v>
      </c>
      <c r="B1025" s="168" t="s">
        <v>1448</v>
      </c>
      <c r="C1025" s="169"/>
      <c r="D1025" s="170" t="s">
        <v>163</v>
      </c>
      <c r="E1025" s="170"/>
      <c r="F1025" s="170"/>
      <c r="G1025" s="170"/>
      <c r="H1025" s="246" t="s">
        <v>1303</v>
      </c>
      <c r="I1025" s="217" t="s">
        <v>1449</v>
      </c>
      <c r="J1025" s="223" t="s">
        <v>1368</v>
      </c>
      <c r="K1025" s="353">
        <f>K1030*60%</f>
        <v>390000</v>
      </c>
      <c r="L1025" s="169" t="s">
        <v>166</v>
      </c>
      <c r="M1025" s="175" t="s">
        <v>1450</v>
      </c>
      <c r="AV1025" s="138"/>
      <c r="AW1025" s="138"/>
      <c r="AX1025" s="138"/>
      <c r="AY1025" s="138"/>
      <c r="AZ1025" s="138"/>
      <c r="BA1025" s="138"/>
      <c r="BB1025" s="138"/>
      <c r="BC1025" s="138"/>
      <c r="BD1025" s="138"/>
      <c r="BE1025" s="138"/>
      <c r="BF1025" s="138"/>
      <c r="BG1025" s="138"/>
      <c r="BH1025" s="138"/>
      <c r="BI1025" s="138"/>
      <c r="BJ1025" s="138"/>
      <c r="BK1025" s="138"/>
      <c r="BL1025" s="138"/>
      <c r="BM1025" s="138"/>
      <c r="BN1025" s="138"/>
      <c r="BO1025" s="138"/>
    </row>
    <row r="1026" spans="1:67" ht="48" x14ac:dyDescent="0.2">
      <c r="A1026" s="177"/>
      <c r="B1026" s="178"/>
      <c r="C1026" s="179"/>
      <c r="D1026" s="180"/>
      <c r="E1026" s="180"/>
      <c r="F1026" s="180"/>
      <c r="G1026" s="180"/>
      <c r="H1026" s="248"/>
      <c r="I1026" s="188" t="s">
        <v>1451</v>
      </c>
      <c r="J1026" s="207" t="s">
        <v>664</v>
      </c>
      <c r="K1026" s="343">
        <f>K1030*10%</f>
        <v>65000</v>
      </c>
      <c r="L1026" s="179"/>
      <c r="M1026" s="185"/>
      <c r="AV1026" s="138"/>
      <c r="AW1026" s="138"/>
      <c r="AX1026" s="138"/>
      <c r="AY1026" s="138"/>
      <c r="AZ1026" s="138"/>
      <c r="BA1026" s="138"/>
      <c r="BB1026" s="138"/>
      <c r="BC1026" s="138"/>
      <c r="BD1026" s="138"/>
      <c r="BE1026" s="138"/>
      <c r="BF1026" s="138"/>
      <c r="BG1026" s="138"/>
      <c r="BH1026" s="138"/>
      <c r="BI1026" s="138"/>
      <c r="BJ1026" s="138"/>
      <c r="BK1026" s="138"/>
      <c r="BL1026" s="138"/>
      <c r="BM1026" s="138"/>
      <c r="BN1026" s="138"/>
      <c r="BO1026" s="138"/>
    </row>
    <row r="1027" spans="1:67" x14ac:dyDescent="0.2">
      <c r="A1027" s="177"/>
      <c r="B1027" s="178"/>
      <c r="C1027" s="179"/>
      <c r="D1027" s="180"/>
      <c r="E1027" s="180"/>
      <c r="F1027" s="180"/>
      <c r="G1027" s="180"/>
      <c r="H1027" s="248"/>
      <c r="I1027" s="188" t="s">
        <v>1452</v>
      </c>
      <c r="J1027" s="207" t="s">
        <v>664</v>
      </c>
      <c r="K1027" s="343">
        <f>K1030*10%</f>
        <v>65000</v>
      </c>
      <c r="L1027" s="179"/>
      <c r="M1027" s="185"/>
      <c r="AV1027" s="138"/>
      <c r="AW1027" s="138"/>
      <c r="AX1027" s="138"/>
      <c r="AY1027" s="138"/>
      <c r="AZ1027" s="138"/>
      <c r="BA1027" s="138"/>
      <c r="BB1027" s="138"/>
      <c r="BC1027" s="138"/>
      <c r="BD1027" s="138"/>
      <c r="BE1027" s="138"/>
      <c r="BF1027" s="138"/>
      <c r="BG1027" s="138"/>
      <c r="BH1027" s="138"/>
      <c r="BI1027" s="138"/>
      <c r="BJ1027" s="138"/>
      <c r="BK1027" s="138"/>
      <c r="BL1027" s="138"/>
      <c r="BM1027" s="138"/>
      <c r="BN1027" s="138"/>
      <c r="BO1027" s="138"/>
    </row>
    <row r="1028" spans="1:67" x14ac:dyDescent="0.2">
      <c r="A1028" s="177"/>
      <c r="B1028" s="178"/>
      <c r="C1028" s="179"/>
      <c r="D1028" s="180"/>
      <c r="E1028" s="180"/>
      <c r="F1028" s="180"/>
      <c r="G1028" s="180"/>
      <c r="H1028" s="248"/>
      <c r="I1028" s="188" t="s">
        <v>1446</v>
      </c>
      <c r="J1028" s="207" t="s">
        <v>274</v>
      </c>
      <c r="K1028" s="343">
        <f>K1030*10%</f>
        <v>65000</v>
      </c>
      <c r="L1028" s="179"/>
      <c r="M1028" s="185"/>
      <c r="AV1028" s="138"/>
      <c r="AW1028" s="138"/>
      <c r="AX1028" s="138"/>
      <c r="AY1028" s="138"/>
      <c r="AZ1028" s="138"/>
      <c r="BA1028" s="138"/>
      <c r="BB1028" s="138"/>
      <c r="BC1028" s="138"/>
      <c r="BD1028" s="138"/>
      <c r="BE1028" s="138"/>
      <c r="BF1028" s="138"/>
      <c r="BG1028" s="138"/>
      <c r="BH1028" s="138"/>
      <c r="BI1028" s="138"/>
      <c r="BJ1028" s="138"/>
      <c r="BK1028" s="138"/>
      <c r="BL1028" s="138"/>
      <c r="BM1028" s="138"/>
      <c r="BN1028" s="138"/>
      <c r="BO1028" s="138"/>
    </row>
    <row r="1029" spans="1:67" x14ac:dyDescent="0.2">
      <c r="A1029" s="177"/>
      <c r="B1029" s="178"/>
      <c r="C1029" s="179"/>
      <c r="D1029" s="180"/>
      <c r="E1029" s="180"/>
      <c r="F1029" s="180"/>
      <c r="G1029" s="180"/>
      <c r="H1029" s="248"/>
      <c r="I1029" s="188" t="s">
        <v>1453</v>
      </c>
      <c r="J1029" s="207" t="s">
        <v>664</v>
      </c>
      <c r="K1029" s="343">
        <f>K1030*10%</f>
        <v>65000</v>
      </c>
      <c r="L1029" s="179"/>
      <c r="M1029" s="185"/>
      <c r="AV1029" s="138"/>
      <c r="AW1029" s="138"/>
      <c r="AX1029" s="138"/>
      <c r="AY1029" s="138"/>
      <c r="AZ1029" s="138"/>
      <c r="BA1029" s="138"/>
      <c r="BB1029" s="138"/>
      <c r="BC1029" s="138"/>
      <c r="BD1029" s="138"/>
      <c r="BE1029" s="138"/>
      <c r="BF1029" s="138"/>
      <c r="BG1029" s="138"/>
      <c r="BH1029" s="138"/>
      <c r="BI1029" s="138"/>
      <c r="BJ1029" s="138"/>
      <c r="BK1029" s="138"/>
      <c r="BL1029" s="138"/>
      <c r="BM1029" s="138"/>
      <c r="BN1029" s="138"/>
      <c r="BO1029" s="138"/>
    </row>
    <row r="1030" spans="1:67" x14ac:dyDescent="0.2">
      <c r="A1030" s="189"/>
      <c r="B1030" s="190"/>
      <c r="C1030" s="191"/>
      <c r="D1030" s="192"/>
      <c r="E1030" s="192"/>
      <c r="F1030" s="192"/>
      <c r="G1030" s="192"/>
      <c r="H1030" s="249"/>
      <c r="I1030" s="203"/>
      <c r="J1030" s="204"/>
      <c r="K1030" s="354">
        <v>650000</v>
      </c>
      <c r="L1030" s="191"/>
      <c r="M1030" s="197"/>
      <c r="AV1030" s="138"/>
      <c r="AW1030" s="138"/>
      <c r="AX1030" s="138"/>
      <c r="AY1030" s="138"/>
      <c r="AZ1030" s="138"/>
      <c r="BA1030" s="138"/>
      <c r="BB1030" s="138"/>
      <c r="BC1030" s="138"/>
      <c r="BD1030" s="138"/>
      <c r="BE1030" s="138"/>
      <c r="BF1030" s="138"/>
      <c r="BG1030" s="138"/>
      <c r="BH1030" s="138"/>
      <c r="BI1030" s="138"/>
      <c r="BJ1030" s="138"/>
      <c r="BK1030" s="138"/>
      <c r="BL1030" s="138"/>
      <c r="BM1030" s="138"/>
      <c r="BN1030" s="138"/>
      <c r="BO1030" s="138"/>
    </row>
    <row r="1031" spans="1:67" ht="24" customHeight="1" x14ac:dyDescent="0.2">
      <c r="A1031" s="167">
        <v>265</v>
      </c>
      <c r="B1031" s="168" t="s">
        <v>1454</v>
      </c>
      <c r="C1031" s="169"/>
      <c r="D1031" s="170" t="s">
        <v>163</v>
      </c>
      <c r="E1031" s="170"/>
      <c r="F1031" s="170"/>
      <c r="G1031" s="170"/>
      <c r="H1031" s="246" t="s">
        <v>964</v>
      </c>
      <c r="I1031" s="217" t="s">
        <v>1455</v>
      </c>
      <c r="J1031" s="223" t="s">
        <v>1368</v>
      </c>
      <c r="K1031" s="266">
        <f>K1036*50%</f>
        <v>325000</v>
      </c>
      <c r="L1031" s="169" t="s">
        <v>166</v>
      </c>
      <c r="M1031" s="175" t="s">
        <v>1456</v>
      </c>
      <c r="AV1031" s="138"/>
      <c r="AW1031" s="138"/>
      <c r="AX1031" s="138"/>
      <c r="AY1031" s="138"/>
      <c r="AZ1031" s="138"/>
      <c r="BA1031" s="138"/>
      <c r="BB1031" s="138"/>
      <c r="BC1031" s="138"/>
      <c r="BD1031" s="138"/>
      <c r="BE1031" s="138"/>
      <c r="BF1031" s="138"/>
      <c r="BG1031" s="138"/>
      <c r="BH1031" s="138"/>
      <c r="BI1031" s="138"/>
      <c r="BJ1031" s="138"/>
      <c r="BK1031" s="138"/>
      <c r="BL1031" s="138"/>
      <c r="BM1031" s="138"/>
      <c r="BN1031" s="138"/>
      <c r="BO1031" s="138"/>
    </row>
    <row r="1032" spans="1:67" ht="48" x14ac:dyDescent="0.2">
      <c r="A1032" s="177"/>
      <c r="B1032" s="178"/>
      <c r="C1032" s="179"/>
      <c r="D1032" s="180"/>
      <c r="E1032" s="180"/>
      <c r="F1032" s="180"/>
      <c r="G1032" s="180"/>
      <c r="H1032" s="248"/>
      <c r="I1032" s="188" t="s">
        <v>1457</v>
      </c>
      <c r="J1032" s="207" t="s">
        <v>664</v>
      </c>
      <c r="K1032" s="214">
        <f>K1036*20%</f>
        <v>130000</v>
      </c>
      <c r="L1032" s="179"/>
      <c r="M1032" s="185"/>
      <c r="AV1032" s="138"/>
      <c r="AW1032" s="138"/>
      <c r="AX1032" s="138"/>
      <c r="AY1032" s="138"/>
      <c r="AZ1032" s="138"/>
      <c r="BA1032" s="138"/>
      <c r="BB1032" s="138"/>
      <c r="BC1032" s="138"/>
      <c r="BD1032" s="138"/>
      <c r="BE1032" s="138"/>
      <c r="BF1032" s="138"/>
      <c r="BG1032" s="138"/>
      <c r="BH1032" s="138"/>
      <c r="BI1032" s="138"/>
      <c r="BJ1032" s="138"/>
      <c r="BK1032" s="138"/>
      <c r="BL1032" s="138"/>
      <c r="BM1032" s="138"/>
      <c r="BN1032" s="138"/>
      <c r="BO1032" s="138"/>
    </row>
    <row r="1033" spans="1:67" x14ac:dyDescent="0.2">
      <c r="A1033" s="177"/>
      <c r="B1033" s="178"/>
      <c r="C1033" s="179"/>
      <c r="D1033" s="180"/>
      <c r="E1033" s="180"/>
      <c r="F1033" s="180"/>
      <c r="G1033" s="180"/>
      <c r="H1033" s="248"/>
      <c r="I1033" s="188" t="s">
        <v>720</v>
      </c>
      <c r="J1033" s="207" t="s">
        <v>274</v>
      </c>
      <c r="K1033" s="214">
        <f>K1036*10%</f>
        <v>65000</v>
      </c>
      <c r="L1033" s="179"/>
      <c r="M1033" s="185"/>
      <c r="AV1033" s="138"/>
      <c r="AW1033" s="138"/>
      <c r="AX1033" s="138"/>
      <c r="AY1033" s="138"/>
      <c r="AZ1033" s="138"/>
      <c r="BA1033" s="138"/>
      <c r="BB1033" s="138"/>
      <c r="BC1033" s="138"/>
      <c r="BD1033" s="138"/>
      <c r="BE1033" s="138"/>
      <c r="BF1033" s="138"/>
      <c r="BG1033" s="138"/>
      <c r="BH1033" s="138"/>
      <c r="BI1033" s="138"/>
      <c r="BJ1033" s="138"/>
      <c r="BK1033" s="138"/>
      <c r="BL1033" s="138"/>
      <c r="BM1033" s="138"/>
      <c r="BN1033" s="138"/>
      <c r="BO1033" s="138"/>
    </row>
    <row r="1034" spans="1:67" x14ac:dyDescent="0.2">
      <c r="A1034" s="177"/>
      <c r="B1034" s="178"/>
      <c r="C1034" s="179"/>
      <c r="D1034" s="180"/>
      <c r="E1034" s="180"/>
      <c r="F1034" s="180"/>
      <c r="G1034" s="180"/>
      <c r="H1034" s="248"/>
      <c r="I1034" s="188" t="s">
        <v>1458</v>
      </c>
      <c r="J1034" s="207" t="s">
        <v>117</v>
      </c>
      <c r="K1034" s="214">
        <f>K1036*10%</f>
        <v>65000</v>
      </c>
      <c r="L1034" s="179"/>
      <c r="M1034" s="185"/>
      <c r="N1034" s="176"/>
      <c r="AV1034" s="138"/>
      <c r="AW1034" s="138"/>
      <c r="AX1034" s="138"/>
      <c r="AY1034" s="138"/>
      <c r="AZ1034" s="138"/>
      <c r="BA1034" s="138"/>
      <c r="BB1034" s="138"/>
      <c r="BC1034" s="138"/>
      <c r="BD1034" s="138"/>
      <c r="BE1034" s="138"/>
      <c r="BF1034" s="138"/>
      <c r="BG1034" s="138"/>
      <c r="BH1034" s="138"/>
      <c r="BI1034" s="138"/>
      <c r="BJ1034" s="138"/>
      <c r="BK1034" s="138"/>
      <c r="BL1034" s="138"/>
      <c r="BM1034" s="138"/>
      <c r="BN1034" s="138"/>
      <c r="BO1034" s="138"/>
    </row>
    <row r="1035" spans="1:67" x14ac:dyDescent="0.2">
      <c r="A1035" s="177"/>
      <c r="B1035" s="178"/>
      <c r="C1035" s="179"/>
      <c r="D1035" s="180"/>
      <c r="E1035" s="180"/>
      <c r="F1035" s="180"/>
      <c r="G1035" s="180"/>
      <c r="H1035" s="248"/>
      <c r="I1035" s="188" t="s">
        <v>1459</v>
      </c>
      <c r="J1035" s="207" t="s">
        <v>664</v>
      </c>
      <c r="K1035" s="214">
        <f>K1036*10%</f>
        <v>65000</v>
      </c>
      <c r="L1035" s="179"/>
      <c r="M1035" s="185"/>
      <c r="AV1035" s="138"/>
      <c r="AW1035" s="138"/>
      <c r="AX1035" s="138"/>
      <c r="AY1035" s="138"/>
      <c r="AZ1035" s="138"/>
      <c r="BA1035" s="138"/>
      <c r="BB1035" s="138"/>
      <c r="BC1035" s="138"/>
      <c r="BD1035" s="138"/>
      <c r="BE1035" s="138"/>
      <c r="BF1035" s="138"/>
      <c r="BG1035" s="138"/>
      <c r="BH1035" s="138"/>
      <c r="BI1035" s="138"/>
      <c r="BJ1035" s="138"/>
      <c r="BK1035" s="138"/>
      <c r="BL1035" s="138"/>
      <c r="BM1035" s="138"/>
      <c r="BN1035" s="138"/>
      <c r="BO1035" s="138"/>
    </row>
    <row r="1036" spans="1:67" x14ac:dyDescent="0.2">
      <c r="A1036" s="189"/>
      <c r="B1036" s="190"/>
      <c r="C1036" s="191"/>
      <c r="D1036" s="192"/>
      <c r="E1036" s="192"/>
      <c r="F1036" s="192"/>
      <c r="G1036" s="192"/>
      <c r="H1036" s="249"/>
      <c r="I1036" s="203"/>
      <c r="J1036" s="204"/>
      <c r="K1036" s="245">
        <v>650000</v>
      </c>
      <c r="L1036" s="191"/>
      <c r="M1036" s="197"/>
      <c r="AV1036" s="138"/>
      <c r="AW1036" s="138"/>
      <c r="AX1036" s="138"/>
      <c r="AY1036" s="138"/>
      <c r="AZ1036" s="138"/>
      <c r="BA1036" s="138"/>
      <c r="BB1036" s="138"/>
      <c r="BC1036" s="138"/>
      <c r="BD1036" s="138"/>
      <c r="BE1036" s="138"/>
      <c r="BF1036" s="138"/>
      <c r="BG1036" s="138"/>
      <c r="BH1036" s="138"/>
      <c r="BI1036" s="138"/>
      <c r="BJ1036" s="138"/>
      <c r="BK1036" s="138"/>
      <c r="BL1036" s="138"/>
      <c r="BM1036" s="138"/>
      <c r="BN1036" s="138"/>
      <c r="BO1036" s="138"/>
    </row>
    <row r="1037" spans="1:67" ht="24" customHeight="1" x14ac:dyDescent="0.2">
      <c r="A1037" s="167">
        <v>266</v>
      </c>
      <c r="B1037" s="168" t="s">
        <v>1460</v>
      </c>
      <c r="C1037" s="169"/>
      <c r="D1037" s="170" t="s">
        <v>163</v>
      </c>
      <c r="E1037" s="170"/>
      <c r="F1037" s="170"/>
      <c r="G1037" s="170"/>
      <c r="H1037" s="246" t="s">
        <v>964</v>
      </c>
      <c r="I1037" s="217" t="s">
        <v>1461</v>
      </c>
      <c r="J1037" s="223" t="s">
        <v>1368</v>
      </c>
      <c r="K1037" s="356">
        <f>K1041*70%</f>
        <v>140000</v>
      </c>
      <c r="L1037" s="169" t="s">
        <v>166</v>
      </c>
      <c r="M1037" s="175" t="s">
        <v>1462</v>
      </c>
      <c r="AV1037" s="138"/>
      <c r="AW1037" s="138"/>
      <c r="AX1037" s="138"/>
      <c r="AY1037" s="138"/>
      <c r="AZ1037" s="138"/>
      <c r="BA1037" s="138"/>
      <c r="BB1037" s="138"/>
      <c r="BC1037" s="138"/>
      <c r="BD1037" s="138"/>
      <c r="BE1037" s="138"/>
      <c r="BF1037" s="138"/>
      <c r="BG1037" s="138"/>
      <c r="BH1037" s="138"/>
      <c r="BI1037" s="138"/>
      <c r="BJ1037" s="138"/>
      <c r="BK1037" s="138"/>
      <c r="BL1037" s="138"/>
      <c r="BM1037" s="138"/>
      <c r="BN1037" s="138"/>
      <c r="BO1037" s="138"/>
    </row>
    <row r="1038" spans="1:67" ht="48" x14ac:dyDescent="0.2">
      <c r="A1038" s="177"/>
      <c r="B1038" s="178"/>
      <c r="C1038" s="179"/>
      <c r="D1038" s="180"/>
      <c r="E1038" s="180"/>
      <c r="F1038" s="180"/>
      <c r="G1038" s="180"/>
      <c r="H1038" s="248"/>
      <c r="I1038" s="188" t="s">
        <v>1451</v>
      </c>
      <c r="J1038" s="207" t="s">
        <v>664</v>
      </c>
      <c r="K1038" s="343">
        <f>K1041*10%</f>
        <v>20000</v>
      </c>
      <c r="L1038" s="179"/>
      <c r="M1038" s="185"/>
      <c r="AV1038" s="138"/>
      <c r="AW1038" s="138"/>
      <c r="AX1038" s="138"/>
      <c r="AY1038" s="138"/>
      <c r="AZ1038" s="138"/>
      <c r="BA1038" s="138"/>
      <c r="BB1038" s="138"/>
      <c r="BC1038" s="138"/>
      <c r="BD1038" s="138"/>
      <c r="BE1038" s="138"/>
      <c r="BF1038" s="138"/>
      <c r="BG1038" s="138"/>
      <c r="BH1038" s="138"/>
      <c r="BI1038" s="138"/>
      <c r="BJ1038" s="138"/>
      <c r="BK1038" s="138"/>
      <c r="BL1038" s="138"/>
      <c r="BM1038" s="138"/>
      <c r="BN1038" s="138"/>
      <c r="BO1038" s="138"/>
    </row>
    <row r="1039" spans="1:67" x14ac:dyDescent="0.2">
      <c r="A1039" s="177"/>
      <c r="B1039" s="178"/>
      <c r="C1039" s="179"/>
      <c r="D1039" s="180"/>
      <c r="E1039" s="180"/>
      <c r="F1039" s="180"/>
      <c r="G1039" s="180"/>
      <c r="H1039" s="248"/>
      <c r="I1039" s="188" t="s">
        <v>1463</v>
      </c>
      <c r="J1039" s="207" t="s">
        <v>664</v>
      </c>
      <c r="K1039" s="343">
        <f>K1041*10%</f>
        <v>20000</v>
      </c>
      <c r="L1039" s="179"/>
      <c r="M1039" s="185"/>
      <c r="AV1039" s="138"/>
      <c r="AW1039" s="138"/>
      <c r="AX1039" s="138"/>
      <c r="AY1039" s="138"/>
      <c r="AZ1039" s="138"/>
      <c r="BA1039" s="138"/>
      <c r="BB1039" s="138"/>
      <c r="BC1039" s="138"/>
      <c r="BD1039" s="138"/>
      <c r="BE1039" s="138"/>
      <c r="BF1039" s="138"/>
      <c r="BG1039" s="138"/>
      <c r="BH1039" s="138"/>
      <c r="BI1039" s="138"/>
      <c r="BJ1039" s="138"/>
      <c r="BK1039" s="138"/>
      <c r="BL1039" s="138"/>
      <c r="BM1039" s="138"/>
      <c r="BN1039" s="138"/>
      <c r="BO1039" s="138"/>
    </row>
    <row r="1040" spans="1:67" x14ac:dyDescent="0.2">
      <c r="A1040" s="177"/>
      <c r="B1040" s="178"/>
      <c r="C1040" s="179"/>
      <c r="D1040" s="180"/>
      <c r="E1040" s="180"/>
      <c r="F1040" s="180"/>
      <c r="G1040" s="180"/>
      <c r="H1040" s="248"/>
      <c r="I1040" s="188" t="s">
        <v>1464</v>
      </c>
      <c r="J1040" s="207" t="s">
        <v>664</v>
      </c>
      <c r="K1040" s="343">
        <f>K1041*10%</f>
        <v>20000</v>
      </c>
      <c r="L1040" s="179"/>
      <c r="M1040" s="185"/>
      <c r="AV1040" s="138"/>
      <c r="AW1040" s="138"/>
      <c r="AX1040" s="138"/>
      <c r="AY1040" s="138"/>
      <c r="AZ1040" s="138"/>
      <c r="BA1040" s="138"/>
      <c r="BB1040" s="138"/>
      <c r="BC1040" s="138"/>
      <c r="BD1040" s="138"/>
      <c r="BE1040" s="138"/>
      <c r="BF1040" s="138"/>
      <c r="BG1040" s="138"/>
      <c r="BH1040" s="138"/>
      <c r="BI1040" s="138"/>
      <c r="BJ1040" s="138"/>
      <c r="BK1040" s="138"/>
      <c r="BL1040" s="138"/>
      <c r="BM1040" s="138"/>
      <c r="BN1040" s="138"/>
      <c r="BO1040" s="138"/>
    </row>
    <row r="1041" spans="1:67" x14ac:dyDescent="0.2">
      <c r="A1041" s="189"/>
      <c r="B1041" s="190"/>
      <c r="C1041" s="191"/>
      <c r="D1041" s="192"/>
      <c r="E1041" s="192"/>
      <c r="F1041" s="192"/>
      <c r="G1041" s="192"/>
      <c r="H1041" s="249"/>
      <c r="I1041" s="203"/>
      <c r="J1041" s="204"/>
      <c r="K1041" s="245">
        <v>200000</v>
      </c>
      <c r="L1041" s="191"/>
      <c r="M1041" s="197"/>
      <c r="AV1041" s="138"/>
      <c r="AW1041" s="138"/>
      <c r="AX1041" s="138"/>
      <c r="AY1041" s="138"/>
      <c r="AZ1041" s="138"/>
      <c r="BA1041" s="138"/>
      <c r="BB1041" s="138"/>
      <c r="BC1041" s="138"/>
      <c r="BD1041" s="138"/>
      <c r="BE1041" s="138"/>
      <c r="BF1041" s="138"/>
      <c r="BG1041" s="138"/>
      <c r="BH1041" s="138"/>
      <c r="BI1041" s="138"/>
      <c r="BJ1041" s="138"/>
      <c r="BK1041" s="138"/>
      <c r="BL1041" s="138"/>
      <c r="BM1041" s="138"/>
      <c r="BN1041" s="138"/>
      <c r="BO1041" s="138"/>
    </row>
    <row r="1042" spans="1:67" ht="21" customHeight="1" x14ac:dyDescent="0.2">
      <c r="A1042" s="167">
        <v>267</v>
      </c>
      <c r="B1042" s="168" t="s">
        <v>1465</v>
      </c>
      <c r="C1042" s="169"/>
      <c r="D1042" s="170" t="s">
        <v>163</v>
      </c>
      <c r="E1042" s="170"/>
      <c r="F1042" s="170"/>
      <c r="G1042" s="170"/>
      <c r="H1042" s="246" t="s">
        <v>1303</v>
      </c>
      <c r="I1042" s="217" t="s">
        <v>1466</v>
      </c>
      <c r="J1042" s="223" t="s">
        <v>1368</v>
      </c>
      <c r="K1042" s="356">
        <f>K1048*75%</f>
        <v>69225</v>
      </c>
      <c r="L1042" s="169" t="s">
        <v>166</v>
      </c>
      <c r="M1042" s="175" t="s">
        <v>1467</v>
      </c>
      <c r="AV1042" s="138"/>
      <c r="AW1042" s="138"/>
      <c r="AX1042" s="138"/>
      <c r="AY1042" s="138"/>
      <c r="AZ1042" s="138"/>
      <c r="BA1042" s="138"/>
      <c r="BB1042" s="138"/>
      <c r="BC1042" s="138"/>
      <c r="BD1042" s="138"/>
      <c r="BE1042" s="138"/>
      <c r="BF1042" s="138"/>
      <c r="BG1042" s="138"/>
      <c r="BH1042" s="138"/>
      <c r="BI1042" s="138"/>
      <c r="BJ1042" s="138"/>
      <c r="BK1042" s="138"/>
      <c r="BL1042" s="138"/>
      <c r="BM1042" s="138"/>
      <c r="BN1042" s="138"/>
      <c r="BO1042" s="138"/>
    </row>
    <row r="1043" spans="1:67" x14ac:dyDescent="0.2">
      <c r="A1043" s="177"/>
      <c r="B1043" s="178"/>
      <c r="C1043" s="179"/>
      <c r="D1043" s="180"/>
      <c r="E1043" s="180"/>
      <c r="F1043" s="180"/>
      <c r="G1043" s="180"/>
      <c r="H1043" s="248"/>
      <c r="I1043" s="188" t="s">
        <v>690</v>
      </c>
      <c r="J1043" s="207" t="s">
        <v>274</v>
      </c>
      <c r="K1043" s="343">
        <f>K1048*5%</f>
        <v>4615</v>
      </c>
      <c r="L1043" s="179"/>
      <c r="M1043" s="185"/>
      <c r="AV1043" s="138"/>
      <c r="AW1043" s="138"/>
      <c r="AX1043" s="138"/>
      <c r="AY1043" s="138"/>
      <c r="AZ1043" s="138"/>
      <c r="BA1043" s="138"/>
      <c r="BB1043" s="138"/>
      <c r="BC1043" s="138"/>
      <c r="BD1043" s="138"/>
      <c r="BE1043" s="138"/>
      <c r="BF1043" s="138"/>
      <c r="BG1043" s="138"/>
      <c r="BH1043" s="138"/>
      <c r="BI1043" s="138"/>
      <c r="BJ1043" s="138"/>
      <c r="BK1043" s="138"/>
      <c r="BL1043" s="138"/>
      <c r="BM1043" s="138"/>
      <c r="BN1043" s="138"/>
      <c r="BO1043" s="138"/>
    </row>
    <row r="1044" spans="1:67" x14ac:dyDescent="0.2">
      <c r="A1044" s="177"/>
      <c r="B1044" s="178"/>
      <c r="C1044" s="179"/>
      <c r="D1044" s="180"/>
      <c r="E1044" s="180"/>
      <c r="F1044" s="180"/>
      <c r="G1044" s="180"/>
      <c r="H1044" s="248"/>
      <c r="I1044" s="188" t="s">
        <v>1468</v>
      </c>
      <c r="J1044" s="207" t="s">
        <v>664</v>
      </c>
      <c r="K1044" s="343">
        <f>K1048*5%</f>
        <v>4615</v>
      </c>
      <c r="L1044" s="179"/>
      <c r="M1044" s="185"/>
      <c r="AV1044" s="138"/>
      <c r="AW1044" s="138"/>
      <c r="AX1044" s="138"/>
      <c r="AY1044" s="138"/>
      <c r="AZ1044" s="138"/>
      <c r="BA1044" s="138"/>
      <c r="BB1044" s="138"/>
      <c r="BC1044" s="138"/>
      <c r="BD1044" s="138"/>
      <c r="BE1044" s="138"/>
      <c r="BF1044" s="138"/>
      <c r="BG1044" s="138"/>
      <c r="BH1044" s="138"/>
      <c r="BI1044" s="138"/>
      <c r="BJ1044" s="138"/>
      <c r="BK1044" s="138"/>
      <c r="BL1044" s="138"/>
      <c r="BM1044" s="138"/>
      <c r="BN1044" s="138"/>
      <c r="BO1044" s="138"/>
    </row>
    <row r="1045" spans="1:67" x14ac:dyDescent="0.2">
      <c r="A1045" s="177"/>
      <c r="B1045" s="178"/>
      <c r="C1045" s="179"/>
      <c r="D1045" s="180"/>
      <c r="E1045" s="180"/>
      <c r="F1045" s="180"/>
      <c r="G1045" s="180"/>
      <c r="H1045" s="248"/>
      <c r="I1045" s="188" t="s">
        <v>1469</v>
      </c>
      <c r="J1045" s="207" t="s">
        <v>664</v>
      </c>
      <c r="K1045" s="343">
        <f>K1048*5%</f>
        <v>4615</v>
      </c>
      <c r="L1045" s="179"/>
      <c r="M1045" s="185"/>
      <c r="AV1045" s="138"/>
      <c r="AW1045" s="138"/>
      <c r="AX1045" s="138"/>
      <c r="AY1045" s="138"/>
      <c r="AZ1045" s="138"/>
      <c r="BA1045" s="138"/>
      <c r="BB1045" s="138"/>
      <c r="BC1045" s="138"/>
      <c r="BD1045" s="138"/>
      <c r="BE1045" s="138"/>
      <c r="BF1045" s="138"/>
      <c r="BG1045" s="138"/>
      <c r="BH1045" s="138"/>
      <c r="BI1045" s="138"/>
      <c r="BJ1045" s="138"/>
      <c r="BK1045" s="138"/>
      <c r="BL1045" s="138"/>
      <c r="BM1045" s="138"/>
      <c r="BN1045" s="138"/>
      <c r="BO1045" s="138"/>
    </row>
    <row r="1046" spans="1:67" x14ac:dyDescent="0.2">
      <c r="A1046" s="177"/>
      <c r="B1046" s="178"/>
      <c r="C1046" s="179"/>
      <c r="D1046" s="180"/>
      <c r="E1046" s="180"/>
      <c r="F1046" s="180"/>
      <c r="G1046" s="180"/>
      <c r="H1046" s="248"/>
      <c r="I1046" s="188" t="s">
        <v>1470</v>
      </c>
      <c r="J1046" s="207" t="s">
        <v>117</v>
      </c>
      <c r="K1046" s="343">
        <f>K1048*5%</f>
        <v>4615</v>
      </c>
      <c r="L1046" s="179"/>
      <c r="M1046" s="185"/>
      <c r="N1046" s="176"/>
      <c r="AV1046" s="138"/>
      <c r="AW1046" s="138"/>
      <c r="AX1046" s="138"/>
      <c r="AY1046" s="138"/>
      <c r="AZ1046" s="138"/>
      <c r="BA1046" s="138"/>
      <c r="BB1046" s="138"/>
      <c r="BC1046" s="138"/>
      <c r="BD1046" s="138"/>
      <c r="BE1046" s="138"/>
      <c r="BF1046" s="138"/>
      <c r="BG1046" s="138"/>
      <c r="BH1046" s="138"/>
      <c r="BI1046" s="138"/>
      <c r="BJ1046" s="138"/>
      <c r="BK1046" s="138"/>
      <c r="BL1046" s="138"/>
      <c r="BM1046" s="138"/>
      <c r="BN1046" s="138"/>
      <c r="BO1046" s="138"/>
    </row>
    <row r="1047" spans="1:67" x14ac:dyDescent="0.2">
      <c r="A1047" s="177"/>
      <c r="B1047" s="178"/>
      <c r="C1047" s="179"/>
      <c r="D1047" s="180"/>
      <c r="E1047" s="180"/>
      <c r="F1047" s="180"/>
      <c r="G1047" s="180"/>
      <c r="H1047" s="248"/>
      <c r="I1047" s="188" t="s">
        <v>1471</v>
      </c>
      <c r="J1047" s="207" t="s">
        <v>664</v>
      </c>
      <c r="K1047" s="343">
        <f>K1053*5%</f>
        <v>4615</v>
      </c>
      <c r="L1047" s="179"/>
      <c r="M1047" s="185"/>
      <c r="AV1047" s="138"/>
      <c r="AW1047" s="138"/>
      <c r="AX1047" s="138"/>
      <c r="AY1047" s="138"/>
      <c r="AZ1047" s="138"/>
      <c r="BA1047" s="138"/>
      <c r="BB1047" s="138"/>
      <c r="BC1047" s="138"/>
      <c r="BD1047" s="138"/>
      <c r="BE1047" s="138"/>
      <c r="BF1047" s="138"/>
      <c r="BG1047" s="138"/>
      <c r="BH1047" s="138"/>
      <c r="BI1047" s="138"/>
      <c r="BJ1047" s="138"/>
      <c r="BK1047" s="138"/>
      <c r="BL1047" s="138"/>
      <c r="BM1047" s="138"/>
      <c r="BN1047" s="138"/>
      <c r="BO1047" s="138"/>
    </row>
    <row r="1048" spans="1:67" x14ac:dyDescent="0.2">
      <c r="A1048" s="189"/>
      <c r="B1048" s="190"/>
      <c r="C1048" s="191"/>
      <c r="D1048" s="192"/>
      <c r="E1048" s="192"/>
      <c r="F1048" s="192"/>
      <c r="G1048" s="192"/>
      <c r="H1048" s="249"/>
      <c r="I1048" s="203"/>
      <c r="J1048" s="204"/>
      <c r="K1048" s="349">
        <v>92300</v>
      </c>
      <c r="L1048" s="191"/>
      <c r="M1048" s="197"/>
      <c r="AV1048" s="138"/>
      <c r="AW1048" s="138"/>
      <c r="AX1048" s="138"/>
      <c r="AY1048" s="138"/>
      <c r="AZ1048" s="138"/>
      <c r="BA1048" s="138"/>
      <c r="BB1048" s="138"/>
      <c r="BC1048" s="138"/>
      <c r="BD1048" s="138"/>
      <c r="BE1048" s="138"/>
      <c r="BF1048" s="138"/>
      <c r="BG1048" s="138"/>
      <c r="BH1048" s="138"/>
      <c r="BI1048" s="138"/>
      <c r="BJ1048" s="138"/>
      <c r="BK1048" s="138"/>
      <c r="BL1048" s="138"/>
      <c r="BM1048" s="138"/>
      <c r="BN1048" s="138"/>
      <c r="BO1048" s="138"/>
    </row>
    <row r="1049" spans="1:67" ht="23.25" customHeight="1" x14ac:dyDescent="0.2">
      <c r="A1049" s="167">
        <v>268</v>
      </c>
      <c r="B1049" s="168" t="s">
        <v>1472</v>
      </c>
      <c r="C1049" s="169"/>
      <c r="D1049" s="170" t="s">
        <v>163</v>
      </c>
      <c r="E1049" s="170"/>
      <c r="F1049" s="170"/>
      <c r="G1049" s="170"/>
      <c r="H1049" s="246" t="s">
        <v>108</v>
      </c>
      <c r="I1049" s="217" t="s">
        <v>1473</v>
      </c>
      <c r="J1049" s="223" t="s">
        <v>1368</v>
      </c>
      <c r="K1049" s="353">
        <f>K1053*60%</f>
        <v>55380</v>
      </c>
      <c r="L1049" s="169" t="s">
        <v>166</v>
      </c>
      <c r="M1049" s="175" t="s">
        <v>1474</v>
      </c>
      <c r="AV1049" s="138"/>
      <c r="AW1049" s="138"/>
      <c r="AX1049" s="138"/>
      <c r="AY1049" s="138"/>
      <c r="AZ1049" s="138"/>
      <c r="BA1049" s="138"/>
      <c r="BB1049" s="138"/>
      <c r="BC1049" s="138"/>
      <c r="BD1049" s="138"/>
      <c r="BE1049" s="138"/>
      <c r="BF1049" s="138"/>
      <c r="BG1049" s="138"/>
      <c r="BH1049" s="138"/>
      <c r="BI1049" s="138"/>
      <c r="BJ1049" s="138"/>
      <c r="BK1049" s="138"/>
      <c r="BL1049" s="138"/>
      <c r="BM1049" s="138"/>
      <c r="BN1049" s="138"/>
      <c r="BO1049" s="138"/>
    </row>
    <row r="1050" spans="1:67" x14ac:dyDescent="0.2">
      <c r="A1050" s="177"/>
      <c r="B1050" s="178"/>
      <c r="C1050" s="179"/>
      <c r="D1050" s="180"/>
      <c r="E1050" s="180"/>
      <c r="F1050" s="180"/>
      <c r="G1050" s="180"/>
      <c r="H1050" s="248"/>
      <c r="I1050" s="188" t="s">
        <v>1475</v>
      </c>
      <c r="J1050" s="207" t="s">
        <v>571</v>
      </c>
      <c r="K1050" s="343">
        <f>K1053*25%</f>
        <v>23075</v>
      </c>
      <c r="L1050" s="179"/>
      <c r="M1050" s="185"/>
      <c r="AV1050" s="138"/>
      <c r="AW1050" s="138"/>
      <c r="AX1050" s="138"/>
      <c r="AY1050" s="138"/>
      <c r="AZ1050" s="138"/>
      <c r="BA1050" s="138"/>
      <c r="BB1050" s="138"/>
      <c r="BC1050" s="138"/>
      <c r="BD1050" s="138"/>
      <c r="BE1050" s="138"/>
      <c r="BF1050" s="138"/>
      <c r="BG1050" s="138"/>
      <c r="BH1050" s="138"/>
      <c r="BI1050" s="138"/>
      <c r="BJ1050" s="138"/>
      <c r="BK1050" s="138"/>
      <c r="BL1050" s="138"/>
      <c r="BM1050" s="138"/>
      <c r="BN1050" s="138"/>
      <c r="BO1050" s="138"/>
    </row>
    <row r="1051" spans="1:67" x14ac:dyDescent="0.2">
      <c r="A1051" s="177"/>
      <c r="B1051" s="178"/>
      <c r="C1051" s="179"/>
      <c r="D1051" s="180"/>
      <c r="E1051" s="180"/>
      <c r="F1051" s="180"/>
      <c r="G1051" s="180"/>
      <c r="H1051" s="248"/>
      <c r="I1051" s="188" t="s">
        <v>1476</v>
      </c>
      <c r="J1051" s="207" t="s">
        <v>664</v>
      </c>
      <c r="K1051" s="343">
        <f>K1053*10%</f>
        <v>9230</v>
      </c>
      <c r="L1051" s="179"/>
      <c r="M1051" s="185"/>
      <c r="AV1051" s="138"/>
      <c r="AW1051" s="138"/>
      <c r="AX1051" s="138"/>
      <c r="AY1051" s="138"/>
      <c r="AZ1051" s="138"/>
      <c r="BA1051" s="138"/>
      <c r="BB1051" s="138"/>
      <c r="BC1051" s="138"/>
      <c r="BD1051" s="138"/>
      <c r="BE1051" s="138"/>
      <c r="BF1051" s="138"/>
      <c r="BG1051" s="138"/>
      <c r="BH1051" s="138"/>
      <c r="BI1051" s="138"/>
      <c r="BJ1051" s="138"/>
      <c r="BK1051" s="138"/>
      <c r="BL1051" s="138"/>
      <c r="BM1051" s="138"/>
      <c r="BN1051" s="138"/>
      <c r="BO1051" s="138"/>
    </row>
    <row r="1052" spans="1:67" x14ac:dyDescent="0.2">
      <c r="A1052" s="177"/>
      <c r="B1052" s="178"/>
      <c r="C1052" s="179"/>
      <c r="D1052" s="180"/>
      <c r="E1052" s="180"/>
      <c r="F1052" s="180"/>
      <c r="G1052" s="180"/>
      <c r="H1052" s="248"/>
      <c r="I1052" s="188" t="s">
        <v>745</v>
      </c>
      <c r="J1052" s="207" t="s">
        <v>664</v>
      </c>
      <c r="K1052" s="343">
        <f>K1053*5%</f>
        <v>4615</v>
      </c>
      <c r="L1052" s="179"/>
      <c r="M1052" s="185"/>
      <c r="AV1052" s="138"/>
      <c r="AW1052" s="138"/>
      <c r="AX1052" s="138"/>
      <c r="AY1052" s="138"/>
      <c r="AZ1052" s="138"/>
      <c r="BA1052" s="138"/>
      <c r="BB1052" s="138"/>
      <c r="BC1052" s="138"/>
      <c r="BD1052" s="138"/>
      <c r="BE1052" s="138"/>
      <c r="BF1052" s="138"/>
      <c r="BG1052" s="138"/>
      <c r="BH1052" s="138"/>
      <c r="BI1052" s="138"/>
      <c r="BJ1052" s="138"/>
      <c r="BK1052" s="138"/>
      <c r="BL1052" s="138"/>
      <c r="BM1052" s="138"/>
      <c r="BN1052" s="138"/>
      <c r="BO1052" s="138"/>
    </row>
    <row r="1053" spans="1:67" x14ac:dyDescent="0.2">
      <c r="A1053" s="189"/>
      <c r="B1053" s="190"/>
      <c r="C1053" s="191"/>
      <c r="D1053" s="192"/>
      <c r="E1053" s="192"/>
      <c r="F1053" s="192"/>
      <c r="G1053" s="192"/>
      <c r="H1053" s="249"/>
      <c r="I1053" s="203"/>
      <c r="J1053" s="204"/>
      <c r="K1053" s="354">
        <v>92300</v>
      </c>
      <c r="L1053" s="191"/>
      <c r="M1053" s="197"/>
      <c r="AV1053" s="138"/>
      <c r="AW1053" s="138"/>
      <c r="AX1053" s="138"/>
      <c r="AY1053" s="138"/>
      <c r="AZ1053" s="138"/>
      <c r="BA1053" s="138"/>
      <c r="BB1053" s="138"/>
      <c r="BC1053" s="138"/>
      <c r="BD1053" s="138"/>
      <c r="BE1053" s="138"/>
      <c r="BF1053" s="138"/>
      <c r="BG1053" s="138"/>
      <c r="BH1053" s="138"/>
      <c r="BI1053" s="138"/>
      <c r="BJ1053" s="138"/>
      <c r="BK1053" s="138"/>
      <c r="BL1053" s="138"/>
      <c r="BM1053" s="138"/>
      <c r="BN1053" s="138"/>
      <c r="BO1053" s="138"/>
    </row>
    <row r="1054" spans="1:67" ht="25.5" customHeight="1" x14ac:dyDescent="0.2">
      <c r="A1054" s="167">
        <v>269</v>
      </c>
      <c r="B1054" s="168" t="s">
        <v>1477</v>
      </c>
      <c r="C1054" s="169"/>
      <c r="D1054" s="170" t="s">
        <v>163</v>
      </c>
      <c r="E1054" s="170"/>
      <c r="F1054" s="170"/>
      <c r="G1054" s="170"/>
      <c r="H1054" s="170"/>
      <c r="I1054" s="171" t="s">
        <v>1478</v>
      </c>
      <c r="J1054" s="247" t="s">
        <v>1368</v>
      </c>
      <c r="K1054" s="351">
        <f>K1061*70%</f>
        <v>64609.999999999993</v>
      </c>
      <c r="L1054" s="169" t="s">
        <v>166</v>
      </c>
      <c r="M1054" s="175" t="s">
        <v>1479</v>
      </c>
      <c r="AV1054" s="138"/>
      <c r="AW1054" s="138"/>
      <c r="AX1054" s="138"/>
      <c r="AY1054" s="138"/>
      <c r="AZ1054" s="138"/>
      <c r="BA1054" s="138"/>
      <c r="BB1054" s="138"/>
      <c r="BC1054" s="138"/>
      <c r="BD1054" s="138"/>
      <c r="BE1054" s="138"/>
      <c r="BF1054" s="138"/>
      <c r="BG1054" s="138"/>
      <c r="BH1054" s="138"/>
      <c r="BI1054" s="138"/>
      <c r="BJ1054" s="138"/>
      <c r="BK1054" s="138"/>
      <c r="BL1054" s="138"/>
      <c r="BM1054" s="138"/>
      <c r="BN1054" s="138"/>
      <c r="BO1054" s="138"/>
    </row>
    <row r="1055" spans="1:67" x14ac:dyDescent="0.2">
      <c r="A1055" s="177"/>
      <c r="B1055" s="178"/>
      <c r="C1055" s="179"/>
      <c r="D1055" s="180"/>
      <c r="E1055" s="180"/>
      <c r="F1055" s="180"/>
      <c r="G1055" s="180"/>
      <c r="H1055" s="180"/>
      <c r="I1055" s="181" t="s">
        <v>744</v>
      </c>
      <c r="J1055" s="172" t="s">
        <v>664</v>
      </c>
      <c r="K1055" s="343">
        <f>K1061*5%</f>
        <v>4615</v>
      </c>
      <c r="L1055" s="179"/>
      <c r="M1055" s="185"/>
      <c r="AV1055" s="138"/>
      <c r="AW1055" s="138"/>
      <c r="AX1055" s="138"/>
      <c r="AY1055" s="138"/>
      <c r="AZ1055" s="138"/>
      <c r="BA1055" s="138"/>
      <c r="BB1055" s="138"/>
      <c r="BC1055" s="138"/>
      <c r="BD1055" s="138"/>
      <c r="BE1055" s="138"/>
      <c r="BF1055" s="138"/>
      <c r="BG1055" s="138"/>
      <c r="BH1055" s="138"/>
      <c r="BI1055" s="138"/>
      <c r="BJ1055" s="138"/>
      <c r="BK1055" s="138"/>
      <c r="BL1055" s="138"/>
      <c r="BM1055" s="138"/>
      <c r="BN1055" s="138"/>
      <c r="BO1055" s="138"/>
    </row>
    <row r="1056" spans="1:67" x14ac:dyDescent="0.2">
      <c r="A1056" s="177"/>
      <c r="B1056" s="178"/>
      <c r="C1056" s="179"/>
      <c r="D1056" s="180"/>
      <c r="E1056" s="180"/>
      <c r="F1056" s="180"/>
      <c r="G1056" s="180"/>
      <c r="H1056" s="180"/>
      <c r="I1056" s="181" t="s">
        <v>1480</v>
      </c>
      <c r="J1056" s="226" t="s">
        <v>664</v>
      </c>
      <c r="K1056" s="343">
        <f>K1061*5%</f>
        <v>4615</v>
      </c>
      <c r="L1056" s="179"/>
      <c r="M1056" s="185"/>
      <c r="AV1056" s="138"/>
      <c r="AW1056" s="138"/>
      <c r="AX1056" s="138"/>
      <c r="AY1056" s="138"/>
      <c r="AZ1056" s="138"/>
      <c r="BA1056" s="138"/>
      <c r="BB1056" s="138"/>
      <c r="BC1056" s="138"/>
      <c r="BD1056" s="138"/>
      <c r="BE1056" s="138"/>
      <c r="BF1056" s="138"/>
      <c r="BG1056" s="138"/>
      <c r="BH1056" s="138"/>
      <c r="BI1056" s="138"/>
      <c r="BJ1056" s="138"/>
      <c r="BK1056" s="138"/>
      <c r="BL1056" s="138"/>
      <c r="BM1056" s="138"/>
      <c r="BN1056" s="138"/>
      <c r="BO1056" s="138"/>
    </row>
    <row r="1057" spans="1:67" x14ac:dyDescent="0.2">
      <c r="A1057" s="177"/>
      <c r="B1057" s="178"/>
      <c r="C1057" s="179"/>
      <c r="D1057" s="180"/>
      <c r="E1057" s="180"/>
      <c r="F1057" s="180"/>
      <c r="G1057" s="180"/>
      <c r="H1057" s="180"/>
      <c r="I1057" s="188" t="s">
        <v>1481</v>
      </c>
      <c r="J1057" s="226" t="s">
        <v>664</v>
      </c>
      <c r="K1057" s="343">
        <f>K1061*5%</f>
        <v>4615</v>
      </c>
      <c r="L1057" s="179"/>
      <c r="M1057" s="185"/>
      <c r="AV1057" s="138"/>
      <c r="AW1057" s="138"/>
      <c r="AX1057" s="138"/>
      <c r="AY1057" s="138"/>
      <c r="AZ1057" s="138"/>
      <c r="BA1057" s="138"/>
      <c r="BB1057" s="138"/>
      <c r="BC1057" s="138"/>
      <c r="BD1057" s="138"/>
      <c r="BE1057" s="138"/>
      <c r="BF1057" s="138"/>
      <c r="BG1057" s="138"/>
      <c r="BH1057" s="138"/>
      <c r="BI1057" s="138"/>
      <c r="BJ1057" s="138"/>
      <c r="BK1057" s="138"/>
      <c r="BL1057" s="138"/>
      <c r="BM1057" s="138"/>
      <c r="BN1057" s="138"/>
      <c r="BO1057" s="138"/>
    </row>
    <row r="1058" spans="1:67" x14ac:dyDescent="0.2">
      <c r="A1058" s="177"/>
      <c r="B1058" s="178"/>
      <c r="C1058" s="179"/>
      <c r="D1058" s="180"/>
      <c r="E1058" s="180"/>
      <c r="F1058" s="180"/>
      <c r="G1058" s="180"/>
      <c r="H1058" s="180"/>
      <c r="I1058" s="188" t="s">
        <v>1469</v>
      </c>
      <c r="J1058" s="207" t="s">
        <v>664</v>
      </c>
      <c r="K1058" s="343">
        <f>K1061*5%</f>
        <v>4615</v>
      </c>
      <c r="L1058" s="179"/>
      <c r="M1058" s="185"/>
      <c r="AV1058" s="138"/>
      <c r="AW1058" s="138"/>
      <c r="AX1058" s="138"/>
      <c r="AY1058" s="138"/>
      <c r="AZ1058" s="138"/>
      <c r="BA1058" s="138"/>
      <c r="BB1058" s="138"/>
      <c r="BC1058" s="138"/>
      <c r="BD1058" s="138"/>
      <c r="BE1058" s="138"/>
      <c r="BF1058" s="138"/>
      <c r="BG1058" s="138"/>
      <c r="BH1058" s="138"/>
      <c r="BI1058" s="138"/>
      <c r="BJ1058" s="138"/>
      <c r="BK1058" s="138"/>
      <c r="BL1058" s="138"/>
      <c r="BM1058" s="138"/>
      <c r="BN1058" s="138"/>
      <c r="BO1058" s="138"/>
    </row>
    <row r="1059" spans="1:67" x14ac:dyDescent="0.2">
      <c r="A1059" s="177"/>
      <c r="B1059" s="178"/>
      <c r="C1059" s="179"/>
      <c r="D1059" s="180"/>
      <c r="E1059" s="180"/>
      <c r="F1059" s="180"/>
      <c r="G1059" s="180"/>
      <c r="H1059" s="180"/>
      <c r="I1059" s="188" t="s">
        <v>1471</v>
      </c>
      <c r="J1059" s="207" t="s">
        <v>664</v>
      </c>
      <c r="K1059" s="343">
        <f>K1061*5%</f>
        <v>4615</v>
      </c>
      <c r="L1059" s="179"/>
      <c r="M1059" s="185"/>
      <c r="AV1059" s="138"/>
      <c r="AW1059" s="138"/>
      <c r="AX1059" s="138"/>
      <c r="AY1059" s="138"/>
      <c r="AZ1059" s="138"/>
      <c r="BA1059" s="138"/>
      <c r="BB1059" s="138"/>
      <c r="BC1059" s="138"/>
      <c r="BD1059" s="138"/>
      <c r="BE1059" s="138"/>
      <c r="BF1059" s="138"/>
      <c r="BG1059" s="138"/>
      <c r="BH1059" s="138"/>
      <c r="BI1059" s="138"/>
      <c r="BJ1059" s="138"/>
      <c r="BK1059" s="138"/>
      <c r="BL1059" s="138"/>
      <c r="BM1059" s="138"/>
      <c r="BN1059" s="138"/>
      <c r="BO1059" s="138"/>
    </row>
    <row r="1060" spans="1:67" x14ac:dyDescent="0.2">
      <c r="A1060" s="177"/>
      <c r="B1060" s="178"/>
      <c r="C1060" s="179"/>
      <c r="D1060" s="180"/>
      <c r="E1060" s="180"/>
      <c r="F1060" s="180"/>
      <c r="G1060" s="180"/>
      <c r="H1060" s="180"/>
      <c r="I1060" s="171" t="s">
        <v>1388</v>
      </c>
      <c r="J1060" s="207" t="s">
        <v>1387</v>
      </c>
      <c r="K1060" s="343">
        <f>K1061*5%</f>
        <v>4615</v>
      </c>
      <c r="L1060" s="179"/>
      <c r="M1060" s="185"/>
      <c r="AV1060" s="138"/>
      <c r="AW1060" s="138"/>
      <c r="AX1060" s="138"/>
      <c r="AY1060" s="138"/>
      <c r="AZ1060" s="138"/>
      <c r="BA1060" s="138"/>
      <c r="BB1060" s="138"/>
      <c r="BC1060" s="138"/>
      <c r="BD1060" s="138"/>
      <c r="BE1060" s="138"/>
      <c r="BF1060" s="138"/>
      <c r="BG1060" s="138"/>
      <c r="BH1060" s="138"/>
      <c r="BI1060" s="138"/>
      <c r="BJ1060" s="138"/>
      <c r="BK1060" s="138"/>
      <c r="BL1060" s="138"/>
      <c r="BM1060" s="138"/>
      <c r="BN1060" s="138"/>
      <c r="BO1060" s="138"/>
    </row>
    <row r="1061" spans="1:67" x14ac:dyDescent="0.2">
      <c r="A1061" s="189"/>
      <c r="B1061" s="190"/>
      <c r="C1061" s="191"/>
      <c r="D1061" s="192"/>
      <c r="E1061" s="192"/>
      <c r="F1061" s="192"/>
      <c r="G1061" s="192"/>
      <c r="H1061" s="192"/>
      <c r="I1061" s="203"/>
      <c r="J1061" s="215"/>
      <c r="K1061" s="344">
        <v>92300</v>
      </c>
      <c r="L1061" s="191"/>
      <c r="M1061" s="197"/>
      <c r="AV1061" s="138"/>
      <c r="AW1061" s="138"/>
      <c r="AX1061" s="138"/>
      <c r="AY1061" s="138"/>
      <c r="AZ1061" s="138"/>
      <c r="BA1061" s="138"/>
      <c r="BB1061" s="138"/>
      <c r="BC1061" s="138"/>
      <c r="BD1061" s="138"/>
      <c r="BE1061" s="138"/>
      <c r="BF1061" s="138"/>
      <c r="BG1061" s="138"/>
      <c r="BH1061" s="138"/>
      <c r="BI1061" s="138"/>
      <c r="BJ1061" s="138"/>
      <c r="BK1061" s="138"/>
      <c r="BL1061" s="138"/>
      <c r="BM1061" s="138"/>
      <c r="BN1061" s="138"/>
      <c r="BO1061" s="138"/>
    </row>
    <row r="1062" spans="1:67" ht="24.75" customHeight="1" x14ac:dyDescent="0.2">
      <c r="A1062" s="167">
        <v>270</v>
      </c>
      <c r="B1062" s="168" t="s">
        <v>1482</v>
      </c>
      <c r="C1062" s="169"/>
      <c r="D1062" s="170" t="s">
        <v>163</v>
      </c>
      <c r="E1062" s="170"/>
      <c r="F1062" s="170"/>
      <c r="G1062" s="170"/>
      <c r="H1062" s="170"/>
      <c r="I1062" s="171" t="s">
        <v>1483</v>
      </c>
      <c r="J1062" s="172" t="s">
        <v>1368</v>
      </c>
      <c r="K1062" s="387">
        <f>K1069*70%</f>
        <v>33600</v>
      </c>
      <c r="L1062" s="169" t="s">
        <v>166</v>
      </c>
      <c r="M1062" s="175" t="s">
        <v>1484</v>
      </c>
      <c r="AV1062" s="138"/>
      <c r="AW1062" s="138"/>
      <c r="AX1062" s="138"/>
      <c r="AY1062" s="138"/>
      <c r="AZ1062" s="138"/>
      <c r="BA1062" s="138"/>
      <c r="BB1062" s="138"/>
      <c r="BC1062" s="138"/>
      <c r="BD1062" s="138"/>
      <c r="BE1062" s="138"/>
      <c r="BF1062" s="138"/>
      <c r="BG1062" s="138"/>
      <c r="BH1062" s="138"/>
      <c r="BI1062" s="138"/>
      <c r="BJ1062" s="138"/>
      <c r="BK1062" s="138"/>
      <c r="BL1062" s="138"/>
      <c r="BM1062" s="138"/>
      <c r="BN1062" s="138"/>
      <c r="BO1062" s="138"/>
    </row>
    <row r="1063" spans="1:67" x14ac:dyDescent="0.2">
      <c r="A1063" s="177"/>
      <c r="B1063" s="178"/>
      <c r="C1063" s="179"/>
      <c r="D1063" s="180"/>
      <c r="E1063" s="180"/>
      <c r="F1063" s="180"/>
      <c r="G1063" s="180"/>
      <c r="H1063" s="180"/>
      <c r="I1063" s="181" t="s">
        <v>744</v>
      </c>
      <c r="J1063" s="226" t="s">
        <v>664</v>
      </c>
      <c r="K1063" s="343">
        <f>K1069*5%</f>
        <v>2400</v>
      </c>
      <c r="L1063" s="179"/>
      <c r="M1063" s="185"/>
      <c r="AV1063" s="138"/>
      <c r="AW1063" s="138"/>
      <c r="AX1063" s="138"/>
      <c r="AY1063" s="138"/>
      <c r="AZ1063" s="138"/>
      <c r="BA1063" s="138"/>
      <c r="BB1063" s="138"/>
      <c r="BC1063" s="138"/>
      <c r="BD1063" s="138"/>
      <c r="BE1063" s="138"/>
      <c r="BF1063" s="138"/>
      <c r="BG1063" s="138"/>
      <c r="BH1063" s="138"/>
      <c r="BI1063" s="138"/>
      <c r="BJ1063" s="138"/>
      <c r="BK1063" s="138"/>
      <c r="BL1063" s="138"/>
      <c r="BM1063" s="138"/>
      <c r="BN1063" s="138"/>
      <c r="BO1063" s="138"/>
    </row>
    <row r="1064" spans="1:67" x14ac:dyDescent="0.2">
      <c r="A1064" s="177"/>
      <c r="B1064" s="178"/>
      <c r="C1064" s="179"/>
      <c r="D1064" s="180"/>
      <c r="E1064" s="180"/>
      <c r="F1064" s="180"/>
      <c r="G1064" s="180"/>
      <c r="H1064" s="180"/>
      <c r="I1064" s="181" t="s">
        <v>1485</v>
      </c>
      <c r="J1064" s="226" t="s">
        <v>274</v>
      </c>
      <c r="K1064" s="356">
        <f>K1069*5%</f>
        <v>2400</v>
      </c>
      <c r="L1064" s="179"/>
      <c r="M1064" s="185"/>
      <c r="AV1064" s="138"/>
      <c r="AW1064" s="138"/>
      <c r="AX1064" s="138"/>
      <c r="AY1064" s="138"/>
      <c r="AZ1064" s="138"/>
      <c r="BA1064" s="138"/>
      <c r="BB1064" s="138"/>
      <c r="BC1064" s="138"/>
      <c r="BD1064" s="138"/>
      <c r="BE1064" s="138"/>
      <c r="BF1064" s="138"/>
      <c r="BG1064" s="138"/>
      <c r="BH1064" s="138"/>
      <c r="BI1064" s="138"/>
      <c r="BJ1064" s="138"/>
      <c r="BK1064" s="138"/>
      <c r="BL1064" s="138"/>
      <c r="BM1064" s="138"/>
      <c r="BN1064" s="138"/>
      <c r="BO1064" s="138"/>
    </row>
    <row r="1065" spans="1:67" ht="48" x14ac:dyDescent="0.2">
      <c r="A1065" s="177"/>
      <c r="B1065" s="178"/>
      <c r="C1065" s="179"/>
      <c r="D1065" s="180"/>
      <c r="E1065" s="180"/>
      <c r="F1065" s="180"/>
      <c r="G1065" s="180"/>
      <c r="H1065" s="180"/>
      <c r="I1065" s="181" t="s">
        <v>746</v>
      </c>
      <c r="J1065" s="226" t="s">
        <v>664</v>
      </c>
      <c r="K1065" s="356">
        <f>K1069*5%</f>
        <v>2400</v>
      </c>
      <c r="L1065" s="179"/>
      <c r="M1065" s="185"/>
      <c r="AV1065" s="138"/>
      <c r="AW1065" s="138"/>
      <c r="AX1065" s="138"/>
      <c r="AY1065" s="138"/>
      <c r="AZ1065" s="138"/>
      <c r="BA1065" s="138"/>
      <c r="BB1065" s="138"/>
      <c r="BC1065" s="138"/>
      <c r="BD1065" s="138"/>
      <c r="BE1065" s="138"/>
      <c r="BF1065" s="138"/>
      <c r="BG1065" s="138"/>
      <c r="BH1065" s="138"/>
      <c r="BI1065" s="138"/>
      <c r="BJ1065" s="138"/>
      <c r="BK1065" s="138"/>
      <c r="BL1065" s="138"/>
      <c r="BM1065" s="138"/>
      <c r="BN1065" s="138"/>
      <c r="BO1065" s="138"/>
    </row>
    <row r="1066" spans="1:67" x14ac:dyDescent="0.2">
      <c r="A1066" s="177"/>
      <c r="B1066" s="178"/>
      <c r="C1066" s="179"/>
      <c r="D1066" s="180"/>
      <c r="E1066" s="180"/>
      <c r="F1066" s="180"/>
      <c r="G1066" s="180"/>
      <c r="H1066" s="180"/>
      <c r="I1066" s="181" t="s">
        <v>1486</v>
      </c>
      <c r="J1066" s="226" t="s">
        <v>664</v>
      </c>
      <c r="K1066" s="351">
        <f>K1069*5%</f>
        <v>2400</v>
      </c>
      <c r="L1066" s="179"/>
      <c r="M1066" s="185"/>
      <c r="AV1066" s="138"/>
      <c r="AW1066" s="138"/>
      <c r="AX1066" s="138"/>
      <c r="AY1066" s="138"/>
      <c r="AZ1066" s="138"/>
      <c r="BA1066" s="138"/>
      <c r="BB1066" s="138"/>
      <c r="BC1066" s="138"/>
      <c r="BD1066" s="138"/>
      <c r="BE1066" s="138"/>
      <c r="BF1066" s="138"/>
      <c r="BG1066" s="138"/>
      <c r="BH1066" s="138"/>
      <c r="BI1066" s="138"/>
      <c r="BJ1066" s="138"/>
      <c r="BK1066" s="138"/>
      <c r="BL1066" s="138"/>
      <c r="BM1066" s="138"/>
      <c r="BN1066" s="138"/>
      <c r="BO1066" s="138"/>
    </row>
    <row r="1067" spans="1:67" x14ac:dyDescent="0.2">
      <c r="A1067" s="177"/>
      <c r="B1067" s="178"/>
      <c r="C1067" s="179"/>
      <c r="D1067" s="180"/>
      <c r="E1067" s="180"/>
      <c r="F1067" s="180"/>
      <c r="G1067" s="180"/>
      <c r="H1067" s="180"/>
      <c r="I1067" s="181" t="s">
        <v>1481</v>
      </c>
      <c r="J1067" s="226" t="s">
        <v>664</v>
      </c>
      <c r="K1067" s="343">
        <f>K1069*5%</f>
        <v>2400</v>
      </c>
      <c r="L1067" s="179"/>
      <c r="M1067" s="185"/>
      <c r="AV1067" s="138"/>
      <c r="AW1067" s="138"/>
      <c r="AX1067" s="138"/>
      <c r="AY1067" s="138"/>
      <c r="AZ1067" s="138"/>
      <c r="BA1067" s="138"/>
      <c r="BB1067" s="138"/>
      <c r="BC1067" s="138"/>
      <c r="BD1067" s="138"/>
      <c r="BE1067" s="138"/>
      <c r="BF1067" s="138"/>
      <c r="BG1067" s="138"/>
      <c r="BH1067" s="138"/>
      <c r="BI1067" s="138"/>
      <c r="BJ1067" s="138"/>
      <c r="BK1067" s="138"/>
      <c r="BL1067" s="138"/>
      <c r="BM1067" s="138"/>
      <c r="BN1067" s="138"/>
      <c r="BO1067" s="138"/>
    </row>
    <row r="1068" spans="1:67" x14ac:dyDescent="0.2">
      <c r="A1068" s="177"/>
      <c r="B1068" s="178"/>
      <c r="C1068" s="179"/>
      <c r="D1068" s="180"/>
      <c r="E1068" s="180"/>
      <c r="F1068" s="180"/>
      <c r="G1068" s="180"/>
      <c r="H1068" s="180"/>
      <c r="I1068" s="181" t="s">
        <v>1487</v>
      </c>
      <c r="J1068" s="207" t="s">
        <v>664</v>
      </c>
      <c r="K1068" s="343">
        <f>K1069*5%</f>
        <v>2400</v>
      </c>
      <c r="L1068" s="179"/>
      <c r="M1068" s="185"/>
      <c r="AV1068" s="138"/>
      <c r="AW1068" s="138"/>
      <c r="AX1068" s="138"/>
      <c r="AY1068" s="138"/>
      <c r="AZ1068" s="138"/>
      <c r="BA1068" s="138"/>
      <c r="BB1068" s="138"/>
      <c r="BC1068" s="138"/>
      <c r="BD1068" s="138"/>
      <c r="BE1068" s="138"/>
      <c r="BF1068" s="138"/>
      <c r="BG1068" s="138"/>
      <c r="BH1068" s="138"/>
      <c r="BI1068" s="138"/>
      <c r="BJ1068" s="138"/>
      <c r="BK1068" s="138"/>
      <c r="BL1068" s="138"/>
      <c r="BM1068" s="138"/>
      <c r="BN1068" s="138"/>
      <c r="BO1068" s="138"/>
    </row>
    <row r="1069" spans="1:67" x14ac:dyDescent="0.2">
      <c r="A1069" s="189"/>
      <c r="B1069" s="190"/>
      <c r="C1069" s="191"/>
      <c r="D1069" s="192"/>
      <c r="E1069" s="192"/>
      <c r="F1069" s="192"/>
      <c r="G1069" s="192"/>
      <c r="H1069" s="192"/>
      <c r="I1069" s="203"/>
      <c r="J1069" s="204"/>
      <c r="K1069" s="344">
        <v>48000</v>
      </c>
      <c r="L1069" s="191"/>
      <c r="M1069" s="197"/>
      <c r="AV1069" s="138"/>
      <c r="AW1069" s="138"/>
      <c r="AX1069" s="138"/>
      <c r="AY1069" s="138"/>
      <c r="AZ1069" s="138"/>
      <c r="BA1069" s="138"/>
      <c r="BB1069" s="138"/>
      <c r="BC1069" s="138"/>
      <c r="BD1069" s="138"/>
      <c r="BE1069" s="138"/>
      <c r="BF1069" s="138"/>
      <c r="BG1069" s="138"/>
      <c r="BH1069" s="138"/>
      <c r="BI1069" s="138"/>
      <c r="BJ1069" s="138"/>
      <c r="BK1069" s="138"/>
      <c r="BL1069" s="138"/>
      <c r="BM1069" s="138"/>
      <c r="BN1069" s="138"/>
      <c r="BO1069" s="138"/>
    </row>
    <row r="1070" spans="1:67" ht="21" customHeight="1" x14ac:dyDescent="0.2">
      <c r="A1070" s="167">
        <v>271</v>
      </c>
      <c r="B1070" s="168" t="s">
        <v>1488</v>
      </c>
      <c r="C1070" s="169"/>
      <c r="D1070" s="170" t="s">
        <v>163</v>
      </c>
      <c r="E1070" s="170"/>
      <c r="F1070" s="170"/>
      <c r="G1070" s="170"/>
      <c r="H1070" s="170" t="s">
        <v>137</v>
      </c>
      <c r="I1070" s="171" t="s">
        <v>1489</v>
      </c>
      <c r="J1070" s="247" t="s">
        <v>1368</v>
      </c>
      <c r="K1070" s="387">
        <f>K1073*50%</f>
        <v>70642.5</v>
      </c>
      <c r="L1070" s="169" t="s">
        <v>166</v>
      </c>
      <c r="M1070" s="175" t="s">
        <v>1490</v>
      </c>
      <c r="AV1070" s="138"/>
      <c r="AW1070" s="138"/>
      <c r="AX1070" s="138"/>
      <c r="AY1070" s="138"/>
      <c r="AZ1070" s="138"/>
      <c r="BA1070" s="138"/>
      <c r="BB1070" s="138"/>
      <c r="BC1070" s="138"/>
      <c r="BD1070" s="138"/>
      <c r="BE1070" s="138"/>
      <c r="BF1070" s="138"/>
      <c r="BG1070" s="138"/>
      <c r="BH1070" s="138"/>
      <c r="BI1070" s="138"/>
      <c r="BJ1070" s="138"/>
      <c r="BK1070" s="138"/>
      <c r="BL1070" s="138"/>
      <c r="BM1070" s="138"/>
      <c r="BN1070" s="138"/>
      <c r="BO1070" s="138"/>
    </row>
    <row r="1071" spans="1:67" x14ac:dyDescent="0.2">
      <c r="A1071" s="177"/>
      <c r="B1071" s="178"/>
      <c r="C1071" s="179"/>
      <c r="D1071" s="180"/>
      <c r="E1071" s="180"/>
      <c r="F1071" s="180"/>
      <c r="G1071" s="180"/>
      <c r="H1071" s="180"/>
      <c r="I1071" s="181" t="s">
        <v>1491</v>
      </c>
      <c r="J1071" s="414" t="s">
        <v>664</v>
      </c>
      <c r="K1071" s="200">
        <f>K1073*40%</f>
        <v>56514</v>
      </c>
      <c r="L1071" s="179"/>
      <c r="M1071" s="185"/>
      <c r="AV1071" s="138"/>
      <c r="AW1071" s="138"/>
      <c r="AX1071" s="138"/>
      <c r="AY1071" s="138"/>
      <c r="AZ1071" s="138"/>
      <c r="BA1071" s="138"/>
      <c r="BB1071" s="138"/>
      <c r="BC1071" s="138"/>
      <c r="BD1071" s="138"/>
      <c r="BE1071" s="138"/>
      <c r="BF1071" s="138"/>
      <c r="BG1071" s="138"/>
      <c r="BH1071" s="138"/>
      <c r="BI1071" s="138"/>
      <c r="BJ1071" s="138"/>
      <c r="BK1071" s="138"/>
      <c r="BL1071" s="138"/>
      <c r="BM1071" s="138"/>
      <c r="BN1071" s="138"/>
      <c r="BO1071" s="138"/>
    </row>
    <row r="1072" spans="1:67" x14ac:dyDescent="0.2">
      <c r="A1072" s="177"/>
      <c r="B1072" s="178"/>
      <c r="C1072" s="179"/>
      <c r="D1072" s="180"/>
      <c r="E1072" s="180"/>
      <c r="F1072" s="180"/>
      <c r="G1072" s="180"/>
      <c r="H1072" s="180"/>
      <c r="I1072" s="188" t="s">
        <v>1492</v>
      </c>
      <c r="J1072" s="414" t="s">
        <v>664</v>
      </c>
      <c r="K1072" s="201">
        <f>K1073*10%</f>
        <v>14128.5</v>
      </c>
      <c r="L1072" s="179"/>
      <c r="M1072" s="185"/>
      <c r="AV1072" s="138"/>
      <c r="AW1072" s="138"/>
      <c r="AX1072" s="138"/>
      <c r="AY1072" s="138"/>
      <c r="AZ1072" s="138"/>
      <c r="BA1072" s="138"/>
      <c r="BB1072" s="138"/>
      <c r="BC1072" s="138"/>
      <c r="BD1072" s="138"/>
      <c r="BE1072" s="138"/>
      <c r="BF1072" s="138"/>
      <c r="BG1072" s="138"/>
      <c r="BH1072" s="138"/>
      <c r="BI1072" s="138"/>
      <c r="BJ1072" s="138"/>
      <c r="BK1072" s="138"/>
      <c r="BL1072" s="138"/>
      <c r="BM1072" s="138"/>
      <c r="BN1072" s="138"/>
      <c r="BO1072" s="138"/>
    </row>
    <row r="1073" spans="1:67" x14ac:dyDescent="0.2">
      <c r="A1073" s="189"/>
      <c r="B1073" s="190"/>
      <c r="C1073" s="191"/>
      <c r="D1073" s="192"/>
      <c r="E1073" s="192"/>
      <c r="F1073" s="192"/>
      <c r="G1073" s="192"/>
      <c r="H1073" s="192"/>
      <c r="I1073" s="193"/>
      <c r="J1073" s="415"/>
      <c r="K1073" s="416">
        <v>141285</v>
      </c>
      <c r="L1073" s="191"/>
      <c r="M1073" s="197"/>
      <c r="AV1073" s="138"/>
      <c r="AW1073" s="138"/>
      <c r="AX1073" s="138"/>
      <c r="AY1073" s="138"/>
      <c r="AZ1073" s="138"/>
      <c r="BA1073" s="138"/>
      <c r="BB1073" s="138"/>
      <c r="BC1073" s="138"/>
      <c r="BD1073" s="138"/>
      <c r="BE1073" s="138"/>
      <c r="BF1073" s="138"/>
      <c r="BG1073" s="138"/>
      <c r="BH1073" s="138"/>
      <c r="BI1073" s="138"/>
      <c r="BJ1073" s="138"/>
      <c r="BK1073" s="138"/>
      <c r="BL1073" s="138"/>
      <c r="BM1073" s="138"/>
      <c r="BN1073" s="138"/>
      <c r="BO1073" s="138"/>
    </row>
    <row r="1074" spans="1:67" ht="23.25" customHeight="1" x14ac:dyDescent="0.2">
      <c r="A1074" s="167">
        <v>272</v>
      </c>
      <c r="B1074" s="168" t="s">
        <v>1493</v>
      </c>
      <c r="C1074" s="169"/>
      <c r="D1074" s="170" t="s">
        <v>163</v>
      </c>
      <c r="E1074" s="170"/>
      <c r="F1074" s="170"/>
      <c r="G1074" s="170"/>
      <c r="H1074" s="170"/>
      <c r="I1074" s="217" t="s">
        <v>1494</v>
      </c>
      <c r="J1074" s="172" t="s">
        <v>664</v>
      </c>
      <c r="K1074" s="210">
        <f>320095*80%</f>
        <v>256076</v>
      </c>
      <c r="L1074" s="169" t="s">
        <v>166</v>
      </c>
      <c r="M1074" s="175" t="s">
        <v>1495</v>
      </c>
      <c r="AV1074" s="138"/>
      <c r="AW1074" s="138"/>
      <c r="AX1074" s="138"/>
      <c r="AY1074" s="138"/>
      <c r="AZ1074" s="138"/>
      <c r="BA1074" s="138"/>
      <c r="BB1074" s="138"/>
      <c r="BC1074" s="138"/>
      <c r="BD1074" s="138"/>
      <c r="BE1074" s="138"/>
      <c r="BF1074" s="138"/>
      <c r="BG1074" s="138"/>
      <c r="BH1074" s="138"/>
      <c r="BI1074" s="138"/>
      <c r="BJ1074" s="138"/>
      <c r="BK1074" s="138"/>
      <c r="BL1074" s="138"/>
      <c r="BM1074" s="138"/>
      <c r="BN1074" s="138"/>
      <c r="BO1074" s="138"/>
    </row>
    <row r="1075" spans="1:67" x14ac:dyDescent="0.2">
      <c r="A1075" s="177"/>
      <c r="B1075" s="178"/>
      <c r="C1075" s="179"/>
      <c r="D1075" s="180"/>
      <c r="E1075" s="180"/>
      <c r="F1075" s="180"/>
      <c r="G1075" s="180"/>
      <c r="H1075" s="180"/>
      <c r="I1075" s="188" t="s">
        <v>1452</v>
      </c>
      <c r="J1075" s="187" t="s">
        <v>664</v>
      </c>
      <c r="K1075" s="201">
        <f>320095*10%</f>
        <v>32009.5</v>
      </c>
      <c r="L1075" s="179"/>
      <c r="M1075" s="185"/>
      <c r="AV1075" s="138"/>
      <c r="AW1075" s="138"/>
      <c r="AX1075" s="138"/>
      <c r="AY1075" s="138"/>
      <c r="AZ1075" s="138"/>
      <c r="BA1075" s="138"/>
      <c r="BB1075" s="138"/>
      <c r="BC1075" s="138"/>
      <c r="BD1075" s="138"/>
      <c r="BE1075" s="138"/>
      <c r="BF1075" s="138"/>
      <c r="BG1075" s="138"/>
      <c r="BH1075" s="138"/>
      <c r="BI1075" s="138"/>
      <c r="BJ1075" s="138"/>
      <c r="BK1075" s="138"/>
      <c r="BL1075" s="138"/>
      <c r="BM1075" s="138"/>
      <c r="BN1075" s="138"/>
      <c r="BO1075" s="138"/>
    </row>
    <row r="1076" spans="1:67" x14ac:dyDescent="0.2">
      <c r="A1076" s="177"/>
      <c r="B1076" s="178"/>
      <c r="C1076" s="179"/>
      <c r="D1076" s="180"/>
      <c r="E1076" s="180"/>
      <c r="F1076" s="180"/>
      <c r="G1076" s="180"/>
      <c r="H1076" s="180"/>
      <c r="I1076" s="188" t="s">
        <v>1496</v>
      </c>
      <c r="J1076" s="187" t="s">
        <v>571</v>
      </c>
      <c r="K1076" s="202">
        <f>320095*10%</f>
        <v>32009.5</v>
      </c>
      <c r="L1076" s="179"/>
      <c r="M1076" s="185"/>
      <c r="AV1076" s="138"/>
      <c r="AW1076" s="138"/>
      <c r="AX1076" s="138"/>
      <c r="AY1076" s="138"/>
      <c r="AZ1076" s="138"/>
      <c r="BA1076" s="138"/>
      <c r="BB1076" s="138"/>
      <c r="BC1076" s="138"/>
      <c r="BD1076" s="138"/>
      <c r="BE1076" s="138"/>
      <c r="BF1076" s="138"/>
      <c r="BG1076" s="138"/>
      <c r="BH1076" s="138"/>
      <c r="BI1076" s="138"/>
      <c r="BJ1076" s="138"/>
      <c r="BK1076" s="138"/>
      <c r="BL1076" s="138"/>
      <c r="BM1076" s="138"/>
      <c r="BN1076" s="138"/>
      <c r="BO1076" s="138"/>
    </row>
    <row r="1077" spans="1:67" x14ac:dyDescent="0.2">
      <c r="A1077" s="189"/>
      <c r="B1077" s="190"/>
      <c r="C1077" s="191"/>
      <c r="D1077" s="192"/>
      <c r="E1077" s="192"/>
      <c r="F1077" s="192"/>
      <c r="G1077" s="192"/>
      <c r="H1077" s="192"/>
      <c r="I1077" s="193"/>
      <c r="J1077" s="194"/>
      <c r="K1077" s="211">
        <f>SUM(K1074:K1076)</f>
        <v>320095</v>
      </c>
      <c r="L1077" s="191"/>
      <c r="M1077" s="197"/>
      <c r="AV1077" s="138"/>
      <c r="AW1077" s="138"/>
      <c r="AX1077" s="138"/>
      <c r="AY1077" s="138"/>
      <c r="AZ1077" s="138"/>
      <c r="BA1077" s="138"/>
      <c r="BB1077" s="138"/>
      <c r="BC1077" s="138"/>
      <c r="BD1077" s="138"/>
      <c r="BE1077" s="138"/>
      <c r="BF1077" s="138"/>
      <c r="BG1077" s="138"/>
      <c r="BH1077" s="138"/>
      <c r="BI1077" s="138"/>
      <c r="BJ1077" s="138"/>
      <c r="BK1077" s="138"/>
      <c r="BL1077" s="138"/>
      <c r="BM1077" s="138"/>
      <c r="BN1077" s="138"/>
      <c r="BO1077" s="138"/>
    </row>
    <row r="1078" spans="1:67" ht="24.75" customHeight="1" x14ac:dyDescent="0.2">
      <c r="A1078" s="167">
        <v>273</v>
      </c>
      <c r="B1078" s="168" t="s">
        <v>1497</v>
      </c>
      <c r="C1078" s="169"/>
      <c r="D1078" s="170" t="s">
        <v>163</v>
      </c>
      <c r="E1078" s="170"/>
      <c r="F1078" s="170"/>
      <c r="G1078" s="170"/>
      <c r="H1078" s="170"/>
      <c r="I1078" s="217" t="s">
        <v>1498</v>
      </c>
      <c r="J1078" s="198" t="s">
        <v>1368</v>
      </c>
      <c r="K1078" s="417">
        <f>227930*50%</f>
        <v>113965</v>
      </c>
      <c r="L1078" s="175" t="s">
        <v>166</v>
      </c>
      <c r="M1078" s="175" t="s">
        <v>1499</v>
      </c>
      <c r="AV1078" s="138"/>
      <c r="AW1078" s="138"/>
      <c r="AX1078" s="138"/>
      <c r="AY1078" s="138"/>
      <c r="AZ1078" s="138"/>
      <c r="BA1078" s="138"/>
      <c r="BB1078" s="138"/>
      <c r="BC1078" s="138"/>
      <c r="BD1078" s="138"/>
      <c r="BE1078" s="138"/>
      <c r="BF1078" s="138"/>
      <c r="BG1078" s="138"/>
      <c r="BH1078" s="138"/>
      <c r="BI1078" s="138"/>
      <c r="BJ1078" s="138"/>
      <c r="BK1078" s="138"/>
      <c r="BL1078" s="138"/>
      <c r="BM1078" s="138"/>
      <c r="BN1078" s="138"/>
      <c r="BO1078" s="138"/>
    </row>
    <row r="1079" spans="1:67" ht="25.5" customHeight="1" x14ac:dyDescent="0.2">
      <c r="A1079" s="177"/>
      <c r="B1079" s="178"/>
      <c r="C1079" s="179"/>
      <c r="D1079" s="180"/>
      <c r="E1079" s="180"/>
      <c r="F1079" s="180"/>
      <c r="G1079" s="180"/>
      <c r="H1079" s="180"/>
      <c r="I1079" s="188" t="s">
        <v>1500</v>
      </c>
      <c r="J1079" s="182" t="s">
        <v>1368</v>
      </c>
      <c r="K1079" s="418">
        <f>227930*30%</f>
        <v>68379</v>
      </c>
      <c r="L1079" s="185"/>
      <c r="M1079" s="185"/>
      <c r="AV1079" s="138"/>
      <c r="AW1079" s="138"/>
      <c r="AX1079" s="138"/>
      <c r="AY1079" s="138"/>
      <c r="AZ1079" s="138"/>
      <c r="BA1079" s="138"/>
      <c r="BB1079" s="138"/>
      <c r="BC1079" s="138"/>
      <c r="BD1079" s="138"/>
      <c r="BE1079" s="138"/>
      <c r="BF1079" s="138"/>
      <c r="BG1079" s="138"/>
      <c r="BH1079" s="138"/>
      <c r="BI1079" s="138"/>
      <c r="BJ1079" s="138"/>
      <c r="BK1079" s="138"/>
      <c r="BL1079" s="138"/>
      <c r="BM1079" s="138"/>
      <c r="BN1079" s="138"/>
      <c r="BO1079" s="138"/>
    </row>
    <row r="1080" spans="1:67" ht="24" customHeight="1" x14ac:dyDescent="0.2">
      <c r="A1080" s="177"/>
      <c r="B1080" s="178"/>
      <c r="C1080" s="179"/>
      <c r="D1080" s="180"/>
      <c r="E1080" s="180"/>
      <c r="F1080" s="180"/>
      <c r="G1080" s="180"/>
      <c r="H1080" s="180"/>
      <c r="I1080" s="188" t="s">
        <v>1501</v>
      </c>
      <c r="J1080" s="182" t="s">
        <v>1502</v>
      </c>
      <c r="K1080" s="418">
        <f>227930*10%</f>
        <v>22793</v>
      </c>
      <c r="L1080" s="185"/>
      <c r="M1080" s="185"/>
      <c r="AV1080" s="138"/>
      <c r="AW1080" s="138"/>
      <c r="AX1080" s="138"/>
      <c r="AY1080" s="138"/>
      <c r="AZ1080" s="138"/>
      <c r="BA1080" s="138"/>
      <c r="BB1080" s="138"/>
      <c r="BC1080" s="138"/>
      <c r="BD1080" s="138"/>
      <c r="BE1080" s="138"/>
      <c r="BF1080" s="138"/>
      <c r="BG1080" s="138"/>
      <c r="BH1080" s="138"/>
      <c r="BI1080" s="138"/>
      <c r="BJ1080" s="138"/>
      <c r="BK1080" s="138"/>
      <c r="BL1080" s="138"/>
      <c r="BM1080" s="138"/>
      <c r="BN1080" s="138"/>
      <c r="BO1080" s="138"/>
    </row>
    <row r="1081" spans="1:67" x14ac:dyDescent="0.2">
      <c r="A1081" s="177"/>
      <c r="B1081" s="178"/>
      <c r="C1081" s="179"/>
      <c r="D1081" s="180"/>
      <c r="E1081" s="180"/>
      <c r="F1081" s="180"/>
      <c r="G1081" s="180"/>
      <c r="H1081" s="180"/>
      <c r="I1081" s="188" t="s">
        <v>1464</v>
      </c>
      <c r="J1081" s="182" t="s">
        <v>664</v>
      </c>
      <c r="K1081" s="418">
        <f>227930*10%</f>
        <v>22793</v>
      </c>
      <c r="L1081" s="185"/>
      <c r="M1081" s="185"/>
      <c r="AV1081" s="138"/>
      <c r="AW1081" s="138"/>
      <c r="AX1081" s="138"/>
      <c r="AY1081" s="138"/>
      <c r="AZ1081" s="138"/>
      <c r="BA1081" s="138"/>
      <c r="BB1081" s="138"/>
      <c r="BC1081" s="138"/>
      <c r="BD1081" s="138"/>
      <c r="BE1081" s="138"/>
      <c r="BF1081" s="138"/>
      <c r="BG1081" s="138"/>
      <c r="BH1081" s="138"/>
      <c r="BI1081" s="138"/>
      <c r="BJ1081" s="138"/>
      <c r="BK1081" s="138"/>
      <c r="BL1081" s="138"/>
      <c r="BM1081" s="138"/>
      <c r="BN1081" s="138"/>
      <c r="BO1081" s="138"/>
    </row>
    <row r="1082" spans="1:67" x14ac:dyDescent="0.2">
      <c r="A1082" s="189"/>
      <c r="B1082" s="190"/>
      <c r="C1082" s="191"/>
      <c r="D1082" s="192"/>
      <c r="E1082" s="192"/>
      <c r="F1082" s="192"/>
      <c r="G1082" s="192"/>
      <c r="H1082" s="192"/>
      <c r="I1082" s="203"/>
      <c r="J1082" s="194"/>
      <c r="K1082" s="419">
        <f>SUM(K1078:K1081)</f>
        <v>227930</v>
      </c>
      <c r="L1082" s="197"/>
      <c r="M1082" s="197"/>
      <c r="AV1082" s="138"/>
      <c r="AW1082" s="138"/>
      <c r="AX1082" s="138"/>
      <c r="AY1082" s="138"/>
      <c r="AZ1082" s="138"/>
      <c r="BA1082" s="138"/>
      <c r="BB1082" s="138"/>
      <c r="BC1082" s="138"/>
      <c r="BD1082" s="138"/>
      <c r="BE1082" s="138"/>
      <c r="BF1082" s="138"/>
      <c r="BG1082" s="138"/>
      <c r="BH1082" s="138"/>
      <c r="BI1082" s="138"/>
      <c r="BJ1082" s="138"/>
      <c r="BK1082" s="138"/>
      <c r="BL1082" s="138"/>
      <c r="BM1082" s="138"/>
      <c r="BN1082" s="138"/>
      <c r="BO1082" s="138"/>
    </row>
    <row r="1083" spans="1:67" ht="84" customHeight="1" x14ac:dyDescent="0.2">
      <c r="A1083" s="231">
        <v>274</v>
      </c>
      <c r="B1083" s="253" t="s">
        <v>1503</v>
      </c>
      <c r="C1083" s="254"/>
      <c r="D1083" s="256" t="s">
        <v>163</v>
      </c>
      <c r="E1083" s="256"/>
      <c r="F1083" s="256"/>
      <c r="G1083" s="256"/>
      <c r="H1083" s="257"/>
      <c r="I1083" s="193" t="s">
        <v>1504</v>
      </c>
      <c r="J1083" s="215" t="s">
        <v>664</v>
      </c>
      <c r="K1083" s="258">
        <v>76590</v>
      </c>
      <c r="L1083" s="281" t="s">
        <v>166</v>
      </c>
      <c r="M1083" s="215" t="s">
        <v>1505</v>
      </c>
      <c r="AV1083" s="138"/>
      <c r="AW1083" s="138"/>
      <c r="AX1083" s="138"/>
      <c r="AY1083" s="138"/>
      <c r="AZ1083" s="138"/>
      <c r="BA1083" s="138"/>
      <c r="BB1083" s="138"/>
      <c r="BC1083" s="138"/>
      <c r="BD1083" s="138"/>
      <c r="BE1083" s="138"/>
      <c r="BF1083" s="138"/>
      <c r="BG1083" s="138"/>
      <c r="BH1083" s="138"/>
      <c r="BI1083" s="138"/>
      <c r="BJ1083" s="138"/>
      <c r="BK1083" s="138"/>
      <c r="BL1083" s="138"/>
      <c r="BM1083" s="138"/>
      <c r="BN1083" s="138"/>
      <c r="BO1083" s="138"/>
    </row>
    <row r="1084" spans="1:67" ht="21.75" customHeight="1" x14ac:dyDescent="0.2">
      <c r="A1084" s="167">
        <v>275</v>
      </c>
      <c r="B1084" s="168" t="s">
        <v>1506</v>
      </c>
      <c r="C1084" s="169"/>
      <c r="D1084" s="170" t="s">
        <v>163</v>
      </c>
      <c r="E1084" s="170"/>
      <c r="F1084" s="170"/>
      <c r="G1084" s="170"/>
      <c r="H1084" s="170"/>
      <c r="I1084" s="217" t="s">
        <v>1507</v>
      </c>
      <c r="J1084" s="198" t="s">
        <v>1508</v>
      </c>
      <c r="K1084" s="417">
        <f>100000*50%</f>
        <v>50000</v>
      </c>
      <c r="L1084" s="175" t="s">
        <v>166</v>
      </c>
      <c r="M1084" s="175" t="s">
        <v>1509</v>
      </c>
      <c r="AV1084" s="138"/>
      <c r="AW1084" s="138"/>
      <c r="AX1084" s="138"/>
      <c r="AY1084" s="138"/>
      <c r="AZ1084" s="138"/>
      <c r="BA1084" s="138"/>
      <c r="BB1084" s="138"/>
      <c r="BC1084" s="138"/>
      <c r="BD1084" s="138"/>
      <c r="BE1084" s="138"/>
      <c r="BF1084" s="138"/>
      <c r="BG1084" s="138"/>
      <c r="BH1084" s="138"/>
      <c r="BI1084" s="138"/>
      <c r="BJ1084" s="138"/>
      <c r="BK1084" s="138"/>
      <c r="BL1084" s="138"/>
      <c r="BM1084" s="138"/>
      <c r="BN1084" s="138"/>
      <c r="BO1084" s="138"/>
    </row>
    <row r="1085" spans="1:67" x14ac:dyDescent="0.2">
      <c r="A1085" s="177"/>
      <c r="B1085" s="178"/>
      <c r="C1085" s="179"/>
      <c r="D1085" s="180"/>
      <c r="E1085" s="180"/>
      <c r="F1085" s="180"/>
      <c r="G1085" s="180"/>
      <c r="H1085" s="180"/>
      <c r="I1085" s="188" t="s">
        <v>1510</v>
      </c>
      <c r="J1085" s="182" t="s">
        <v>664</v>
      </c>
      <c r="K1085" s="418">
        <f>100000*10%</f>
        <v>10000</v>
      </c>
      <c r="L1085" s="185"/>
      <c r="M1085" s="185"/>
      <c r="AV1085" s="138"/>
      <c r="AW1085" s="138"/>
      <c r="AX1085" s="138"/>
      <c r="AY1085" s="138"/>
      <c r="AZ1085" s="138"/>
      <c r="BA1085" s="138"/>
      <c r="BB1085" s="138"/>
      <c r="BC1085" s="138"/>
      <c r="BD1085" s="138"/>
      <c r="BE1085" s="138"/>
      <c r="BF1085" s="138"/>
      <c r="BG1085" s="138"/>
      <c r="BH1085" s="138"/>
      <c r="BI1085" s="138"/>
      <c r="BJ1085" s="138"/>
      <c r="BK1085" s="138"/>
      <c r="BL1085" s="138"/>
      <c r="BM1085" s="138"/>
      <c r="BN1085" s="138"/>
      <c r="BO1085" s="138"/>
    </row>
    <row r="1086" spans="1:67" x14ac:dyDescent="0.2">
      <c r="A1086" s="177"/>
      <c r="B1086" s="178"/>
      <c r="C1086" s="179"/>
      <c r="D1086" s="180"/>
      <c r="E1086" s="180"/>
      <c r="F1086" s="180"/>
      <c r="G1086" s="180"/>
      <c r="H1086" s="180"/>
      <c r="I1086" s="188" t="s">
        <v>735</v>
      </c>
      <c r="J1086" s="182" t="s">
        <v>664</v>
      </c>
      <c r="K1086" s="418">
        <f>100000*10%</f>
        <v>10000</v>
      </c>
      <c r="L1086" s="185"/>
      <c r="M1086" s="185"/>
      <c r="AV1086" s="138"/>
      <c r="AW1086" s="138"/>
      <c r="AX1086" s="138"/>
      <c r="AY1086" s="138"/>
      <c r="AZ1086" s="138"/>
      <c r="BA1086" s="138"/>
      <c r="BB1086" s="138"/>
      <c r="BC1086" s="138"/>
      <c r="BD1086" s="138"/>
      <c r="BE1086" s="138"/>
      <c r="BF1086" s="138"/>
      <c r="BG1086" s="138"/>
      <c r="BH1086" s="138"/>
      <c r="BI1086" s="138"/>
      <c r="BJ1086" s="138"/>
      <c r="BK1086" s="138"/>
      <c r="BL1086" s="138"/>
      <c r="BM1086" s="138"/>
      <c r="BN1086" s="138"/>
      <c r="BO1086" s="138"/>
    </row>
    <row r="1087" spans="1:67" x14ac:dyDescent="0.2">
      <c r="A1087" s="177"/>
      <c r="B1087" s="178"/>
      <c r="C1087" s="179"/>
      <c r="D1087" s="180"/>
      <c r="E1087" s="180"/>
      <c r="F1087" s="180"/>
      <c r="G1087" s="180"/>
      <c r="H1087" s="180"/>
      <c r="I1087" s="188" t="s">
        <v>1511</v>
      </c>
      <c r="J1087" s="182" t="s">
        <v>664</v>
      </c>
      <c r="K1087" s="418">
        <f>100000*10%</f>
        <v>10000</v>
      </c>
      <c r="L1087" s="185"/>
      <c r="M1087" s="185"/>
      <c r="AV1087" s="138"/>
      <c r="AW1087" s="138"/>
      <c r="AX1087" s="138"/>
      <c r="AY1087" s="138"/>
      <c r="AZ1087" s="138"/>
      <c r="BA1087" s="138"/>
      <c r="BB1087" s="138"/>
      <c r="BC1087" s="138"/>
      <c r="BD1087" s="138"/>
      <c r="BE1087" s="138"/>
      <c r="BF1087" s="138"/>
      <c r="BG1087" s="138"/>
      <c r="BH1087" s="138"/>
      <c r="BI1087" s="138"/>
      <c r="BJ1087" s="138"/>
      <c r="BK1087" s="138"/>
      <c r="BL1087" s="138"/>
      <c r="BM1087" s="138"/>
      <c r="BN1087" s="138"/>
      <c r="BO1087" s="138"/>
    </row>
    <row r="1088" spans="1:67" x14ac:dyDescent="0.2">
      <c r="A1088" s="177"/>
      <c r="B1088" s="178"/>
      <c r="C1088" s="179"/>
      <c r="D1088" s="180"/>
      <c r="E1088" s="180"/>
      <c r="F1088" s="180"/>
      <c r="G1088" s="180"/>
      <c r="H1088" s="180"/>
      <c r="I1088" s="188" t="s">
        <v>1512</v>
      </c>
      <c r="J1088" s="182" t="s">
        <v>664</v>
      </c>
      <c r="K1088" s="418">
        <f>100000*10%</f>
        <v>10000</v>
      </c>
      <c r="L1088" s="185"/>
      <c r="M1088" s="185"/>
      <c r="AV1088" s="138"/>
      <c r="AW1088" s="138"/>
      <c r="AX1088" s="138"/>
      <c r="AY1088" s="138"/>
      <c r="AZ1088" s="138"/>
      <c r="BA1088" s="138"/>
      <c r="BB1088" s="138"/>
      <c r="BC1088" s="138"/>
      <c r="BD1088" s="138"/>
      <c r="BE1088" s="138"/>
      <c r="BF1088" s="138"/>
      <c r="BG1088" s="138"/>
      <c r="BH1088" s="138"/>
      <c r="BI1088" s="138"/>
      <c r="BJ1088" s="138"/>
      <c r="BK1088" s="138"/>
      <c r="BL1088" s="138"/>
      <c r="BM1088" s="138"/>
      <c r="BN1088" s="138"/>
      <c r="BO1088" s="138"/>
    </row>
    <row r="1089" spans="1:67" x14ac:dyDescent="0.2">
      <c r="A1089" s="177"/>
      <c r="B1089" s="178"/>
      <c r="C1089" s="179"/>
      <c r="D1089" s="180"/>
      <c r="E1089" s="180"/>
      <c r="F1089" s="180"/>
      <c r="G1089" s="180"/>
      <c r="H1089" s="180"/>
      <c r="I1089" s="188" t="s">
        <v>1513</v>
      </c>
      <c r="J1089" s="182" t="s">
        <v>664</v>
      </c>
      <c r="K1089" s="418">
        <f>100000*10%</f>
        <v>10000</v>
      </c>
      <c r="L1089" s="185"/>
      <c r="M1089" s="185"/>
      <c r="AV1089" s="138"/>
      <c r="AW1089" s="138"/>
      <c r="AX1089" s="138"/>
      <c r="AY1089" s="138"/>
      <c r="AZ1089" s="138"/>
      <c r="BA1089" s="138"/>
      <c r="BB1089" s="138"/>
      <c r="BC1089" s="138"/>
      <c r="BD1089" s="138"/>
      <c r="BE1089" s="138"/>
      <c r="BF1089" s="138"/>
      <c r="BG1089" s="138"/>
      <c r="BH1089" s="138"/>
      <c r="BI1089" s="138"/>
      <c r="BJ1089" s="138"/>
      <c r="BK1089" s="138"/>
      <c r="BL1089" s="138"/>
      <c r="BM1089" s="138"/>
      <c r="BN1089" s="138"/>
      <c r="BO1089" s="138"/>
    </row>
    <row r="1090" spans="1:67" x14ac:dyDescent="0.2">
      <c r="A1090" s="189"/>
      <c r="B1090" s="190"/>
      <c r="C1090" s="191"/>
      <c r="D1090" s="192"/>
      <c r="E1090" s="192"/>
      <c r="F1090" s="192"/>
      <c r="G1090" s="192"/>
      <c r="H1090" s="192"/>
      <c r="I1090" s="203"/>
      <c r="J1090" s="194"/>
      <c r="K1090" s="419">
        <f>SUM(K1084:K1089)</f>
        <v>100000</v>
      </c>
      <c r="L1090" s="197"/>
      <c r="M1090" s="197"/>
      <c r="AV1090" s="138"/>
      <c r="AW1090" s="138"/>
      <c r="AX1090" s="138"/>
      <c r="AY1090" s="138"/>
      <c r="AZ1090" s="138"/>
      <c r="BA1090" s="138"/>
      <c r="BB1090" s="138"/>
      <c r="BC1090" s="138"/>
      <c r="BD1090" s="138"/>
      <c r="BE1090" s="138"/>
      <c r="BF1090" s="138"/>
      <c r="BG1090" s="138"/>
      <c r="BH1090" s="138"/>
      <c r="BI1090" s="138"/>
      <c r="BJ1090" s="138"/>
      <c r="BK1090" s="138"/>
      <c r="BL1090" s="138"/>
      <c r="BM1090" s="138"/>
      <c r="BN1090" s="138"/>
      <c r="BO1090" s="138"/>
    </row>
    <row r="1091" spans="1:67" ht="21.75" customHeight="1" x14ac:dyDescent="0.2">
      <c r="A1091" s="167">
        <v>276</v>
      </c>
      <c r="B1091" s="168" t="s">
        <v>1514</v>
      </c>
      <c r="C1091" s="169"/>
      <c r="D1091" s="170" t="s">
        <v>163</v>
      </c>
      <c r="E1091" s="170"/>
      <c r="F1091" s="170"/>
      <c r="G1091" s="170"/>
      <c r="H1091" s="170"/>
      <c r="I1091" s="420" t="s">
        <v>1515</v>
      </c>
      <c r="J1091" s="223" t="s">
        <v>1516</v>
      </c>
      <c r="K1091" s="210">
        <f>33800*70%</f>
        <v>23660</v>
      </c>
      <c r="L1091" s="175" t="s">
        <v>166</v>
      </c>
      <c r="M1091" s="175" t="s">
        <v>1517</v>
      </c>
      <c r="AV1091" s="138"/>
      <c r="AW1091" s="138"/>
      <c r="AX1091" s="138"/>
      <c r="AY1091" s="138"/>
      <c r="AZ1091" s="138"/>
      <c r="BA1091" s="138"/>
      <c r="BB1091" s="138"/>
      <c r="BC1091" s="138"/>
      <c r="BD1091" s="138"/>
      <c r="BE1091" s="138"/>
      <c r="BF1091" s="138"/>
      <c r="BG1091" s="138"/>
      <c r="BH1091" s="138"/>
      <c r="BI1091" s="138"/>
      <c r="BJ1091" s="138"/>
      <c r="BK1091" s="138"/>
      <c r="BL1091" s="138"/>
      <c r="BM1091" s="138"/>
      <c r="BN1091" s="138"/>
      <c r="BO1091" s="138"/>
    </row>
    <row r="1092" spans="1:67" x14ac:dyDescent="0.2">
      <c r="A1092" s="177"/>
      <c r="B1092" s="178"/>
      <c r="C1092" s="179"/>
      <c r="D1092" s="180"/>
      <c r="E1092" s="180"/>
      <c r="F1092" s="180"/>
      <c r="G1092" s="180"/>
      <c r="H1092" s="180"/>
      <c r="I1092" s="421" t="s">
        <v>1518</v>
      </c>
      <c r="J1092" s="207" t="s">
        <v>664</v>
      </c>
      <c r="K1092" s="214">
        <f t="shared" ref="K1092:K1097" si="19">33800*5%</f>
        <v>1690</v>
      </c>
      <c r="L1092" s="185"/>
      <c r="M1092" s="185"/>
      <c r="AV1092" s="138"/>
      <c r="AW1092" s="138"/>
      <c r="AX1092" s="138"/>
      <c r="AY1092" s="138"/>
      <c r="AZ1092" s="138"/>
      <c r="BA1092" s="138"/>
      <c r="BB1092" s="138"/>
      <c r="BC1092" s="138"/>
      <c r="BD1092" s="138"/>
      <c r="BE1092" s="138"/>
      <c r="BF1092" s="138"/>
      <c r="BG1092" s="138"/>
      <c r="BH1092" s="138"/>
      <c r="BI1092" s="138"/>
      <c r="BJ1092" s="138"/>
      <c r="BK1092" s="138"/>
      <c r="BL1092" s="138"/>
      <c r="BM1092" s="138"/>
      <c r="BN1092" s="138"/>
      <c r="BO1092" s="138"/>
    </row>
    <row r="1093" spans="1:67" ht="48" x14ac:dyDescent="0.2">
      <c r="A1093" s="177"/>
      <c r="B1093" s="178"/>
      <c r="C1093" s="179"/>
      <c r="D1093" s="180"/>
      <c r="E1093" s="180"/>
      <c r="F1093" s="180"/>
      <c r="G1093" s="180"/>
      <c r="H1093" s="180"/>
      <c r="I1093" s="421" t="s">
        <v>746</v>
      </c>
      <c r="J1093" s="207" t="s">
        <v>664</v>
      </c>
      <c r="K1093" s="214">
        <f t="shared" si="19"/>
        <v>1690</v>
      </c>
      <c r="L1093" s="185"/>
      <c r="M1093" s="185"/>
      <c r="AV1093" s="138"/>
      <c r="AW1093" s="138"/>
      <c r="AX1093" s="138"/>
      <c r="AY1093" s="138"/>
      <c r="AZ1093" s="138"/>
      <c r="BA1093" s="138"/>
      <c r="BB1093" s="138"/>
      <c r="BC1093" s="138"/>
      <c r="BD1093" s="138"/>
      <c r="BE1093" s="138"/>
      <c r="BF1093" s="138"/>
      <c r="BG1093" s="138"/>
      <c r="BH1093" s="138"/>
      <c r="BI1093" s="138"/>
      <c r="BJ1093" s="138"/>
      <c r="BK1093" s="138"/>
      <c r="BL1093" s="138"/>
      <c r="BM1093" s="138"/>
      <c r="BN1093" s="138"/>
      <c r="BO1093" s="138"/>
    </row>
    <row r="1094" spans="1:67" x14ac:dyDescent="0.2">
      <c r="A1094" s="177"/>
      <c r="B1094" s="178"/>
      <c r="C1094" s="179"/>
      <c r="D1094" s="180"/>
      <c r="E1094" s="180"/>
      <c r="F1094" s="180"/>
      <c r="G1094" s="180"/>
      <c r="H1094" s="180"/>
      <c r="I1094" s="421" t="s">
        <v>1519</v>
      </c>
      <c r="J1094" s="207" t="s">
        <v>664</v>
      </c>
      <c r="K1094" s="214">
        <f t="shared" si="19"/>
        <v>1690</v>
      </c>
      <c r="L1094" s="185"/>
      <c r="M1094" s="185"/>
      <c r="AV1094" s="138"/>
      <c r="AW1094" s="138"/>
      <c r="AX1094" s="138"/>
      <c r="AY1094" s="138"/>
      <c r="AZ1094" s="138"/>
      <c r="BA1094" s="138"/>
      <c r="BB1094" s="138"/>
      <c r="BC1094" s="138"/>
      <c r="BD1094" s="138"/>
      <c r="BE1094" s="138"/>
      <c r="BF1094" s="138"/>
      <c r="BG1094" s="138"/>
      <c r="BH1094" s="138"/>
      <c r="BI1094" s="138"/>
      <c r="BJ1094" s="138"/>
      <c r="BK1094" s="138"/>
      <c r="BL1094" s="138"/>
      <c r="BM1094" s="138"/>
      <c r="BN1094" s="138"/>
      <c r="BO1094" s="138"/>
    </row>
    <row r="1095" spans="1:67" x14ac:dyDescent="0.2">
      <c r="A1095" s="177"/>
      <c r="B1095" s="178"/>
      <c r="C1095" s="179"/>
      <c r="D1095" s="180"/>
      <c r="E1095" s="180"/>
      <c r="F1095" s="180"/>
      <c r="G1095" s="180"/>
      <c r="H1095" s="180"/>
      <c r="I1095" s="421" t="s">
        <v>1520</v>
      </c>
      <c r="J1095" s="207" t="s">
        <v>274</v>
      </c>
      <c r="K1095" s="214">
        <f t="shared" si="19"/>
        <v>1690</v>
      </c>
      <c r="L1095" s="185"/>
      <c r="M1095" s="185"/>
      <c r="AV1095" s="138"/>
      <c r="AW1095" s="138"/>
      <c r="AX1095" s="138"/>
      <c r="AY1095" s="138"/>
      <c r="AZ1095" s="138"/>
      <c r="BA1095" s="138"/>
      <c r="BB1095" s="138"/>
      <c r="BC1095" s="138"/>
      <c r="BD1095" s="138"/>
      <c r="BE1095" s="138"/>
      <c r="BF1095" s="138"/>
      <c r="BG1095" s="138"/>
      <c r="BH1095" s="138"/>
      <c r="BI1095" s="138"/>
      <c r="BJ1095" s="138"/>
      <c r="BK1095" s="138"/>
      <c r="BL1095" s="138"/>
      <c r="BM1095" s="138"/>
      <c r="BN1095" s="138"/>
      <c r="BO1095" s="138"/>
    </row>
    <row r="1096" spans="1:67" x14ac:dyDescent="0.2">
      <c r="A1096" s="177"/>
      <c r="B1096" s="178"/>
      <c r="C1096" s="179"/>
      <c r="D1096" s="180"/>
      <c r="E1096" s="180"/>
      <c r="F1096" s="180"/>
      <c r="G1096" s="180"/>
      <c r="H1096" s="180"/>
      <c r="I1096" s="421" t="s">
        <v>1521</v>
      </c>
      <c r="J1096" s="207" t="s">
        <v>664</v>
      </c>
      <c r="K1096" s="214">
        <f t="shared" si="19"/>
        <v>1690</v>
      </c>
      <c r="L1096" s="185"/>
      <c r="M1096" s="185"/>
      <c r="AV1096" s="138"/>
      <c r="AW1096" s="138"/>
      <c r="AX1096" s="138"/>
      <c r="AY1096" s="138"/>
      <c r="AZ1096" s="138"/>
      <c r="BA1096" s="138"/>
      <c r="BB1096" s="138"/>
      <c r="BC1096" s="138"/>
      <c r="BD1096" s="138"/>
      <c r="BE1096" s="138"/>
      <c r="BF1096" s="138"/>
      <c r="BG1096" s="138"/>
      <c r="BH1096" s="138"/>
      <c r="BI1096" s="138"/>
      <c r="BJ1096" s="138"/>
      <c r="BK1096" s="138"/>
      <c r="BL1096" s="138"/>
      <c r="BM1096" s="138"/>
      <c r="BN1096" s="138"/>
      <c r="BO1096" s="138"/>
    </row>
    <row r="1097" spans="1:67" x14ac:dyDescent="0.2">
      <c r="A1097" s="177"/>
      <c r="B1097" s="178"/>
      <c r="C1097" s="179"/>
      <c r="D1097" s="180"/>
      <c r="E1097" s="180"/>
      <c r="F1097" s="180"/>
      <c r="G1097" s="180"/>
      <c r="H1097" s="180"/>
      <c r="I1097" s="421" t="s">
        <v>1522</v>
      </c>
      <c r="J1097" s="207" t="s">
        <v>664</v>
      </c>
      <c r="K1097" s="214">
        <f t="shared" si="19"/>
        <v>1690</v>
      </c>
      <c r="L1097" s="185"/>
      <c r="M1097" s="185"/>
      <c r="AV1097" s="138"/>
      <c r="AW1097" s="138"/>
      <c r="AX1097" s="138"/>
      <c r="AY1097" s="138"/>
      <c r="AZ1097" s="138"/>
      <c r="BA1097" s="138"/>
      <c r="BB1097" s="138"/>
      <c r="BC1097" s="138"/>
      <c r="BD1097" s="138"/>
      <c r="BE1097" s="138"/>
      <c r="BF1097" s="138"/>
      <c r="BG1097" s="138"/>
      <c r="BH1097" s="138"/>
      <c r="BI1097" s="138"/>
      <c r="BJ1097" s="138"/>
      <c r="BK1097" s="138"/>
      <c r="BL1097" s="138"/>
      <c r="BM1097" s="138"/>
      <c r="BN1097" s="138"/>
      <c r="BO1097" s="138"/>
    </row>
    <row r="1098" spans="1:67" x14ac:dyDescent="0.2">
      <c r="A1098" s="189"/>
      <c r="B1098" s="190"/>
      <c r="C1098" s="191"/>
      <c r="D1098" s="192"/>
      <c r="E1098" s="192"/>
      <c r="F1098" s="192"/>
      <c r="G1098" s="192"/>
      <c r="H1098" s="192"/>
      <c r="I1098" s="422"/>
      <c r="J1098" s="204"/>
      <c r="K1098" s="205">
        <f>SUM(K1091:K1097)</f>
        <v>33800</v>
      </c>
      <c r="L1098" s="197"/>
      <c r="M1098" s="197"/>
      <c r="AV1098" s="138"/>
      <c r="AW1098" s="138"/>
      <c r="AX1098" s="138"/>
      <c r="AY1098" s="138"/>
      <c r="AZ1098" s="138"/>
      <c r="BA1098" s="138"/>
      <c r="BB1098" s="138"/>
      <c r="BC1098" s="138"/>
      <c r="BD1098" s="138"/>
      <c r="BE1098" s="138"/>
      <c r="BF1098" s="138"/>
      <c r="BG1098" s="138"/>
      <c r="BH1098" s="138"/>
      <c r="BI1098" s="138"/>
      <c r="BJ1098" s="138"/>
      <c r="BK1098" s="138"/>
      <c r="BL1098" s="138"/>
      <c r="BM1098" s="138"/>
      <c r="BN1098" s="138"/>
      <c r="BO1098" s="138"/>
    </row>
    <row r="1099" spans="1:67" ht="24.75" customHeight="1" x14ac:dyDescent="0.2">
      <c r="A1099" s="167">
        <v>277</v>
      </c>
      <c r="B1099" s="168" t="s">
        <v>1523</v>
      </c>
      <c r="C1099" s="169"/>
      <c r="D1099" s="170" t="s">
        <v>163</v>
      </c>
      <c r="E1099" s="170"/>
      <c r="F1099" s="170"/>
      <c r="G1099" s="170"/>
      <c r="H1099" s="170"/>
      <c r="I1099" s="217" t="s">
        <v>1515</v>
      </c>
      <c r="J1099" s="198" t="s">
        <v>1524</v>
      </c>
      <c r="K1099" s="417">
        <f>154000*70%</f>
        <v>107800</v>
      </c>
      <c r="L1099" s="175" t="s">
        <v>166</v>
      </c>
      <c r="M1099" s="175" t="s">
        <v>1525</v>
      </c>
      <c r="AV1099" s="138"/>
      <c r="AW1099" s="138"/>
      <c r="AX1099" s="138"/>
      <c r="AY1099" s="138"/>
      <c r="AZ1099" s="138"/>
      <c r="BA1099" s="138"/>
      <c r="BB1099" s="138"/>
      <c r="BC1099" s="138"/>
      <c r="BD1099" s="138"/>
      <c r="BE1099" s="138"/>
      <c r="BF1099" s="138"/>
      <c r="BG1099" s="138"/>
      <c r="BH1099" s="138"/>
      <c r="BI1099" s="138"/>
      <c r="BJ1099" s="138"/>
      <c r="BK1099" s="138"/>
      <c r="BL1099" s="138"/>
      <c r="BM1099" s="138"/>
      <c r="BN1099" s="138"/>
      <c r="BO1099" s="138"/>
    </row>
    <row r="1100" spans="1:67" x14ac:dyDescent="0.2">
      <c r="A1100" s="177"/>
      <c r="B1100" s="178"/>
      <c r="C1100" s="179"/>
      <c r="D1100" s="180"/>
      <c r="E1100" s="180"/>
      <c r="F1100" s="180"/>
      <c r="G1100" s="180"/>
      <c r="H1100" s="180"/>
      <c r="I1100" s="188" t="s">
        <v>1526</v>
      </c>
      <c r="J1100" s="182" t="s">
        <v>1527</v>
      </c>
      <c r="K1100" s="418">
        <f t="shared" ref="K1100:K1105" si="20">154000*5%</f>
        <v>7700</v>
      </c>
      <c r="L1100" s="185"/>
      <c r="M1100" s="185"/>
      <c r="AV1100" s="138"/>
      <c r="AW1100" s="138"/>
      <c r="AX1100" s="138"/>
      <c r="AY1100" s="138"/>
      <c r="AZ1100" s="138"/>
      <c r="BA1100" s="138"/>
      <c r="BB1100" s="138"/>
      <c r="BC1100" s="138"/>
      <c r="BD1100" s="138"/>
      <c r="BE1100" s="138"/>
      <c r="BF1100" s="138"/>
      <c r="BG1100" s="138"/>
      <c r="BH1100" s="138"/>
      <c r="BI1100" s="138"/>
      <c r="BJ1100" s="138"/>
      <c r="BK1100" s="138"/>
      <c r="BL1100" s="138"/>
      <c r="BM1100" s="138"/>
      <c r="BN1100" s="138"/>
      <c r="BO1100" s="138"/>
    </row>
    <row r="1101" spans="1:67" ht="48" x14ac:dyDescent="0.2">
      <c r="A1101" s="177"/>
      <c r="B1101" s="178"/>
      <c r="C1101" s="179"/>
      <c r="D1101" s="180"/>
      <c r="E1101" s="180"/>
      <c r="F1101" s="180"/>
      <c r="G1101" s="180"/>
      <c r="H1101" s="180"/>
      <c r="I1101" s="188" t="s">
        <v>746</v>
      </c>
      <c r="J1101" s="182" t="s">
        <v>664</v>
      </c>
      <c r="K1101" s="418">
        <f t="shared" si="20"/>
        <v>7700</v>
      </c>
      <c r="L1101" s="185"/>
      <c r="M1101" s="185"/>
      <c r="AV1101" s="138"/>
      <c r="AW1101" s="138"/>
      <c r="AX1101" s="138"/>
      <c r="AY1101" s="138"/>
      <c r="AZ1101" s="138"/>
      <c r="BA1101" s="138"/>
      <c r="BB1101" s="138"/>
      <c r="BC1101" s="138"/>
      <c r="BD1101" s="138"/>
      <c r="BE1101" s="138"/>
      <c r="BF1101" s="138"/>
      <c r="BG1101" s="138"/>
      <c r="BH1101" s="138"/>
      <c r="BI1101" s="138"/>
      <c r="BJ1101" s="138"/>
      <c r="BK1101" s="138"/>
      <c r="BL1101" s="138"/>
      <c r="BM1101" s="138"/>
      <c r="BN1101" s="138"/>
      <c r="BO1101" s="138"/>
    </row>
    <row r="1102" spans="1:67" x14ac:dyDescent="0.2">
      <c r="A1102" s="177"/>
      <c r="B1102" s="178"/>
      <c r="C1102" s="179"/>
      <c r="D1102" s="180"/>
      <c r="E1102" s="180"/>
      <c r="F1102" s="180"/>
      <c r="G1102" s="180"/>
      <c r="H1102" s="180"/>
      <c r="I1102" s="188" t="s">
        <v>1528</v>
      </c>
      <c r="J1102" s="182" t="s">
        <v>664</v>
      </c>
      <c r="K1102" s="418">
        <f t="shared" si="20"/>
        <v>7700</v>
      </c>
      <c r="L1102" s="185"/>
      <c r="M1102" s="185"/>
      <c r="AV1102" s="138"/>
      <c r="AW1102" s="138"/>
      <c r="AX1102" s="138"/>
      <c r="AY1102" s="138"/>
      <c r="AZ1102" s="138"/>
      <c r="BA1102" s="138"/>
      <c r="BB1102" s="138"/>
      <c r="BC1102" s="138"/>
      <c r="BD1102" s="138"/>
      <c r="BE1102" s="138"/>
      <c r="BF1102" s="138"/>
      <c r="BG1102" s="138"/>
      <c r="BH1102" s="138"/>
      <c r="BI1102" s="138"/>
      <c r="BJ1102" s="138"/>
      <c r="BK1102" s="138"/>
      <c r="BL1102" s="138"/>
      <c r="BM1102" s="138"/>
      <c r="BN1102" s="138"/>
      <c r="BO1102" s="138"/>
    </row>
    <row r="1103" spans="1:67" x14ac:dyDescent="0.2">
      <c r="A1103" s="177"/>
      <c r="B1103" s="178"/>
      <c r="C1103" s="179"/>
      <c r="D1103" s="180"/>
      <c r="E1103" s="180"/>
      <c r="F1103" s="180"/>
      <c r="G1103" s="180"/>
      <c r="H1103" s="180"/>
      <c r="I1103" s="188" t="s">
        <v>1519</v>
      </c>
      <c r="J1103" s="182" t="s">
        <v>664</v>
      </c>
      <c r="K1103" s="418">
        <f t="shared" si="20"/>
        <v>7700</v>
      </c>
      <c r="L1103" s="185"/>
      <c r="M1103" s="185"/>
      <c r="AV1103" s="138"/>
      <c r="AW1103" s="138"/>
      <c r="AX1103" s="138"/>
      <c r="AY1103" s="138"/>
      <c r="AZ1103" s="138"/>
      <c r="BA1103" s="138"/>
      <c r="BB1103" s="138"/>
      <c r="BC1103" s="138"/>
      <c r="BD1103" s="138"/>
      <c r="BE1103" s="138"/>
      <c r="BF1103" s="138"/>
      <c r="BG1103" s="138"/>
      <c r="BH1103" s="138"/>
      <c r="BI1103" s="138"/>
      <c r="BJ1103" s="138"/>
      <c r="BK1103" s="138"/>
      <c r="BL1103" s="138"/>
      <c r="BM1103" s="138"/>
      <c r="BN1103" s="138"/>
      <c r="BO1103" s="138"/>
    </row>
    <row r="1104" spans="1:67" x14ac:dyDescent="0.2">
      <c r="A1104" s="177"/>
      <c r="B1104" s="178"/>
      <c r="C1104" s="179"/>
      <c r="D1104" s="180"/>
      <c r="E1104" s="180"/>
      <c r="F1104" s="180"/>
      <c r="G1104" s="180"/>
      <c r="H1104" s="180"/>
      <c r="I1104" s="188" t="s">
        <v>1520</v>
      </c>
      <c r="J1104" s="182" t="s">
        <v>274</v>
      </c>
      <c r="K1104" s="418">
        <f t="shared" si="20"/>
        <v>7700</v>
      </c>
      <c r="L1104" s="185"/>
      <c r="M1104" s="185"/>
      <c r="AV1104" s="138"/>
      <c r="AW1104" s="138"/>
      <c r="AX1104" s="138"/>
      <c r="AY1104" s="138"/>
      <c r="AZ1104" s="138"/>
      <c r="BA1104" s="138"/>
      <c r="BB1104" s="138"/>
      <c r="BC1104" s="138"/>
      <c r="BD1104" s="138"/>
      <c r="BE1104" s="138"/>
      <c r="BF1104" s="138"/>
      <c r="BG1104" s="138"/>
      <c r="BH1104" s="138"/>
      <c r="BI1104" s="138"/>
      <c r="BJ1104" s="138"/>
      <c r="BK1104" s="138"/>
      <c r="BL1104" s="138"/>
      <c r="BM1104" s="138"/>
      <c r="BN1104" s="138"/>
      <c r="BO1104" s="138"/>
    </row>
    <row r="1105" spans="1:67" x14ac:dyDescent="0.2">
      <c r="A1105" s="177"/>
      <c r="B1105" s="178"/>
      <c r="C1105" s="179"/>
      <c r="D1105" s="180"/>
      <c r="E1105" s="180"/>
      <c r="F1105" s="180"/>
      <c r="G1105" s="180"/>
      <c r="H1105" s="180"/>
      <c r="I1105" s="188" t="s">
        <v>1521</v>
      </c>
      <c r="J1105" s="182" t="s">
        <v>664</v>
      </c>
      <c r="K1105" s="418">
        <f t="shared" si="20"/>
        <v>7700</v>
      </c>
      <c r="L1105" s="185"/>
      <c r="M1105" s="185"/>
      <c r="AV1105" s="138"/>
      <c r="AW1105" s="138"/>
      <c r="AX1105" s="138"/>
      <c r="AY1105" s="138"/>
      <c r="AZ1105" s="138"/>
      <c r="BA1105" s="138"/>
      <c r="BB1105" s="138"/>
      <c r="BC1105" s="138"/>
      <c r="BD1105" s="138"/>
      <c r="BE1105" s="138"/>
      <c r="BF1105" s="138"/>
      <c r="BG1105" s="138"/>
      <c r="BH1105" s="138"/>
      <c r="BI1105" s="138"/>
      <c r="BJ1105" s="138"/>
      <c r="BK1105" s="138"/>
      <c r="BL1105" s="138"/>
      <c r="BM1105" s="138"/>
      <c r="BN1105" s="138"/>
      <c r="BO1105" s="138"/>
    </row>
    <row r="1106" spans="1:67" x14ac:dyDescent="0.2">
      <c r="A1106" s="189"/>
      <c r="B1106" s="190"/>
      <c r="C1106" s="191"/>
      <c r="D1106" s="192"/>
      <c r="E1106" s="192"/>
      <c r="F1106" s="192"/>
      <c r="G1106" s="192"/>
      <c r="H1106" s="192"/>
      <c r="I1106" s="203"/>
      <c r="J1106" s="194"/>
      <c r="K1106" s="419">
        <f>SUM(K1099:K1105)</f>
        <v>154000</v>
      </c>
      <c r="L1106" s="197"/>
      <c r="M1106" s="197"/>
      <c r="AV1106" s="138"/>
      <c r="AW1106" s="138"/>
      <c r="AX1106" s="138"/>
      <c r="AY1106" s="138"/>
      <c r="AZ1106" s="138"/>
      <c r="BA1106" s="138"/>
      <c r="BB1106" s="138"/>
      <c r="BC1106" s="138"/>
      <c r="BD1106" s="138"/>
      <c r="BE1106" s="138"/>
      <c r="BF1106" s="138"/>
      <c r="BG1106" s="138"/>
      <c r="BH1106" s="138"/>
      <c r="BI1106" s="138"/>
      <c r="BJ1106" s="138"/>
      <c r="BK1106" s="138"/>
      <c r="BL1106" s="138"/>
      <c r="BM1106" s="138"/>
      <c r="BN1106" s="138"/>
      <c r="BO1106" s="138"/>
    </row>
    <row r="1107" spans="1:67" ht="24" customHeight="1" x14ac:dyDescent="0.2">
      <c r="A1107" s="167">
        <v>278</v>
      </c>
      <c r="B1107" s="168" t="s">
        <v>1529</v>
      </c>
      <c r="C1107" s="169"/>
      <c r="D1107" s="170" t="s">
        <v>163</v>
      </c>
      <c r="E1107" s="170"/>
      <c r="F1107" s="170"/>
      <c r="G1107" s="170"/>
      <c r="H1107" s="170"/>
      <c r="I1107" s="274" t="s">
        <v>1530</v>
      </c>
      <c r="J1107" s="247" t="s">
        <v>1524</v>
      </c>
      <c r="K1107" s="210">
        <f>154000*65%</f>
        <v>100100</v>
      </c>
      <c r="L1107" s="175" t="s">
        <v>166</v>
      </c>
      <c r="M1107" s="175" t="s">
        <v>1531</v>
      </c>
      <c r="AV1107" s="138"/>
      <c r="AW1107" s="138"/>
      <c r="AX1107" s="138"/>
      <c r="AY1107" s="138"/>
      <c r="AZ1107" s="138"/>
      <c r="BA1107" s="138"/>
      <c r="BB1107" s="138"/>
      <c r="BC1107" s="138"/>
      <c r="BD1107" s="138"/>
      <c r="BE1107" s="138"/>
      <c r="BF1107" s="138"/>
      <c r="BG1107" s="138"/>
      <c r="BH1107" s="138"/>
      <c r="BI1107" s="138"/>
      <c r="BJ1107" s="138"/>
      <c r="BK1107" s="138"/>
      <c r="BL1107" s="138"/>
      <c r="BM1107" s="138"/>
      <c r="BN1107" s="138"/>
      <c r="BO1107" s="138"/>
    </row>
    <row r="1108" spans="1:67" x14ac:dyDescent="0.2">
      <c r="A1108" s="177"/>
      <c r="B1108" s="178"/>
      <c r="C1108" s="179"/>
      <c r="D1108" s="180"/>
      <c r="E1108" s="180"/>
      <c r="F1108" s="180"/>
      <c r="G1108" s="180"/>
      <c r="H1108" s="180"/>
      <c r="I1108" s="188" t="s">
        <v>1464</v>
      </c>
      <c r="J1108" s="207" t="s">
        <v>1097</v>
      </c>
      <c r="K1108" s="214">
        <f>154000*10%</f>
        <v>15400</v>
      </c>
      <c r="L1108" s="185"/>
      <c r="M1108" s="185"/>
      <c r="AV1108" s="138"/>
      <c r="AW1108" s="138"/>
      <c r="AX1108" s="138"/>
      <c r="AY1108" s="138"/>
      <c r="AZ1108" s="138"/>
      <c r="BA1108" s="138"/>
      <c r="BB1108" s="138"/>
      <c r="BC1108" s="138"/>
      <c r="BD1108" s="138"/>
      <c r="BE1108" s="138"/>
      <c r="BF1108" s="138"/>
      <c r="BG1108" s="138"/>
      <c r="BH1108" s="138"/>
      <c r="BI1108" s="138"/>
      <c r="BJ1108" s="138"/>
      <c r="BK1108" s="138"/>
      <c r="BL1108" s="138"/>
      <c r="BM1108" s="138"/>
      <c r="BN1108" s="138"/>
      <c r="BO1108" s="138"/>
    </row>
    <row r="1109" spans="1:67" ht="48" x14ac:dyDescent="0.2">
      <c r="A1109" s="177"/>
      <c r="B1109" s="178"/>
      <c r="C1109" s="179"/>
      <c r="D1109" s="180"/>
      <c r="E1109" s="180"/>
      <c r="F1109" s="180"/>
      <c r="G1109" s="180"/>
      <c r="H1109" s="180"/>
      <c r="I1109" s="188" t="s">
        <v>746</v>
      </c>
      <c r="J1109" s="207" t="s">
        <v>664</v>
      </c>
      <c r="K1109" s="214">
        <f>154000*5%</f>
        <v>7700</v>
      </c>
      <c r="L1109" s="185"/>
      <c r="M1109" s="185"/>
      <c r="AV1109" s="138"/>
      <c r="AW1109" s="138"/>
      <c r="AX1109" s="138"/>
      <c r="AY1109" s="138"/>
      <c r="AZ1109" s="138"/>
      <c r="BA1109" s="138"/>
      <c r="BB1109" s="138"/>
      <c r="BC1109" s="138"/>
      <c r="BD1109" s="138"/>
      <c r="BE1109" s="138"/>
      <c r="BF1109" s="138"/>
      <c r="BG1109" s="138"/>
      <c r="BH1109" s="138"/>
      <c r="BI1109" s="138"/>
      <c r="BJ1109" s="138"/>
      <c r="BK1109" s="138"/>
      <c r="BL1109" s="138"/>
      <c r="BM1109" s="138"/>
      <c r="BN1109" s="138"/>
      <c r="BO1109" s="138"/>
    </row>
    <row r="1110" spans="1:67" x14ac:dyDescent="0.2">
      <c r="A1110" s="177"/>
      <c r="B1110" s="178"/>
      <c r="C1110" s="179"/>
      <c r="D1110" s="180"/>
      <c r="E1110" s="180"/>
      <c r="F1110" s="180"/>
      <c r="G1110" s="180"/>
      <c r="H1110" s="180"/>
      <c r="I1110" s="188" t="s">
        <v>1528</v>
      </c>
      <c r="J1110" s="207" t="s">
        <v>664</v>
      </c>
      <c r="K1110" s="214">
        <f>154000*5%</f>
        <v>7700</v>
      </c>
      <c r="L1110" s="185"/>
      <c r="M1110" s="185"/>
      <c r="AV1110" s="138"/>
      <c r="AW1110" s="138"/>
      <c r="AX1110" s="138"/>
      <c r="AY1110" s="138"/>
      <c r="AZ1110" s="138"/>
      <c r="BA1110" s="138"/>
      <c r="BB1110" s="138"/>
      <c r="BC1110" s="138"/>
      <c r="BD1110" s="138"/>
      <c r="BE1110" s="138"/>
      <c r="BF1110" s="138"/>
      <c r="BG1110" s="138"/>
      <c r="BH1110" s="138"/>
      <c r="BI1110" s="138"/>
      <c r="BJ1110" s="138"/>
      <c r="BK1110" s="138"/>
      <c r="BL1110" s="138"/>
      <c r="BM1110" s="138"/>
      <c r="BN1110" s="138"/>
      <c r="BO1110" s="138"/>
    </row>
    <row r="1111" spans="1:67" x14ac:dyDescent="0.2">
      <c r="A1111" s="177"/>
      <c r="B1111" s="178"/>
      <c r="C1111" s="179"/>
      <c r="D1111" s="180"/>
      <c r="E1111" s="180"/>
      <c r="F1111" s="180"/>
      <c r="G1111" s="180"/>
      <c r="H1111" s="180"/>
      <c r="I1111" s="188" t="s">
        <v>1519</v>
      </c>
      <c r="J1111" s="207" t="s">
        <v>664</v>
      </c>
      <c r="K1111" s="214">
        <f>154000*5%</f>
        <v>7700</v>
      </c>
      <c r="L1111" s="185"/>
      <c r="M1111" s="185"/>
      <c r="AV1111" s="138"/>
      <c r="AW1111" s="138"/>
      <c r="AX1111" s="138"/>
      <c r="AY1111" s="138"/>
      <c r="AZ1111" s="138"/>
      <c r="BA1111" s="138"/>
      <c r="BB1111" s="138"/>
      <c r="BC1111" s="138"/>
      <c r="BD1111" s="138"/>
      <c r="BE1111" s="138"/>
      <c r="BF1111" s="138"/>
      <c r="BG1111" s="138"/>
      <c r="BH1111" s="138"/>
      <c r="BI1111" s="138"/>
      <c r="BJ1111" s="138"/>
      <c r="BK1111" s="138"/>
      <c r="BL1111" s="138"/>
      <c r="BM1111" s="138"/>
      <c r="BN1111" s="138"/>
      <c r="BO1111" s="138"/>
    </row>
    <row r="1112" spans="1:67" x14ac:dyDescent="0.2">
      <c r="A1112" s="177"/>
      <c r="B1112" s="178"/>
      <c r="C1112" s="179"/>
      <c r="D1112" s="180"/>
      <c r="E1112" s="180"/>
      <c r="F1112" s="180"/>
      <c r="G1112" s="180"/>
      <c r="H1112" s="180"/>
      <c r="I1112" s="188" t="s">
        <v>1520</v>
      </c>
      <c r="J1112" s="207" t="s">
        <v>274</v>
      </c>
      <c r="K1112" s="214">
        <f>154000*5%</f>
        <v>7700</v>
      </c>
      <c r="L1112" s="185"/>
      <c r="M1112" s="185"/>
      <c r="AV1112" s="138"/>
      <c r="AW1112" s="138"/>
      <c r="AX1112" s="138"/>
      <c r="AY1112" s="138"/>
      <c r="AZ1112" s="138"/>
      <c r="BA1112" s="138"/>
      <c r="BB1112" s="138"/>
      <c r="BC1112" s="138"/>
      <c r="BD1112" s="138"/>
      <c r="BE1112" s="138"/>
      <c r="BF1112" s="138"/>
      <c r="BG1112" s="138"/>
      <c r="BH1112" s="138"/>
      <c r="BI1112" s="138"/>
      <c r="BJ1112" s="138"/>
      <c r="BK1112" s="138"/>
      <c r="BL1112" s="138"/>
      <c r="BM1112" s="138"/>
      <c r="BN1112" s="138"/>
      <c r="BO1112" s="138"/>
    </row>
    <row r="1113" spans="1:67" x14ac:dyDescent="0.2">
      <c r="A1113" s="177"/>
      <c r="B1113" s="178"/>
      <c r="C1113" s="179"/>
      <c r="D1113" s="180"/>
      <c r="E1113" s="180"/>
      <c r="F1113" s="180"/>
      <c r="G1113" s="180"/>
      <c r="H1113" s="180"/>
      <c r="I1113" s="188" t="s">
        <v>1526</v>
      </c>
      <c r="J1113" s="207" t="s">
        <v>636</v>
      </c>
      <c r="K1113" s="214">
        <f>154000*5%</f>
        <v>7700</v>
      </c>
      <c r="L1113" s="185"/>
      <c r="M1113" s="185"/>
      <c r="AV1113" s="138"/>
      <c r="AW1113" s="138"/>
      <c r="AX1113" s="138"/>
      <c r="AY1113" s="138"/>
      <c r="AZ1113" s="138"/>
      <c r="BA1113" s="138"/>
      <c r="BB1113" s="138"/>
      <c r="BC1113" s="138"/>
      <c r="BD1113" s="138"/>
      <c r="BE1113" s="138"/>
      <c r="BF1113" s="138"/>
      <c r="BG1113" s="138"/>
      <c r="BH1113" s="138"/>
      <c r="BI1113" s="138"/>
      <c r="BJ1113" s="138"/>
      <c r="BK1113" s="138"/>
      <c r="BL1113" s="138"/>
      <c r="BM1113" s="138"/>
      <c r="BN1113" s="138"/>
      <c r="BO1113" s="138"/>
    </row>
    <row r="1114" spans="1:67" x14ac:dyDescent="0.2">
      <c r="A1114" s="189"/>
      <c r="B1114" s="190"/>
      <c r="C1114" s="191"/>
      <c r="D1114" s="192"/>
      <c r="E1114" s="192"/>
      <c r="F1114" s="192"/>
      <c r="G1114" s="192"/>
      <c r="H1114" s="192"/>
      <c r="I1114" s="203"/>
      <c r="J1114" s="204"/>
      <c r="K1114" s="200">
        <f>SUM(K1107:K1113)</f>
        <v>154000</v>
      </c>
      <c r="L1114" s="197"/>
      <c r="M1114" s="197"/>
      <c r="AV1114" s="138"/>
      <c r="AW1114" s="138"/>
      <c r="AX1114" s="138"/>
      <c r="AY1114" s="138"/>
      <c r="AZ1114" s="138"/>
      <c r="BA1114" s="138"/>
      <c r="BB1114" s="138"/>
      <c r="BC1114" s="138"/>
      <c r="BD1114" s="138"/>
      <c r="BE1114" s="138"/>
      <c r="BF1114" s="138"/>
      <c r="BG1114" s="138"/>
      <c r="BH1114" s="138"/>
      <c r="BI1114" s="138"/>
      <c r="BJ1114" s="138"/>
      <c r="BK1114" s="138"/>
      <c r="BL1114" s="138"/>
      <c r="BM1114" s="138"/>
      <c r="BN1114" s="138"/>
      <c r="BO1114" s="138"/>
    </row>
    <row r="1115" spans="1:67" ht="23.25" customHeight="1" x14ac:dyDescent="0.2">
      <c r="A1115" s="167">
        <v>279</v>
      </c>
      <c r="B1115" s="168" t="s">
        <v>1532</v>
      </c>
      <c r="C1115" s="169"/>
      <c r="D1115" s="170" t="s">
        <v>163</v>
      </c>
      <c r="E1115" s="170"/>
      <c r="F1115" s="170"/>
      <c r="G1115" s="170"/>
      <c r="H1115" s="170"/>
      <c r="I1115" s="217" t="s">
        <v>1533</v>
      </c>
      <c r="J1115" s="275" t="s">
        <v>1524</v>
      </c>
      <c r="K1115" s="266">
        <f>80850*60%</f>
        <v>48510</v>
      </c>
      <c r="L1115" s="175" t="s">
        <v>166</v>
      </c>
      <c r="M1115" s="175" t="s">
        <v>1534</v>
      </c>
      <c r="AV1115" s="138"/>
      <c r="AW1115" s="138"/>
      <c r="AX1115" s="138"/>
      <c r="AY1115" s="138"/>
      <c r="AZ1115" s="138"/>
      <c r="BA1115" s="138"/>
      <c r="BB1115" s="138"/>
      <c r="BC1115" s="138"/>
      <c r="BD1115" s="138"/>
      <c r="BE1115" s="138"/>
      <c r="BF1115" s="138"/>
      <c r="BG1115" s="138"/>
      <c r="BH1115" s="138"/>
      <c r="BI1115" s="138"/>
      <c r="BJ1115" s="138"/>
      <c r="BK1115" s="138"/>
      <c r="BL1115" s="138"/>
      <c r="BM1115" s="138"/>
      <c r="BN1115" s="138"/>
      <c r="BO1115" s="138"/>
    </row>
    <row r="1116" spans="1:67" x14ac:dyDescent="0.2">
      <c r="A1116" s="177"/>
      <c r="B1116" s="178"/>
      <c r="C1116" s="179"/>
      <c r="D1116" s="180"/>
      <c r="E1116" s="180"/>
      <c r="F1116" s="180"/>
      <c r="G1116" s="180"/>
      <c r="H1116" s="180"/>
      <c r="I1116" s="188" t="s">
        <v>1535</v>
      </c>
      <c r="J1116" s="270" t="s">
        <v>1097</v>
      </c>
      <c r="K1116" s="214">
        <f>80850*20%</f>
        <v>16170</v>
      </c>
      <c r="L1116" s="185"/>
      <c r="M1116" s="185"/>
      <c r="AV1116" s="138"/>
      <c r="AW1116" s="138"/>
      <c r="AX1116" s="138"/>
      <c r="AY1116" s="138"/>
      <c r="AZ1116" s="138"/>
      <c r="BA1116" s="138"/>
      <c r="BB1116" s="138"/>
      <c r="BC1116" s="138"/>
      <c r="BD1116" s="138"/>
      <c r="BE1116" s="138"/>
      <c r="BF1116" s="138"/>
      <c r="BG1116" s="138"/>
      <c r="BH1116" s="138"/>
      <c r="BI1116" s="138"/>
      <c r="BJ1116" s="138"/>
      <c r="BK1116" s="138"/>
      <c r="BL1116" s="138"/>
      <c r="BM1116" s="138"/>
      <c r="BN1116" s="138"/>
      <c r="BO1116" s="138"/>
    </row>
    <row r="1117" spans="1:67" x14ac:dyDescent="0.2">
      <c r="A1117" s="177"/>
      <c r="B1117" s="178"/>
      <c r="C1117" s="179"/>
      <c r="D1117" s="180"/>
      <c r="E1117" s="180"/>
      <c r="F1117" s="180"/>
      <c r="G1117" s="180"/>
      <c r="H1117" s="180"/>
      <c r="I1117" s="188" t="s">
        <v>1536</v>
      </c>
      <c r="J1117" s="270" t="s">
        <v>664</v>
      </c>
      <c r="K1117" s="214">
        <f>80850*10%</f>
        <v>8085</v>
      </c>
      <c r="L1117" s="185"/>
      <c r="M1117" s="185"/>
      <c r="AV1117" s="138"/>
      <c r="AW1117" s="138"/>
      <c r="AX1117" s="138"/>
      <c r="AY1117" s="138"/>
      <c r="AZ1117" s="138"/>
      <c r="BA1117" s="138"/>
      <c r="BB1117" s="138"/>
      <c r="BC1117" s="138"/>
      <c r="BD1117" s="138"/>
      <c r="BE1117" s="138"/>
      <c r="BF1117" s="138"/>
      <c r="BG1117" s="138"/>
      <c r="BH1117" s="138"/>
      <c r="BI1117" s="138"/>
      <c r="BJ1117" s="138"/>
      <c r="BK1117" s="138"/>
      <c r="BL1117" s="138"/>
      <c r="BM1117" s="138"/>
      <c r="BN1117" s="138"/>
      <c r="BO1117" s="138"/>
    </row>
    <row r="1118" spans="1:67" x14ac:dyDescent="0.2">
      <c r="A1118" s="177"/>
      <c r="B1118" s="178"/>
      <c r="C1118" s="179"/>
      <c r="D1118" s="180"/>
      <c r="E1118" s="180"/>
      <c r="F1118" s="180"/>
      <c r="G1118" s="180"/>
      <c r="H1118" s="180"/>
      <c r="I1118" s="188" t="s">
        <v>1537</v>
      </c>
      <c r="J1118" s="270" t="s">
        <v>664</v>
      </c>
      <c r="K1118" s="214">
        <f>80850*10%</f>
        <v>8085</v>
      </c>
      <c r="L1118" s="185"/>
      <c r="M1118" s="185"/>
      <c r="AV1118" s="138"/>
      <c r="AW1118" s="138"/>
      <c r="AX1118" s="138"/>
      <c r="AY1118" s="138"/>
      <c r="AZ1118" s="138"/>
      <c r="BA1118" s="138"/>
      <c r="BB1118" s="138"/>
      <c r="BC1118" s="138"/>
      <c r="BD1118" s="138"/>
      <c r="BE1118" s="138"/>
      <c r="BF1118" s="138"/>
      <c r="BG1118" s="138"/>
      <c r="BH1118" s="138"/>
      <c r="BI1118" s="138"/>
      <c r="BJ1118" s="138"/>
      <c r="BK1118" s="138"/>
      <c r="BL1118" s="138"/>
      <c r="BM1118" s="138"/>
      <c r="BN1118" s="138"/>
      <c r="BO1118" s="138"/>
    </row>
    <row r="1119" spans="1:67" x14ac:dyDescent="0.2">
      <c r="A1119" s="189"/>
      <c r="B1119" s="190"/>
      <c r="C1119" s="191"/>
      <c r="D1119" s="192"/>
      <c r="E1119" s="192"/>
      <c r="F1119" s="192"/>
      <c r="G1119" s="192"/>
      <c r="H1119" s="192"/>
      <c r="I1119" s="203"/>
      <c r="J1119" s="273"/>
      <c r="K1119" s="245">
        <f>SUM(K1115:K1118)</f>
        <v>80850</v>
      </c>
      <c r="L1119" s="197"/>
      <c r="M1119" s="197"/>
      <c r="AV1119" s="138"/>
      <c r="AW1119" s="138"/>
      <c r="AX1119" s="138"/>
      <c r="AY1119" s="138"/>
      <c r="AZ1119" s="138"/>
      <c r="BA1119" s="138"/>
      <c r="BB1119" s="138"/>
      <c r="BC1119" s="138"/>
      <c r="BD1119" s="138"/>
      <c r="BE1119" s="138"/>
      <c r="BF1119" s="138"/>
      <c r="BG1119" s="138"/>
      <c r="BH1119" s="138"/>
      <c r="BI1119" s="138"/>
      <c r="BJ1119" s="138"/>
      <c r="BK1119" s="138"/>
      <c r="BL1119" s="138"/>
      <c r="BM1119" s="138"/>
      <c r="BN1119" s="138"/>
      <c r="BO1119" s="138"/>
    </row>
    <row r="1120" spans="1:67" ht="23.25" customHeight="1" x14ac:dyDescent="0.2">
      <c r="A1120" s="167">
        <v>280</v>
      </c>
      <c r="B1120" s="168" t="s">
        <v>1538</v>
      </c>
      <c r="C1120" s="169"/>
      <c r="D1120" s="170" t="s">
        <v>163</v>
      </c>
      <c r="E1120" s="170"/>
      <c r="F1120" s="170"/>
      <c r="G1120" s="170"/>
      <c r="H1120" s="170"/>
      <c r="I1120" s="274" t="s">
        <v>1539</v>
      </c>
      <c r="J1120" s="247" t="s">
        <v>1368</v>
      </c>
      <c r="K1120" s="276">
        <f>154000*80%</f>
        <v>123200</v>
      </c>
      <c r="L1120" s="175" t="s">
        <v>166</v>
      </c>
      <c r="M1120" s="175" t="s">
        <v>1540</v>
      </c>
      <c r="AV1120" s="138"/>
      <c r="AW1120" s="138"/>
      <c r="AX1120" s="138"/>
      <c r="AY1120" s="138"/>
      <c r="AZ1120" s="138"/>
      <c r="BA1120" s="138"/>
      <c r="BB1120" s="138"/>
      <c r="BC1120" s="138"/>
      <c r="BD1120" s="138"/>
      <c r="BE1120" s="138"/>
      <c r="BF1120" s="138"/>
      <c r="BG1120" s="138"/>
      <c r="BH1120" s="138"/>
      <c r="BI1120" s="138"/>
      <c r="BJ1120" s="138"/>
      <c r="BK1120" s="138"/>
      <c r="BL1120" s="138"/>
      <c r="BM1120" s="138"/>
      <c r="BN1120" s="138"/>
      <c r="BO1120" s="138"/>
    </row>
    <row r="1121" spans="1:67" ht="48" x14ac:dyDescent="0.2">
      <c r="A1121" s="177"/>
      <c r="B1121" s="178"/>
      <c r="C1121" s="179"/>
      <c r="D1121" s="180"/>
      <c r="E1121" s="180"/>
      <c r="F1121" s="180"/>
      <c r="G1121" s="180"/>
      <c r="H1121" s="180"/>
      <c r="I1121" s="188" t="s">
        <v>746</v>
      </c>
      <c r="J1121" s="207" t="s">
        <v>664</v>
      </c>
      <c r="K1121" s="214">
        <f>154000*5%</f>
        <v>7700</v>
      </c>
      <c r="L1121" s="185"/>
      <c r="M1121" s="185"/>
      <c r="AV1121" s="138"/>
      <c r="AW1121" s="138"/>
      <c r="AX1121" s="138"/>
      <c r="AY1121" s="138"/>
      <c r="AZ1121" s="138"/>
      <c r="BA1121" s="138"/>
      <c r="BB1121" s="138"/>
      <c r="BC1121" s="138"/>
      <c r="BD1121" s="138"/>
      <c r="BE1121" s="138"/>
      <c r="BF1121" s="138"/>
      <c r="BG1121" s="138"/>
      <c r="BH1121" s="138"/>
      <c r="BI1121" s="138"/>
      <c r="BJ1121" s="138"/>
      <c r="BK1121" s="138"/>
      <c r="BL1121" s="138"/>
      <c r="BM1121" s="138"/>
      <c r="BN1121" s="138"/>
      <c r="BO1121" s="138"/>
    </row>
    <row r="1122" spans="1:67" x14ac:dyDescent="0.2">
      <c r="A1122" s="177"/>
      <c r="B1122" s="178"/>
      <c r="C1122" s="179"/>
      <c r="D1122" s="180"/>
      <c r="E1122" s="180"/>
      <c r="F1122" s="180"/>
      <c r="G1122" s="180"/>
      <c r="H1122" s="180"/>
      <c r="I1122" s="188" t="s">
        <v>744</v>
      </c>
      <c r="J1122" s="207" t="s">
        <v>664</v>
      </c>
      <c r="K1122" s="214">
        <f>154000*5%</f>
        <v>7700</v>
      </c>
      <c r="L1122" s="185"/>
      <c r="M1122" s="185"/>
      <c r="AV1122" s="138"/>
      <c r="AW1122" s="138"/>
      <c r="AX1122" s="138"/>
      <c r="AY1122" s="138"/>
      <c r="AZ1122" s="138"/>
      <c r="BA1122" s="138"/>
      <c r="BB1122" s="138"/>
      <c r="BC1122" s="138"/>
      <c r="BD1122" s="138"/>
      <c r="BE1122" s="138"/>
      <c r="BF1122" s="138"/>
      <c r="BG1122" s="138"/>
      <c r="BH1122" s="138"/>
      <c r="BI1122" s="138"/>
      <c r="BJ1122" s="138"/>
      <c r="BK1122" s="138"/>
      <c r="BL1122" s="138"/>
      <c r="BM1122" s="138"/>
      <c r="BN1122" s="138"/>
      <c r="BO1122" s="138"/>
    </row>
    <row r="1123" spans="1:67" x14ac:dyDescent="0.2">
      <c r="A1123" s="177"/>
      <c r="B1123" s="178"/>
      <c r="C1123" s="179"/>
      <c r="D1123" s="180"/>
      <c r="E1123" s="180"/>
      <c r="F1123" s="180"/>
      <c r="G1123" s="180"/>
      <c r="H1123" s="180"/>
      <c r="I1123" s="188" t="s">
        <v>1541</v>
      </c>
      <c r="J1123" s="207" t="s">
        <v>274</v>
      </c>
      <c r="K1123" s="214">
        <f>154000*5%</f>
        <v>7700</v>
      </c>
      <c r="L1123" s="185"/>
      <c r="M1123" s="185"/>
      <c r="AV1123" s="138"/>
      <c r="AW1123" s="138"/>
      <c r="AX1123" s="138"/>
      <c r="AY1123" s="138"/>
      <c r="AZ1123" s="138"/>
      <c r="BA1123" s="138"/>
      <c r="BB1123" s="138"/>
      <c r="BC1123" s="138"/>
      <c r="BD1123" s="138"/>
      <c r="BE1123" s="138"/>
      <c r="BF1123" s="138"/>
      <c r="BG1123" s="138"/>
      <c r="BH1123" s="138"/>
      <c r="BI1123" s="138"/>
      <c r="BJ1123" s="138"/>
      <c r="BK1123" s="138"/>
      <c r="BL1123" s="138"/>
      <c r="BM1123" s="138"/>
      <c r="BN1123" s="138"/>
      <c r="BO1123" s="138"/>
    </row>
    <row r="1124" spans="1:67" x14ac:dyDescent="0.2">
      <c r="A1124" s="177"/>
      <c r="B1124" s="178"/>
      <c r="C1124" s="179"/>
      <c r="D1124" s="180"/>
      <c r="E1124" s="180"/>
      <c r="F1124" s="180"/>
      <c r="G1124" s="180"/>
      <c r="H1124" s="180"/>
      <c r="I1124" s="188" t="s">
        <v>1521</v>
      </c>
      <c r="J1124" s="207" t="s">
        <v>664</v>
      </c>
      <c r="K1124" s="214">
        <f>154000*5%</f>
        <v>7700</v>
      </c>
      <c r="L1124" s="185"/>
      <c r="M1124" s="185"/>
      <c r="AV1124" s="138"/>
      <c r="AW1124" s="138"/>
      <c r="AX1124" s="138"/>
      <c r="AY1124" s="138"/>
      <c r="AZ1124" s="138"/>
      <c r="BA1124" s="138"/>
      <c r="BB1124" s="138"/>
      <c r="BC1124" s="138"/>
      <c r="BD1124" s="138"/>
      <c r="BE1124" s="138"/>
      <c r="BF1124" s="138"/>
      <c r="BG1124" s="138"/>
      <c r="BH1124" s="138"/>
      <c r="BI1124" s="138"/>
      <c r="BJ1124" s="138"/>
      <c r="BK1124" s="138"/>
      <c r="BL1124" s="138"/>
      <c r="BM1124" s="138"/>
      <c r="BN1124" s="138"/>
      <c r="BO1124" s="138"/>
    </row>
    <row r="1125" spans="1:67" x14ac:dyDescent="0.2">
      <c r="A1125" s="189"/>
      <c r="B1125" s="190"/>
      <c r="C1125" s="191"/>
      <c r="D1125" s="192"/>
      <c r="E1125" s="192"/>
      <c r="F1125" s="192"/>
      <c r="G1125" s="192"/>
      <c r="H1125" s="192"/>
      <c r="I1125" s="203"/>
      <c r="J1125" s="204"/>
      <c r="K1125" s="211">
        <f>SUM(K1120:K1124)</f>
        <v>154000</v>
      </c>
      <c r="L1125" s="197"/>
      <c r="M1125" s="197"/>
      <c r="AV1125" s="138"/>
      <c r="AW1125" s="138"/>
      <c r="AX1125" s="138"/>
      <c r="AY1125" s="138"/>
      <c r="AZ1125" s="138"/>
      <c r="BA1125" s="138"/>
      <c r="BB1125" s="138"/>
      <c r="BC1125" s="138"/>
      <c r="BD1125" s="138"/>
      <c r="BE1125" s="138"/>
      <c r="BF1125" s="138"/>
      <c r="BG1125" s="138"/>
      <c r="BH1125" s="138"/>
      <c r="BI1125" s="138"/>
      <c r="BJ1125" s="138"/>
      <c r="BK1125" s="138"/>
      <c r="BL1125" s="138"/>
      <c r="BM1125" s="138"/>
      <c r="BN1125" s="138"/>
      <c r="BO1125" s="138"/>
    </row>
    <row r="1126" spans="1:67" ht="23.25" customHeight="1" x14ac:dyDescent="0.2">
      <c r="A1126" s="167">
        <v>281</v>
      </c>
      <c r="B1126" s="168" t="s">
        <v>1542</v>
      </c>
      <c r="C1126" s="169"/>
      <c r="D1126" s="170" t="s">
        <v>163</v>
      </c>
      <c r="E1126" s="170"/>
      <c r="F1126" s="170"/>
      <c r="G1126" s="170"/>
      <c r="H1126" s="170" t="s">
        <v>164</v>
      </c>
      <c r="I1126" s="217" t="s">
        <v>1543</v>
      </c>
      <c r="J1126" s="247" t="s">
        <v>1368</v>
      </c>
      <c r="K1126" s="210">
        <f>150000*50%</f>
        <v>75000</v>
      </c>
      <c r="L1126" s="175" t="s">
        <v>166</v>
      </c>
      <c r="M1126" s="175" t="s">
        <v>1544</v>
      </c>
      <c r="AV1126" s="138"/>
      <c r="AW1126" s="138"/>
      <c r="AX1126" s="138"/>
      <c r="AY1126" s="138"/>
      <c r="AZ1126" s="138"/>
      <c r="BA1126" s="138"/>
      <c r="BB1126" s="138"/>
      <c r="BC1126" s="138"/>
      <c r="BD1126" s="138"/>
      <c r="BE1126" s="138"/>
      <c r="BF1126" s="138"/>
      <c r="BG1126" s="138"/>
      <c r="BH1126" s="138"/>
      <c r="BI1126" s="138"/>
      <c r="BJ1126" s="138"/>
      <c r="BK1126" s="138"/>
      <c r="BL1126" s="138"/>
      <c r="BM1126" s="138"/>
      <c r="BN1126" s="138"/>
      <c r="BO1126" s="138"/>
    </row>
    <row r="1127" spans="1:67" x14ac:dyDescent="0.2">
      <c r="A1127" s="177"/>
      <c r="B1127" s="178"/>
      <c r="C1127" s="179"/>
      <c r="D1127" s="180"/>
      <c r="E1127" s="180"/>
      <c r="F1127" s="180"/>
      <c r="G1127" s="180"/>
      <c r="H1127" s="180"/>
      <c r="I1127" s="188" t="s">
        <v>1545</v>
      </c>
      <c r="J1127" s="207" t="s">
        <v>664</v>
      </c>
      <c r="K1127" s="214">
        <f>150000*50%</f>
        <v>75000</v>
      </c>
      <c r="L1127" s="185"/>
      <c r="M1127" s="185"/>
      <c r="AV1127" s="138"/>
      <c r="AW1127" s="138"/>
      <c r="AX1127" s="138"/>
      <c r="AY1127" s="138"/>
      <c r="AZ1127" s="138"/>
      <c r="BA1127" s="138"/>
      <c r="BB1127" s="138"/>
      <c r="BC1127" s="138"/>
      <c r="BD1127" s="138"/>
      <c r="BE1127" s="138"/>
      <c r="BF1127" s="138"/>
      <c r="BG1127" s="138"/>
      <c r="BH1127" s="138"/>
      <c r="BI1127" s="138"/>
      <c r="BJ1127" s="138"/>
      <c r="BK1127" s="138"/>
      <c r="BL1127" s="138"/>
      <c r="BM1127" s="138"/>
      <c r="BN1127" s="138"/>
      <c r="BO1127" s="138"/>
    </row>
    <row r="1128" spans="1:67" x14ac:dyDescent="0.2">
      <c r="A1128" s="189"/>
      <c r="B1128" s="190"/>
      <c r="C1128" s="191"/>
      <c r="D1128" s="192"/>
      <c r="E1128" s="192"/>
      <c r="F1128" s="192"/>
      <c r="G1128" s="192"/>
      <c r="H1128" s="192"/>
      <c r="I1128" s="203"/>
      <c r="J1128" s="204"/>
      <c r="K1128" s="211">
        <f>SUM(K1126:K1127)</f>
        <v>150000</v>
      </c>
      <c r="L1128" s="197"/>
      <c r="M1128" s="197"/>
      <c r="AV1128" s="138"/>
      <c r="AW1128" s="138"/>
      <c r="AX1128" s="138"/>
      <c r="AY1128" s="138"/>
      <c r="AZ1128" s="138"/>
      <c r="BA1128" s="138"/>
      <c r="BB1128" s="138"/>
      <c r="BC1128" s="138"/>
      <c r="BD1128" s="138"/>
      <c r="BE1128" s="138"/>
      <c r="BF1128" s="138"/>
      <c r="BG1128" s="138"/>
      <c r="BH1128" s="138"/>
      <c r="BI1128" s="138"/>
      <c r="BJ1128" s="138"/>
      <c r="BK1128" s="138"/>
      <c r="BL1128" s="138"/>
      <c r="BM1128" s="138"/>
      <c r="BN1128" s="138"/>
      <c r="BO1128" s="138"/>
    </row>
    <row r="1129" spans="1:67" ht="24" customHeight="1" x14ac:dyDescent="0.2">
      <c r="A1129" s="167">
        <v>282</v>
      </c>
      <c r="B1129" s="168" t="s">
        <v>1546</v>
      </c>
      <c r="C1129" s="169"/>
      <c r="D1129" s="170" t="s">
        <v>163</v>
      </c>
      <c r="E1129" s="170"/>
      <c r="F1129" s="170"/>
      <c r="G1129" s="170"/>
      <c r="H1129" s="170" t="s">
        <v>164</v>
      </c>
      <c r="I1129" s="274" t="s">
        <v>1547</v>
      </c>
      <c r="J1129" s="247" t="s">
        <v>1368</v>
      </c>
      <c r="K1129" s="212">
        <f>80850*55%</f>
        <v>44467.5</v>
      </c>
      <c r="L1129" s="174" t="s">
        <v>166</v>
      </c>
      <c r="M1129" s="175" t="s">
        <v>1548</v>
      </c>
      <c r="AV1129" s="138"/>
      <c r="AW1129" s="138"/>
      <c r="AX1129" s="138"/>
      <c r="AY1129" s="138"/>
      <c r="AZ1129" s="138"/>
      <c r="BA1129" s="138"/>
      <c r="BB1129" s="138"/>
      <c r="BC1129" s="138"/>
      <c r="BD1129" s="138"/>
      <c r="BE1129" s="138"/>
      <c r="BF1129" s="138"/>
      <c r="BG1129" s="138"/>
      <c r="BH1129" s="138"/>
      <c r="BI1129" s="138"/>
      <c r="BJ1129" s="138"/>
      <c r="BK1129" s="138"/>
      <c r="BL1129" s="138"/>
      <c r="BM1129" s="138"/>
      <c r="BN1129" s="138"/>
      <c r="BO1129" s="138"/>
    </row>
    <row r="1130" spans="1:67" ht="48" x14ac:dyDescent="0.2">
      <c r="A1130" s="177"/>
      <c r="B1130" s="178"/>
      <c r="C1130" s="179"/>
      <c r="D1130" s="180"/>
      <c r="E1130" s="180"/>
      <c r="F1130" s="180"/>
      <c r="G1130" s="180"/>
      <c r="H1130" s="180"/>
      <c r="I1130" s="188" t="s">
        <v>1549</v>
      </c>
      <c r="J1130" s="207" t="s">
        <v>664</v>
      </c>
      <c r="K1130" s="229">
        <f>80850*15%</f>
        <v>12127.5</v>
      </c>
      <c r="L1130" s="184"/>
      <c r="M1130" s="185"/>
      <c r="AV1130" s="138"/>
      <c r="AW1130" s="138"/>
      <c r="AX1130" s="138"/>
      <c r="AY1130" s="138"/>
      <c r="AZ1130" s="138"/>
      <c r="BA1130" s="138"/>
      <c r="BB1130" s="138"/>
      <c r="BC1130" s="138"/>
      <c r="BD1130" s="138"/>
      <c r="BE1130" s="138"/>
      <c r="BF1130" s="138"/>
      <c r="BG1130" s="138"/>
      <c r="BH1130" s="138"/>
      <c r="BI1130" s="138"/>
      <c r="BJ1130" s="138"/>
      <c r="BK1130" s="138"/>
      <c r="BL1130" s="138"/>
      <c r="BM1130" s="138"/>
      <c r="BN1130" s="138"/>
      <c r="BO1130" s="138"/>
    </row>
    <row r="1131" spans="1:67" x14ac:dyDescent="0.2">
      <c r="A1131" s="177"/>
      <c r="B1131" s="178"/>
      <c r="C1131" s="179"/>
      <c r="D1131" s="180"/>
      <c r="E1131" s="180"/>
      <c r="F1131" s="180"/>
      <c r="G1131" s="180"/>
      <c r="H1131" s="180"/>
      <c r="I1131" s="188" t="s">
        <v>1550</v>
      </c>
      <c r="J1131" s="207" t="s">
        <v>664</v>
      </c>
      <c r="K1131" s="229">
        <f>80850*15%</f>
        <v>12127.5</v>
      </c>
      <c r="L1131" s="184"/>
      <c r="M1131" s="185"/>
      <c r="AV1131" s="138"/>
      <c r="AW1131" s="138"/>
      <c r="AX1131" s="138"/>
      <c r="AY1131" s="138"/>
      <c r="AZ1131" s="138"/>
      <c r="BA1131" s="138"/>
      <c r="BB1131" s="138"/>
      <c r="BC1131" s="138"/>
      <c r="BD1131" s="138"/>
      <c r="BE1131" s="138"/>
      <c r="BF1131" s="138"/>
      <c r="BG1131" s="138"/>
      <c r="BH1131" s="138"/>
      <c r="BI1131" s="138"/>
      <c r="BJ1131" s="138"/>
      <c r="BK1131" s="138"/>
      <c r="BL1131" s="138"/>
      <c r="BM1131" s="138"/>
      <c r="BN1131" s="138"/>
      <c r="BO1131" s="138"/>
    </row>
    <row r="1132" spans="1:67" x14ac:dyDescent="0.2">
      <c r="A1132" s="177"/>
      <c r="B1132" s="178"/>
      <c r="C1132" s="179"/>
      <c r="D1132" s="180"/>
      <c r="E1132" s="180"/>
      <c r="F1132" s="180"/>
      <c r="G1132" s="180"/>
      <c r="H1132" s="180"/>
      <c r="I1132" s="188" t="s">
        <v>1551</v>
      </c>
      <c r="J1132" s="207" t="s">
        <v>664</v>
      </c>
      <c r="K1132" s="229">
        <f>80850*5%</f>
        <v>4042.5</v>
      </c>
      <c r="L1132" s="184"/>
      <c r="M1132" s="185"/>
      <c r="AV1132" s="138"/>
      <c r="AW1132" s="138"/>
      <c r="AX1132" s="138"/>
      <c r="AY1132" s="138"/>
      <c r="AZ1132" s="138"/>
      <c r="BA1132" s="138"/>
      <c r="BB1132" s="138"/>
      <c r="BC1132" s="138"/>
      <c r="BD1132" s="138"/>
      <c r="BE1132" s="138"/>
      <c r="BF1132" s="138"/>
      <c r="BG1132" s="138"/>
      <c r="BH1132" s="138"/>
      <c r="BI1132" s="138"/>
      <c r="BJ1132" s="138"/>
      <c r="BK1132" s="138"/>
      <c r="BL1132" s="138"/>
      <c r="BM1132" s="138"/>
      <c r="BN1132" s="138"/>
      <c r="BO1132" s="138"/>
    </row>
    <row r="1133" spans="1:67" x14ac:dyDescent="0.2">
      <c r="A1133" s="177"/>
      <c r="B1133" s="178"/>
      <c r="C1133" s="179"/>
      <c r="D1133" s="180"/>
      <c r="E1133" s="180"/>
      <c r="F1133" s="180"/>
      <c r="G1133" s="180"/>
      <c r="H1133" s="180"/>
      <c r="I1133" s="188" t="s">
        <v>1379</v>
      </c>
      <c r="J1133" s="207" t="s">
        <v>664</v>
      </c>
      <c r="K1133" s="229">
        <f>80850*5%</f>
        <v>4042.5</v>
      </c>
      <c r="L1133" s="184"/>
      <c r="M1133" s="185"/>
      <c r="AV1133" s="138"/>
      <c r="AW1133" s="138"/>
      <c r="AX1133" s="138"/>
      <c r="AY1133" s="138"/>
      <c r="AZ1133" s="138"/>
      <c r="BA1133" s="138"/>
      <c r="BB1133" s="138"/>
      <c r="BC1133" s="138"/>
      <c r="BD1133" s="138"/>
      <c r="BE1133" s="138"/>
      <c r="BF1133" s="138"/>
      <c r="BG1133" s="138"/>
      <c r="BH1133" s="138"/>
      <c r="BI1133" s="138"/>
      <c r="BJ1133" s="138"/>
      <c r="BK1133" s="138"/>
      <c r="BL1133" s="138"/>
      <c r="BM1133" s="138"/>
      <c r="BN1133" s="138"/>
      <c r="BO1133" s="138"/>
    </row>
    <row r="1134" spans="1:67" x14ac:dyDescent="0.2">
      <c r="A1134" s="177"/>
      <c r="B1134" s="178"/>
      <c r="C1134" s="179"/>
      <c r="D1134" s="180"/>
      <c r="E1134" s="180"/>
      <c r="F1134" s="180"/>
      <c r="G1134" s="180"/>
      <c r="H1134" s="180"/>
      <c r="I1134" s="188" t="s">
        <v>1552</v>
      </c>
      <c r="J1134" s="207" t="s">
        <v>664</v>
      </c>
      <c r="K1134" s="229">
        <f>80850*5%</f>
        <v>4042.5</v>
      </c>
      <c r="L1134" s="184"/>
      <c r="M1134" s="185"/>
      <c r="AV1134" s="138"/>
      <c r="AW1134" s="138"/>
      <c r="AX1134" s="138"/>
      <c r="AY1134" s="138"/>
      <c r="AZ1134" s="138"/>
      <c r="BA1134" s="138"/>
      <c r="BB1134" s="138"/>
      <c r="BC1134" s="138"/>
      <c r="BD1134" s="138"/>
      <c r="BE1134" s="138"/>
      <c r="BF1134" s="138"/>
      <c r="BG1134" s="138"/>
      <c r="BH1134" s="138"/>
      <c r="BI1134" s="138"/>
      <c r="BJ1134" s="138"/>
      <c r="BK1134" s="138"/>
      <c r="BL1134" s="138"/>
      <c r="BM1134" s="138"/>
      <c r="BN1134" s="138"/>
      <c r="BO1134" s="138"/>
    </row>
    <row r="1135" spans="1:67" x14ac:dyDescent="0.2">
      <c r="A1135" s="189"/>
      <c r="B1135" s="190"/>
      <c r="C1135" s="191"/>
      <c r="D1135" s="192"/>
      <c r="E1135" s="192"/>
      <c r="F1135" s="192"/>
      <c r="G1135" s="192"/>
      <c r="H1135" s="192"/>
      <c r="I1135" s="203"/>
      <c r="J1135" s="204"/>
      <c r="K1135" s="216">
        <f>SUM(K1129:K1134)</f>
        <v>80850</v>
      </c>
      <c r="L1135" s="196"/>
      <c r="M1135" s="197"/>
      <c r="AV1135" s="138"/>
      <c r="AW1135" s="138"/>
      <c r="AX1135" s="138"/>
      <c r="AY1135" s="138"/>
      <c r="AZ1135" s="138"/>
      <c r="BA1135" s="138"/>
      <c r="BB1135" s="138"/>
      <c r="BC1135" s="138"/>
      <c r="BD1135" s="138"/>
      <c r="BE1135" s="138"/>
      <c r="BF1135" s="138"/>
      <c r="BG1135" s="138"/>
      <c r="BH1135" s="138"/>
      <c r="BI1135" s="138"/>
      <c r="BJ1135" s="138"/>
      <c r="BK1135" s="138"/>
      <c r="BL1135" s="138"/>
      <c r="BM1135" s="138"/>
      <c r="BN1135" s="138"/>
      <c r="BO1135" s="138"/>
    </row>
    <row r="1136" spans="1:67" ht="21.75" customHeight="1" x14ac:dyDescent="0.2">
      <c r="A1136" s="167">
        <v>283</v>
      </c>
      <c r="B1136" s="168" t="s">
        <v>1553</v>
      </c>
      <c r="C1136" s="169"/>
      <c r="D1136" s="170" t="s">
        <v>163</v>
      </c>
      <c r="E1136" s="170"/>
      <c r="F1136" s="170"/>
      <c r="G1136" s="170"/>
      <c r="H1136" s="170"/>
      <c r="I1136" s="274" t="s">
        <v>1554</v>
      </c>
      <c r="J1136" s="247" t="s">
        <v>1368</v>
      </c>
      <c r="K1136" s="210">
        <f>150000*65%</f>
        <v>97500</v>
      </c>
      <c r="L1136" s="175" t="s">
        <v>166</v>
      </c>
      <c r="M1136" s="175" t="s">
        <v>1555</v>
      </c>
      <c r="AV1136" s="138"/>
      <c r="AW1136" s="138"/>
      <c r="AX1136" s="138"/>
      <c r="AY1136" s="138"/>
      <c r="AZ1136" s="138"/>
      <c r="BA1136" s="138"/>
      <c r="BB1136" s="138"/>
      <c r="BC1136" s="138"/>
      <c r="BD1136" s="138"/>
      <c r="BE1136" s="138"/>
      <c r="BF1136" s="138"/>
      <c r="BG1136" s="138"/>
      <c r="BH1136" s="138"/>
      <c r="BI1136" s="138"/>
      <c r="BJ1136" s="138"/>
      <c r="BK1136" s="138"/>
      <c r="BL1136" s="138"/>
      <c r="BM1136" s="138"/>
      <c r="BN1136" s="138"/>
      <c r="BO1136" s="138"/>
    </row>
    <row r="1137" spans="1:67" x14ac:dyDescent="0.2">
      <c r="A1137" s="177"/>
      <c r="B1137" s="178"/>
      <c r="C1137" s="179"/>
      <c r="D1137" s="180"/>
      <c r="E1137" s="180"/>
      <c r="F1137" s="180"/>
      <c r="G1137" s="180"/>
      <c r="H1137" s="180"/>
      <c r="I1137" s="188" t="s">
        <v>1556</v>
      </c>
      <c r="J1137" s="207" t="s">
        <v>274</v>
      </c>
      <c r="K1137" s="214">
        <f t="shared" ref="K1137:K1143" si="21">150000*5%</f>
        <v>7500</v>
      </c>
      <c r="L1137" s="185"/>
      <c r="M1137" s="185"/>
      <c r="AV1137" s="138"/>
      <c r="AW1137" s="138"/>
      <c r="AX1137" s="138"/>
      <c r="AY1137" s="138"/>
      <c r="AZ1137" s="138"/>
      <c r="BA1137" s="138"/>
      <c r="BB1137" s="138"/>
      <c r="BC1137" s="138"/>
      <c r="BD1137" s="138"/>
      <c r="BE1137" s="138"/>
      <c r="BF1137" s="138"/>
      <c r="BG1137" s="138"/>
      <c r="BH1137" s="138"/>
      <c r="BI1137" s="138"/>
      <c r="BJ1137" s="138"/>
      <c r="BK1137" s="138"/>
      <c r="BL1137" s="138"/>
      <c r="BM1137" s="138"/>
      <c r="BN1137" s="138"/>
      <c r="BO1137" s="138"/>
    </row>
    <row r="1138" spans="1:67" x14ac:dyDescent="0.2">
      <c r="A1138" s="177"/>
      <c r="B1138" s="178"/>
      <c r="C1138" s="179"/>
      <c r="D1138" s="180"/>
      <c r="E1138" s="180"/>
      <c r="F1138" s="180"/>
      <c r="G1138" s="180"/>
      <c r="H1138" s="180"/>
      <c r="I1138" s="188" t="s">
        <v>1487</v>
      </c>
      <c r="J1138" s="207" t="s">
        <v>664</v>
      </c>
      <c r="K1138" s="214">
        <f t="shared" si="21"/>
        <v>7500</v>
      </c>
      <c r="L1138" s="185"/>
      <c r="M1138" s="185"/>
      <c r="AV1138" s="138"/>
      <c r="AW1138" s="138"/>
      <c r="AX1138" s="138"/>
      <c r="AY1138" s="138"/>
      <c r="AZ1138" s="138"/>
      <c r="BA1138" s="138"/>
      <c r="BB1138" s="138"/>
      <c r="BC1138" s="138"/>
      <c r="BD1138" s="138"/>
      <c r="BE1138" s="138"/>
      <c r="BF1138" s="138"/>
      <c r="BG1138" s="138"/>
      <c r="BH1138" s="138"/>
      <c r="BI1138" s="138"/>
      <c r="BJ1138" s="138"/>
      <c r="BK1138" s="138"/>
      <c r="BL1138" s="138"/>
      <c r="BM1138" s="138"/>
      <c r="BN1138" s="138"/>
      <c r="BO1138" s="138"/>
    </row>
    <row r="1139" spans="1:67" x14ac:dyDescent="0.2">
      <c r="A1139" s="177"/>
      <c r="B1139" s="178"/>
      <c r="C1139" s="179"/>
      <c r="D1139" s="180"/>
      <c r="E1139" s="180"/>
      <c r="F1139" s="180"/>
      <c r="G1139" s="180"/>
      <c r="H1139" s="180"/>
      <c r="I1139" s="188" t="s">
        <v>1557</v>
      </c>
      <c r="J1139" s="207" t="s">
        <v>664</v>
      </c>
      <c r="K1139" s="214">
        <f t="shared" si="21"/>
        <v>7500</v>
      </c>
      <c r="L1139" s="185"/>
      <c r="M1139" s="185"/>
      <c r="AV1139" s="138"/>
      <c r="AW1139" s="138"/>
      <c r="AX1139" s="138"/>
      <c r="AY1139" s="138"/>
      <c r="AZ1139" s="138"/>
      <c r="BA1139" s="138"/>
      <c r="BB1139" s="138"/>
      <c r="BC1139" s="138"/>
      <c r="BD1139" s="138"/>
      <c r="BE1139" s="138"/>
      <c r="BF1139" s="138"/>
      <c r="BG1139" s="138"/>
      <c r="BH1139" s="138"/>
      <c r="BI1139" s="138"/>
      <c r="BJ1139" s="138"/>
      <c r="BK1139" s="138"/>
      <c r="BL1139" s="138"/>
      <c r="BM1139" s="138"/>
      <c r="BN1139" s="138"/>
      <c r="BO1139" s="138"/>
    </row>
    <row r="1140" spans="1:67" x14ac:dyDescent="0.2">
      <c r="A1140" s="177"/>
      <c r="B1140" s="178"/>
      <c r="C1140" s="179"/>
      <c r="D1140" s="180"/>
      <c r="E1140" s="180"/>
      <c r="F1140" s="180"/>
      <c r="G1140" s="180"/>
      <c r="H1140" s="180"/>
      <c r="I1140" s="188" t="s">
        <v>1558</v>
      </c>
      <c r="J1140" s="207" t="s">
        <v>1559</v>
      </c>
      <c r="K1140" s="214">
        <f t="shared" si="21"/>
        <v>7500</v>
      </c>
      <c r="L1140" s="185"/>
      <c r="M1140" s="185"/>
      <c r="AV1140" s="138"/>
      <c r="AW1140" s="138"/>
      <c r="AX1140" s="138"/>
      <c r="AY1140" s="138"/>
      <c r="AZ1140" s="138"/>
      <c r="BA1140" s="138"/>
      <c r="BB1140" s="138"/>
      <c r="BC1140" s="138"/>
      <c r="BD1140" s="138"/>
      <c r="BE1140" s="138"/>
      <c r="BF1140" s="138"/>
      <c r="BG1140" s="138"/>
      <c r="BH1140" s="138"/>
      <c r="BI1140" s="138"/>
      <c r="BJ1140" s="138"/>
      <c r="BK1140" s="138"/>
      <c r="BL1140" s="138"/>
      <c r="BM1140" s="138"/>
      <c r="BN1140" s="138"/>
      <c r="BO1140" s="138"/>
    </row>
    <row r="1141" spans="1:67" x14ac:dyDescent="0.2">
      <c r="A1141" s="177"/>
      <c r="B1141" s="178"/>
      <c r="C1141" s="179"/>
      <c r="D1141" s="180"/>
      <c r="E1141" s="180"/>
      <c r="F1141" s="180"/>
      <c r="G1141" s="180"/>
      <c r="H1141" s="180"/>
      <c r="I1141" s="188" t="s">
        <v>1560</v>
      </c>
      <c r="J1141" s="207" t="s">
        <v>664</v>
      </c>
      <c r="K1141" s="214">
        <f t="shared" si="21"/>
        <v>7500</v>
      </c>
      <c r="L1141" s="185"/>
      <c r="M1141" s="185"/>
      <c r="AV1141" s="138"/>
      <c r="AW1141" s="138"/>
      <c r="AX1141" s="138"/>
      <c r="AY1141" s="138"/>
      <c r="AZ1141" s="138"/>
      <c r="BA1141" s="138"/>
      <c r="BB1141" s="138"/>
      <c r="BC1141" s="138"/>
      <c r="BD1141" s="138"/>
      <c r="BE1141" s="138"/>
      <c r="BF1141" s="138"/>
      <c r="BG1141" s="138"/>
      <c r="BH1141" s="138"/>
      <c r="BI1141" s="138"/>
      <c r="BJ1141" s="138"/>
      <c r="BK1141" s="138"/>
      <c r="BL1141" s="138"/>
      <c r="BM1141" s="138"/>
      <c r="BN1141" s="138"/>
      <c r="BO1141" s="138"/>
    </row>
    <row r="1142" spans="1:67" x14ac:dyDescent="0.2">
      <c r="A1142" s="177"/>
      <c r="B1142" s="178"/>
      <c r="C1142" s="179"/>
      <c r="D1142" s="180"/>
      <c r="E1142" s="180"/>
      <c r="F1142" s="180"/>
      <c r="G1142" s="180"/>
      <c r="H1142" s="180"/>
      <c r="I1142" s="188" t="s">
        <v>1561</v>
      </c>
      <c r="J1142" s="207" t="s">
        <v>664</v>
      </c>
      <c r="K1142" s="214">
        <f t="shared" si="21"/>
        <v>7500</v>
      </c>
      <c r="L1142" s="185"/>
      <c r="M1142" s="185"/>
      <c r="AV1142" s="138"/>
      <c r="AW1142" s="138"/>
      <c r="AX1142" s="138"/>
      <c r="AY1142" s="138"/>
      <c r="AZ1142" s="138"/>
      <c r="BA1142" s="138"/>
      <c r="BB1142" s="138"/>
      <c r="BC1142" s="138"/>
      <c r="BD1142" s="138"/>
      <c r="BE1142" s="138"/>
      <c r="BF1142" s="138"/>
      <c r="BG1142" s="138"/>
      <c r="BH1142" s="138"/>
      <c r="BI1142" s="138"/>
      <c r="BJ1142" s="138"/>
      <c r="BK1142" s="138"/>
      <c r="BL1142" s="138"/>
      <c r="BM1142" s="138"/>
      <c r="BN1142" s="138"/>
      <c r="BO1142" s="138"/>
    </row>
    <row r="1143" spans="1:67" x14ac:dyDescent="0.2">
      <c r="A1143" s="177"/>
      <c r="B1143" s="178"/>
      <c r="C1143" s="179"/>
      <c r="D1143" s="180"/>
      <c r="E1143" s="180"/>
      <c r="F1143" s="180"/>
      <c r="G1143" s="180"/>
      <c r="H1143" s="180"/>
      <c r="I1143" s="188" t="s">
        <v>1562</v>
      </c>
      <c r="J1143" s="207" t="s">
        <v>664</v>
      </c>
      <c r="K1143" s="214">
        <f t="shared" si="21"/>
        <v>7500</v>
      </c>
      <c r="L1143" s="185"/>
      <c r="M1143" s="185"/>
      <c r="AV1143" s="138"/>
      <c r="AW1143" s="138"/>
      <c r="AX1143" s="138"/>
      <c r="AY1143" s="138"/>
      <c r="AZ1143" s="138"/>
      <c r="BA1143" s="138"/>
      <c r="BB1143" s="138"/>
      <c r="BC1143" s="138"/>
      <c r="BD1143" s="138"/>
      <c r="BE1143" s="138"/>
      <c r="BF1143" s="138"/>
      <c r="BG1143" s="138"/>
      <c r="BH1143" s="138"/>
      <c r="BI1143" s="138"/>
      <c r="BJ1143" s="138"/>
      <c r="BK1143" s="138"/>
      <c r="BL1143" s="138"/>
      <c r="BM1143" s="138"/>
      <c r="BN1143" s="138"/>
      <c r="BO1143" s="138"/>
    </row>
    <row r="1144" spans="1:67" x14ac:dyDescent="0.2">
      <c r="A1144" s="189"/>
      <c r="B1144" s="190"/>
      <c r="C1144" s="191"/>
      <c r="D1144" s="192"/>
      <c r="E1144" s="192"/>
      <c r="F1144" s="192"/>
      <c r="G1144" s="192"/>
      <c r="H1144" s="192"/>
      <c r="I1144" s="203"/>
      <c r="J1144" s="204"/>
      <c r="K1144" s="211">
        <f>SUM(K1136:K1143)</f>
        <v>150000</v>
      </c>
      <c r="L1144" s="197"/>
      <c r="M1144" s="197"/>
      <c r="AV1144" s="138"/>
      <c r="AW1144" s="138"/>
      <c r="AX1144" s="138"/>
      <c r="AY1144" s="138"/>
      <c r="AZ1144" s="138"/>
      <c r="BA1144" s="138"/>
      <c r="BB1144" s="138"/>
      <c r="BC1144" s="138"/>
      <c r="BD1144" s="138"/>
      <c r="BE1144" s="138"/>
      <c r="BF1144" s="138"/>
      <c r="BG1144" s="138"/>
      <c r="BH1144" s="138"/>
      <c r="BI1144" s="138"/>
      <c r="BJ1144" s="138"/>
      <c r="BK1144" s="138"/>
      <c r="BL1144" s="138"/>
      <c r="BM1144" s="138"/>
      <c r="BN1144" s="138"/>
      <c r="BO1144" s="138"/>
    </row>
    <row r="1145" spans="1:67" ht="24" customHeight="1" x14ac:dyDescent="0.2">
      <c r="A1145" s="167">
        <v>284</v>
      </c>
      <c r="B1145" s="168" t="s">
        <v>1563</v>
      </c>
      <c r="C1145" s="169"/>
      <c r="D1145" s="180" t="s">
        <v>163</v>
      </c>
      <c r="E1145" s="180"/>
      <c r="F1145" s="180"/>
      <c r="G1145" s="180"/>
      <c r="H1145" s="180"/>
      <c r="I1145" s="274" t="s">
        <v>1564</v>
      </c>
      <c r="J1145" s="247" t="s">
        <v>1524</v>
      </c>
      <c r="K1145" s="210">
        <f>195400*85%</f>
        <v>166090</v>
      </c>
      <c r="L1145" s="175" t="s">
        <v>166</v>
      </c>
      <c r="M1145" s="175" t="s">
        <v>1565</v>
      </c>
      <c r="AV1145" s="138"/>
      <c r="AW1145" s="138"/>
      <c r="AX1145" s="138"/>
      <c r="AY1145" s="138"/>
      <c r="AZ1145" s="138"/>
      <c r="BA1145" s="138"/>
      <c r="BB1145" s="138"/>
      <c r="BC1145" s="138"/>
      <c r="BD1145" s="138"/>
      <c r="BE1145" s="138"/>
      <c r="BF1145" s="138"/>
      <c r="BG1145" s="138"/>
      <c r="BH1145" s="138"/>
      <c r="BI1145" s="138"/>
      <c r="BJ1145" s="138"/>
      <c r="BK1145" s="138"/>
      <c r="BL1145" s="138"/>
      <c r="BM1145" s="138"/>
      <c r="BN1145" s="138"/>
      <c r="BO1145" s="138"/>
    </row>
    <row r="1146" spans="1:67" x14ac:dyDescent="0.2">
      <c r="A1146" s="177"/>
      <c r="B1146" s="178"/>
      <c r="C1146" s="179"/>
      <c r="D1146" s="180"/>
      <c r="E1146" s="180"/>
      <c r="F1146" s="180"/>
      <c r="G1146" s="180"/>
      <c r="H1146" s="180"/>
      <c r="I1146" s="188" t="s">
        <v>1557</v>
      </c>
      <c r="J1146" s="207" t="s">
        <v>664</v>
      </c>
      <c r="K1146" s="214">
        <f>195400*5%</f>
        <v>9770</v>
      </c>
      <c r="L1146" s="185"/>
      <c r="M1146" s="185"/>
      <c r="AV1146" s="138"/>
      <c r="AW1146" s="138"/>
      <c r="AX1146" s="138"/>
      <c r="AY1146" s="138"/>
      <c r="AZ1146" s="138"/>
      <c r="BA1146" s="138"/>
      <c r="BB1146" s="138"/>
      <c r="BC1146" s="138"/>
      <c r="BD1146" s="138"/>
      <c r="BE1146" s="138"/>
      <c r="BF1146" s="138"/>
      <c r="BG1146" s="138"/>
      <c r="BH1146" s="138"/>
      <c r="BI1146" s="138"/>
      <c r="BJ1146" s="138"/>
      <c r="BK1146" s="138"/>
      <c r="BL1146" s="138"/>
      <c r="BM1146" s="138"/>
      <c r="BN1146" s="138"/>
      <c r="BO1146" s="138"/>
    </row>
    <row r="1147" spans="1:67" x14ac:dyDescent="0.2">
      <c r="A1147" s="177"/>
      <c r="B1147" s="178"/>
      <c r="C1147" s="179"/>
      <c r="D1147" s="180"/>
      <c r="E1147" s="180"/>
      <c r="F1147" s="180"/>
      <c r="G1147" s="180"/>
      <c r="H1147" s="180"/>
      <c r="I1147" s="188" t="s">
        <v>1560</v>
      </c>
      <c r="J1147" s="207" t="s">
        <v>664</v>
      </c>
      <c r="K1147" s="214">
        <f>195400*5%</f>
        <v>9770</v>
      </c>
      <c r="L1147" s="185"/>
      <c r="M1147" s="185"/>
      <c r="AV1147" s="138"/>
      <c r="AW1147" s="138"/>
      <c r="AX1147" s="138"/>
      <c r="AY1147" s="138"/>
      <c r="AZ1147" s="138"/>
      <c r="BA1147" s="138"/>
      <c r="BB1147" s="138"/>
      <c r="BC1147" s="138"/>
      <c r="BD1147" s="138"/>
      <c r="BE1147" s="138"/>
      <c r="BF1147" s="138"/>
      <c r="BG1147" s="138"/>
      <c r="BH1147" s="138"/>
      <c r="BI1147" s="138"/>
      <c r="BJ1147" s="138"/>
      <c r="BK1147" s="138"/>
      <c r="BL1147" s="138"/>
      <c r="BM1147" s="138"/>
      <c r="BN1147" s="138"/>
      <c r="BO1147" s="138"/>
    </row>
    <row r="1148" spans="1:67" x14ac:dyDescent="0.2">
      <c r="A1148" s="177"/>
      <c r="B1148" s="178"/>
      <c r="C1148" s="179"/>
      <c r="D1148" s="180"/>
      <c r="E1148" s="180"/>
      <c r="F1148" s="180"/>
      <c r="G1148" s="180"/>
      <c r="H1148" s="180"/>
      <c r="I1148" s="188" t="s">
        <v>1471</v>
      </c>
      <c r="J1148" s="207" t="s">
        <v>664</v>
      </c>
      <c r="K1148" s="214">
        <f>195400*5%</f>
        <v>9770</v>
      </c>
      <c r="L1148" s="185"/>
      <c r="M1148" s="185"/>
      <c r="AV1148" s="138"/>
      <c r="AW1148" s="138"/>
      <c r="AX1148" s="138"/>
      <c r="AY1148" s="138"/>
      <c r="AZ1148" s="138"/>
      <c r="BA1148" s="138"/>
      <c r="BB1148" s="138"/>
      <c r="BC1148" s="138"/>
      <c r="BD1148" s="138"/>
      <c r="BE1148" s="138"/>
      <c r="BF1148" s="138"/>
      <c r="BG1148" s="138"/>
      <c r="BH1148" s="138"/>
      <c r="BI1148" s="138"/>
      <c r="BJ1148" s="138"/>
      <c r="BK1148" s="138"/>
      <c r="BL1148" s="138"/>
      <c r="BM1148" s="138"/>
      <c r="BN1148" s="138"/>
      <c r="BO1148" s="138"/>
    </row>
    <row r="1149" spans="1:67" x14ac:dyDescent="0.2">
      <c r="A1149" s="189"/>
      <c r="B1149" s="190"/>
      <c r="C1149" s="191"/>
      <c r="D1149" s="192"/>
      <c r="E1149" s="192"/>
      <c r="F1149" s="192"/>
      <c r="G1149" s="192"/>
      <c r="H1149" s="192"/>
      <c r="I1149" s="203"/>
      <c r="J1149" s="204"/>
      <c r="K1149" s="211">
        <f>SUM(K1145:K1148)</f>
        <v>195400</v>
      </c>
      <c r="L1149" s="197"/>
      <c r="M1149" s="197"/>
      <c r="AV1149" s="138"/>
      <c r="AW1149" s="138"/>
      <c r="AX1149" s="138"/>
      <c r="AY1149" s="138"/>
      <c r="AZ1149" s="138"/>
      <c r="BA1149" s="138"/>
      <c r="BB1149" s="138"/>
      <c r="BC1149" s="138"/>
      <c r="BD1149" s="138"/>
      <c r="BE1149" s="138"/>
      <c r="BF1149" s="138"/>
      <c r="BG1149" s="138"/>
      <c r="BH1149" s="138"/>
      <c r="BI1149" s="138"/>
      <c r="BJ1149" s="138"/>
      <c r="BK1149" s="138"/>
      <c r="BL1149" s="138"/>
      <c r="BM1149" s="138"/>
      <c r="BN1149" s="138"/>
      <c r="BO1149" s="138"/>
    </row>
    <row r="1150" spans="1:67" ht="24.75" customHeight="1" x14ac:dyDescent="0.2">
      <c r="A1150" s="167">
        <v>285</v>
      </c>
      <c r="B1150" s="168" t="s">
        <v>1566</v>
      </c>
      <c r="C1150" s="169"/>
      <c r="D1150" s="170" t="s">
        <v>163</v>
      </c>
      <c r="E1150" s="170"/>
      <c r="F1150" s="170"/>
      <c r="G1150" s="170"/>
      <c r="H1150" s="170"/>
      <c r="I1150" s="274" t="s">
        <v>1564</v>
      </c>
      <c r="J1150" s="247" t="s">
        <v>176</v>
      </c>
      <c r="K1150" s="210">
        <f>150000*85%</f>
        <v>127500</v>
      </c>
      <c r="L1150" s="175" t="s">
        <v>166</v>
      </c>
      <c r="M1150" s="175" t="s">
        <v>1567</v>
      </c>
      <c r="AV1150" s="138"/>
      <c r="AW1150" s="138"/>
      <c r="AX1150" s="138"/>
      <c r="AY1150" s="138"/>
      <c r="AZ1150" s="138"/>
      <c r="BA1150" s="138"/>
      <c r="BB1150" s="138"/>
      <c r="BC1150" s="138"/>
      <c r="BD1150" s="138"/>
      <c r="BE1150" s="138"/>
      <c r="BF1150" s="138"/>
      <c r="BG1150" s="138"/>
      <c r="BH1150" s="138"/>
      <c r="BI1150" s="138"/>
      <c r="BJ1150" s="138"/>
      <c r="BK1150" s="138"/>
      <c r="BL1150" s="138"/>
      <c r="BM1150" s="138"/>
      <c r="BN1150" s="138"/>
      <c r="BO1150" s="138"/>
    </row>
    <row r="1151" spans="1:67" x14ac:dyDescent="0.2">
      <c r="A1151" s="177"/>
      <c r="B1151" s="178"/>
      <c r="C1151" s="179"/>
      <c r="D1151" s="180"/>
      <c r="E1151" s="180"/>
      <c r="F1151" s="180"/>
      <c r="G1151" s="180"/>
      <c r="H1151" s="180"/>
      <c r="I1151" s="188" t="s">
        <v>1568</v>
      </c>
      <c r="J1151" s="207" t="s">
        <v>1387</v>
      </c>
      <c r="K1151" s="214">
        <f>150000*5%</f>
        <v>7500</v>
      </c>
      <c r="L1151" s="185"/>
      <c r="M1151" s="185"/>
      <c r="AV1151" s="138"/>
      <c r="AW1151" s="138"/>
      <c r="AX1151" s="138"/>
      <c r="AY1151" s="138"/>
      <c r="AZ1151" s="138"/>
      <c r="BA1151" s="138"/>
      <c r="BB1151" s="138"/>
      <c r="BC1151" s="138"/>
      <c r="BD1151" s="138"/>
      <c r="BE1151" s="138"/>
      <c r="BF1151" s="138"/>
      <c r="BG1151" s="138"/>
      <c r="BH1151" s="138"/>
      <c r="BI1151" s="138"/>
      <c r="BJ1151" s="138"/>
      <c r="BK1151" s="138"/>
      <c r="BL1151" s="138"/>
      <c r="BM1151" s="138"/>
      <c r="BN1151" s="138"/>
      <c r="BO1151" s="138"/>
    </row>
    <row r="1152" spans="1:67" x14ac:dyDescent="0.2">
      <c r="A1152" s="177"/>
      <c r="B1152" s="178"/>
      <c r="C1152" s="179"/>
      <c r="D1152" s="180"/>
      <c r="E1152" s="180"/>
      <c r="F1152" s="180"/>
      <c r="G1152" s="180"/>
      <c r="H1152" s="180"/>
      <c r="I1152" s="188" t="s">
        <v>1569</v>
      </c>
      <c r="J1152" s="207" t="s">
        <v>664</v>
      </c>
      <c r="K1152" s="214">
        <f>150000*5%</f>
        <v>7500</v>
      </c>
      <c r="L1152" s="185"/>
      <c r="M1152" s="185"/>
      <c r="AV1152" s="138"/>
      <c r="AW1152" s="138"/>
      <c r="AX1152" s="138"/>
      <c r="AY1152" s="138"/>
      <c r="AZ1152" s="138"/>
      <c r="BA1152" s="138"/>
      <c r="BB1152" s="138"/>
      <c r="BC1152" s="138"/>
      <c r="BD1152" s="138"/>
      <c r="BE1152" s="138"/>
      <c r="BF1152" s="138"/>
      <c r="BG1152" s="138"/>
      <c r="BH1152" s="138"/>
      <c r="BI1152" s="138"/>
      <c r="BJ1152" s="138"/>
      <c r="BK1152" s="138"/>
      <c r="BL1152" s="138"/>
      <c r="BM1152" s="138"/>
      <c r="BN1152" s="138"/>
      <c r="BO1152" s="138"/>
    </row>
    <row r="1153" spans="1:67" x14ac:dyDescent="0.2">
      <c r="A1153" s="177"/>
      <c r="B1153" s="178"/>
      <c r="C1153" s="179"/>
      <c r="D1153" s="180"/>
      <c r="E1153" s="180"/>
      <c r="F1153" s="180"/>
      <c r="G1153" s="180"/>
      <c r="H1153" s="180"/>
      <c r="I1153" s="188" t="s">
        <v>1570</v>
      </c>
      <c r="J1153" s="207" t="s">
        <v>664</v>
      </c>
      <c r="K1153" s="214">
        <f>150000*5%</f>
        <v>7500</v>
      </c>
      <c r="L1153" s="185"/>
      <c r="M1153" s="185"/>
      <c r="AV1153" s="138"/>
      <c r="AW1153" s="138"/>
      <c r="AX1153" s="138"/>
      <c r="AY1153" s="138"/>
      <c r="AZ1153" s="138"/>
      <c r="BA1153" s="138"/>
      <c r="BB1153" s="138"/>
      <c r="BC1153" s="138"/>
      <c r="BD1153" s="138"/>
      <c r="BE1153" s="138"/>
      <c r="BF1153" s="138"/>
      <c r="BG1153" s="138"/>
      <c r="BH1153" s="138"/>
      <c r="BI1153" s="138"/>
      <c r="BJ1153" s="138"/>
      <c r="BK1153" s="138"/>
      <c r="BL1153" s="138"/>
      <c r="BM1153" s="138"/>
      <c r="BN1153" s="138"/>
      <c r="BO1153" s="138"/>
    </row>
    <row r="1154" spans="1:67" x14ac:dyDescent="0.2">
      <c r="A1154" s="189"/>
      <c r="B1154" s="190"/>
      <c r="C1154" s="191"/>
      <c r="D1154" s="192"/>
      <c r="E1154" s="192"/>
      <c r="F1154" s="192"/>
      <c r="G1154" s="192"/>
      <c r="H1154" s="192"/>
      <c r="I1154" s="203"/>
      <c r="J1154" s="204"/>
      <c r="K1154" s="211">
        <f>SUM(K1150:K1153)</f>
        <v>150000</v>
      </c>
      <c r="L1154" s="197"/>
      <c r="M1154" s="197"/>
      <c r="AV1154" s="138"/>
      <c r="AW1154" s="138"/>
      <c r="AX1154" s="138"/>
      <c r="AY1154" s="138"/>
      <c r="AZ1154" s="138"/>
      <c r="BA1154" s="138"/>
      <c r="BB1154" s="138"/>
      <c r="BC1154" s="138"/>
      <c r="BD1154" s="138"/>
      <c r="BE1154" s="138"/>
      <c r="BF1154" s="138"/>
      <c r="BG1154" s="138"/>
      <c r="BH1154" s="138"/>
      <c r="BI1154" s="138"/>
      <c r="BJ1154" s="138"/>
      <c r="BK1154" s="138"/>
      <c r="BL1154" s="138"/>
      <c r="BM1154" s="138"/>
      <c r="BN1154" s="138"/>
      <c r="BO1154" s="138"/>
    </row>
    <row r="1155" spans="1:67" ht="22.5" customHeight="1" x14ac:dyDescent="0.2">
      <c r="A1155" s="167">
        <v>286</v>
      </c>
      <c r="B1155" s="168" t="s">
        <v>1571</v>
      </c>
      <c r="C1155" s="169"/>
      <c r="D1155" s="170" t="s">
        <v>163</v>
      </c>
      <c r="E1155" s="170"/>
      <c r="F1155" s="170"/>
      <c r="G1155" s="170"/>
      <c r="H1155" s="170" t="s">
        <v>108</v>
      </c>
      <c r="I1155" s="274" t="s">
        <v>1572</v>
      </c>
      <c r="J1155" s="247" t="s">
        <v>1573</v>
      </c>
      <c r="K1155" s="213">
        <f>80850*60%</f>
        <v>48510</v>
      </c>
      <c r="L1155" s="175" t="s">
        <v>166</v>
      </c>
      <c r="M1155" s="175" t="s">
        <v>1574</v>
      </c>
      <c r="AV1155" s="138"/>
      <c r="AW1155" s="138"/>
      <c r="AX1155" s="138"/>
      <c r="AY1155" s="138"/>
      <c r="AZ1155" s="138"/>
      <c r="BA1155" s="138"/>
      <c r="BB1155" s="138"/>
      <c r="BC1155" s="138"/>
      <c r="BD1155" s="138"/>
      <c r="BE1155" s="138"/>
      <c r="BF1155" s="138"/>
      <c r="BG1155" s="138"/>
      <c r="BH1155" s="138"/>
      <c r="BI1155" s="138"/>
      <c r="BJ1155" s="138"/>
      <c r="BK1155" s="138"/>
      <c r="BL1155" s="138"/>
      <c r="BM1155" s="138"/>
      <c r="BN1155" s="138"/>
      <c r="BO1155" s="138"/>
    </row>
    <row r="1156" spans="1:67" ht="48" x14ac:dyDescent="0.2">
      <c r="A1156" s="177"/>
      <c r="B1156" s="178"/>
      <c r="C1156" s="179"/>
      <c r="D1156" s="180"/>
      <c r="E1156" s="180"/>
      <c r="F1156" s="180"/>
      <c r="G1156" s="180"/>
      <c r="H1156" s="180"/>
      <c r="I1156" s="188" t="s">
        <v>1575</v>
      </c>
      <c r="J1156" s="207" t="s">
        <v>1097</v>
      </c>
      <c r="K1156" s="201">
        <f>80850*20%</f>
        <v>16170</v>
      </c>
      <c r="L1156" s="185"/>
      <c r="M1156" s="185"/>
      <c r="AV1156" s="138"/>
      <c r="AW1156" s="138"/>
      <c r="AX1156" s="138"/>
      <c r="AY1156" s="138"/>
      <c r="AZ1156" s="138"/>
      <c r="BA1156" s="138"/>
      <c r="BB1156" s="138"/>
      <c r="BC1156" s="138"/>
      <c r="BD1156" s="138"/>
      <c r="BE1156" s="138"/>
      <c r="BF1156" s="138"/>
      <c r="BG1156" s="138"/>
      <c r="BH1156" s="138"/>
      <c r="BI1156" s="138"/>
      <c r="BJ1156" s="138"/>
      <c r="BK1156" s="138"/>
      <c r="BL1156" s="138"/>
      <c r="BM1156" s="138"/>
      <c r="BN1156" s="138"/>
      <c r="BO1156" s="138"/>
    </row>
    <row r="1157" spans="1:67" x14ac:dyDescent="0.2">
      <c r="A1157" s="177"/>
      <c r="B1157" s="178"/>
      <c r="C1157" s="179"/>
      <c r="D1157" s="180"/>
      <c r="E1157" s="180"/>
      <c r="F1157" s="180"/>
      <c r="G1157" s="180"/>
      <c r="H1157" s="180"/>
      <c r="I1157" s="188" t="s">
        <v>1576</v>
      </c>
      <c r="J1157" s="207" t="s">
        <v>664</v>
      </c>
      <c r="K1157" s="201">
        <f>80850*15%</f>
        <v>12127.5</v>
      </c>
      <c r="L1157" s="185"/>
      <c r="M1157" s="185"/>
      <c r="AV1157" s="138"/>
      <c r="AW1157" s="138"/>
      <c r="AX1157" s="138"/>
      <c r="AY1157" s="138"/>
      <c r="AZ1157" s="138"/>
      <c r="BA1157" s="138"/>
      <c r="BB1157" s="138"/>
      <c r="BC1157" s="138"/>
      <c r="BD1157" s="138"/>
      <c r="BE1157" s="138"/>
      <c r="BF1157" s="138"/>
      <c r="BG1157" s="138"/>
      <c r="BH1157" s="138"/>
      <c r="BI1157" s="138"/>
      <c r="BJ1157" s="138"/>
      <c r="BK1157" s="138"/>
      <c r="BL1157" s="138"/>
      <c r="BM1157" s="138"/>
      <c r="BN1157" s="138"/>
      <c r="BO1157" s="138"/>
    </row>
    <row r="1158" spans="1:67" x14ac:dyDescent="0.2">
      <c r="A1158" s="177"/>
      <c r="B1158" s="178"/>
      <c r="C1158" s="179"/>
      <c r="D1158" s="180"/>
      <c r="E1158" s="180"/>
      <c r="F1158" s="180"/>
      <c r="G1158" s="180"/>
      <c r="H1158" s="180"/>
      <c r="I1158" s="188" t="s">
        <v>1552</v>
      </c>
      <c r="J1158" s="207" t="s">
        <v>664</v>
      </c>
      <c r="K1158" s="201">
        <f>80850*5%</f>
        <v>4042.5</v>
      </c>
      <c r="L1158" s="185"/>
      <c r="M1158" s="185"/>
      <c r="AV1158" s="138"/>
      <c r="AW1158" s="138"/>
      <c r="AX1158" s="138"/>
      <c r="AY1158" s="138"/>
      <c r="AZ1158" s="138"/>
      <c r="BA1158" s="138"/>
      <c r="BB1158" s="138"/>
      <c r="BC1158" s="138"/>
      <c r="BD1158" s="138"/>
      <c r="BE1158" s="138"/>
      <c r="BF1158" s="138"/>
      <c r="BG1158" s="138"/>
      <c r="BH1158" s="138"/>
      <c r="BI1158" s="138"/>
      <c r="BJ1158" s="138"/>
      <c r="BK1158" s="138"/>
      <c r="BL1158" s="138"/>
      <c r="BM1158" s="138"/>
      <c r="BN1158" s="138"/>
      <c r="BO1158" s="138"/>
    </row>
    <row r="1159" spans="1:67" x14ac:dyDescent="0.2">
      <c r="A1159" s="189"/>
      <c r="B1159" s="190"/>
      <c r="C1159" s="191"/>
      <c r="D1159" s="192"/>
      <c r="E1159" s="192"/>
      <c r="F1159" s="192"/>
      <c r="G1159" s="192"/>
      <c r="H1159" s="192"/>
      <c r="I1159" s="203"/>
      <c r="J1159" s="204"/>
      <c r="K1159" s="211">
        <f>SUM(K1155:K1158)</f>
        <v>80850</v>
      </c>
      <c r="L1159" s="197"/>
      <c r="M1159" s="197"/>
      <c r="AV1159" s="138"/>
      <c r="AW1159" s="138"/>
      <c r="AX1159" s="138"/>
      <c r="AY1159" s="138"/>
      <c r="AZ1159" s="138"/>
      <c r="BA1159" s="138"/>
      <c r="BB1159" s="138"/>
      <c r="BC1159" s="138"/>
      <c r="BD1159" s="138"/>
      <c r="BE1159" s="138"/>
      <c r="BF1159" s="138"/>
      <c r="BG1159" s="138"/>
      <c r="BH1159" s="138"/>
      <c r="BI1159" s="138"/>
      <c r="BJ1159" s="138"/>
      <c r="BK1159" s="138"/>
      <c r="BL1159" s="138"/>
      <c r="BM1159" s="138"/>
      <c r="BN1159" s="138"/>
      <c r="BO1159" s="138"/>
    </row>
    <row r="1160" spans="1:67" x14ac:dyDescent="0.2">
      <c r="A1160" s="250">
        <v>287</v>
      </c>
      <c r="B1160" s="168" t="s">
        <v>1577</v>
      </c>
      <c r="C1160" s="169"/>
      <c r="D1160" s="170" t="s">
        <v>25</v>
      </c>
      <c r="E1160" s="170"/>
      <c r="F1160" s="170" t="s">
        <v>1239</v>
      </c>
      <c r="G1160" s="170" t="s">
        <v>1578</v>
      </c>
      <c r="H1160" s="170" t="s">
        <v>750</v>
      </c>
      <c r="I1160" s="423" t="s">
        <v>1579</v>
      </c>
      <c r="J1160" s="259" t="s">
        <v>1097</v>
      </c>
      <c r="K1160" s="363">
        <f>1500000*25%</f>
        <v>375000</v>
      </c>
      <c r="L1160" s="175" t="s">
        <v>1578</v>
      </c>
      <c r="M1160" s="175" t="s">
        <v>1580</v>
      </c>
      <c r="AV1160" s="138"/>
      <c r="AW1160" s="138"/>
      <c r="AX1160" s="138"/>
      <c r="AY1160" s="138"/>
      <c r="AZ1160" s="138"/>
      <c r="BA1160" s="138"/>
      <c r="BB1160" s="138"/>
      <c r="BC1160" s="138"/>
      <c r="BD1160" s="138"/>
      <c r="BE1160" s="138"/>
      <c r="BF1160" s="138"/>
      <c r="BG1160" s="138"/>
      <c r="BH1160" s="138"/>
      <c r="BI1160" s="138"/>
      <c r="BJ1160" s="138"/>
      <c r="BK1160" s="138"/>
      <c r="BL1160" s="138"/>
      <c r="BM1160" s="138"/>
      <c r="BN1160" s="138"/>
      <c r="BO1160" s="138"/>
    </row>
    <row r="1161" spans="1:67" x14ac:dyDescent="0.2">
      <c r="A1161" s="243"/>
      <c r="B1161" s="178"/>
      <c r="C1161" s="179"/>
      <c r="D1161" s="180"/>
      <c r="E1161" s="180"/>
      <c r="F1161" s="180"/>
      <c r="G1161" s="180"/>
      <c r="H1161" s="180"/>
      <c r="I1161" s="424" t="s">
        <v>1581</v>
      </c>
      <c r="J1161" s="364" t="s">
        <v>1097</v>
      </c>
      <c r="K1161" s="199">
        <f>1500000*25%</f>
        <v>375000</v>
      </c>
      <c r="L1161" s="185"/>
      <c r="M1161" s="185"/>
      <c r="AV1161" s="138"/>
      <c r="AW1161" s="138"/>
      <c r="AX1161" s="138"/>
      <c r="AY1161" s="138"/>
      <c r="AZ1161" s="138"/>
      <c r="BA1161" s="138"/>
      <c r="BB1161" s="138"/>
      <c r="BC1161" s="138"/>
      <c r="BD1161" s="138"/>
      <c r="BE1161" s="138"/>
      <c r="BF1161" s="138"/>
      <c r="BG1161" s="138"/>
      <c r="BH1161" s="138"/>
      <c r="BI1161" s="138"/>
      <c r="BJ1161" s="138"/>
      <c r="BK1161" s="138"/>
      <c r="BL1161" s="138"/>
      <c r="BM1161" s="138"/>
      <c r="BN1161" s="138"/>
      <c r="BO1161" s="138"/>
    </row>
    <row r="1162" spans="1:67" x14ac:dyDescent="0.2">
      <c r="A1162" s="243"/>
      <c r="B1162" s="178"/>
      <c r="C1162" s="179"/>
      <c r="D1162" s="180"/>
      <c r="E1162" s="180"/>
      <c r="F1162" s="180"/>
      <c r="G1162" s="180"/>
      <c r="H1162" s="180"/>
      <c r="I1162" s="423" t="s">
        <v>1582</v>
      </c>
      <c r="J1162" s="425" t="s">
        <v>1002</v>
      </c>
      <c r="K1162" s="214">
        <f>1500000*25%</f>
        <v>375000</v>
      </c>
      <c r="L1162" s="185"/>
      <c r="M1162" s="185"/>
      <c r="AV1162" s="138"/>
      <c r="AW1162" s="138"/>
      <c r="AX1162" s="138"/>
      <c r="AY1162" s="138"/>
      <c r="AZ1162" s="138"/>
      <c r="BA1162" s="138"/>
      <c r="BB1162" s="138"/>
      <c r="BC1162" s="138"/>
      <c r="BD1162" s="138"/>
      <c r="BE1162" s="138"/>
      <c r="BF1162" s="138"/>
      <c r="BG1162" s="138"/>
      <c r="BH1162" s="138"/>
      <c r="BI1162" s="138"/>
      <c r="BJ1162" s="138"/>
      <c r="BK1162" s="138"/>
      <c r="BL1162" s="138"/>
      <c r="BM1162" s="138"/>
      <c r="BN1162" s="138"/>
      <c r="BO1162" s="138"/>
    </row>
    <row r="1163" spans="1:67" x14ac:dyDescent="0.2">
      <c r="A1163" s="243"/>
      <c r="B1163" s="178"/>
      <c r="C1163" s="179"/>
      <c r="D1163" s="180"/>
      <c r="E1163" s="180"/>
      <c r="F1163" s="180"/>
      <c r="G1163" s="180"/>
      <c r="H1163" s="180"/>
      <c r="I1163" s="188" t="s">
        <v>1583</v>
      </c>
      <c r="J1163" s="172" t="s">
        <v>1097</v>
      </c>
      <c r="K1163" s="276">
        <f>1500000*25%</f>
        <v>375000</v>
      </c>
      <c r="L1163" s="185"/>
      <c r="M1163" s="185"/>
      <c r="AV1163" s="138"/>
      <c r="AW1163" s="138"/>
      <c r="AX1163" s="138"/>
      <c r="AY1163" s="138"/>
      <c r="AZ1163" s="138"/>
      <c r="BA1163" s="138"/>
      <c r="BB1163" s="138"/>
      <c r="BC1163" s="138"/>
      <c r="BD1163" s="138"/>
      <c r="BE1163" s="138"/>
      <c r="BF1163" s="138"/>
      <c r="BG1163" s="138"/>
      <c r="BH1163" s="138"/>
      <c r="BI1163" s="138"/>
      <c r="BJ1163" s="138"/>
      <c r="BK1163" s="138"/>
      <c r="BL1163" s="138"/>
      <c r="BM1163" s="138"/>
      <c r="BN1163" s="138"/>
      <c r="BO1163" s="138"/>
    </row>
    <row r="1164" spans="1:67" x14ac:dyDescent="0.2">
      <c r="A1164" s="244"/>
      <c r="B1164" s="190"/>
      <c r="C1164" s="191"/>
      <c r="D1164" s="192"/>
      <c r="E1164" s="192"/>
      <c r="F1164" s="192"/>
      <c r="G1164" s="192"/>
      <c r="H1164" s="192"/>
      <c r="I1164" s="203"/>
      <c r="J1164" s="204"/>
      <c r="K1164" s="245">
        <v>1500000</v>
      </c>
      <c r="L1164" s="197"/>
      <c r="M1164" s="197"/>
      <c r="AV1164" s="138"/>
      <c r="AW1164" s="138"/>
      <c r="AX1164" s="138"/>
      <c r="AY1164" s="138"/>
      <c r="AZ1164" s="138"/>
      <c r="BA1164" s="138"/>
      <c r="BB1164" s="138"/>
      <c r="BC1164" s="138"/>
      <c r="BD1164" s="138"/>
      <c r="BE1164" s="138"/>
      <c r="BF1164" s="138"/>
      <c r="BG1164" s="138"/>
      <c r="BH1164" s="138"/>
      <c r="BI1164" s="138"/>
      <c r="BJ1164" s="138"/>
      <c r="BK1164" s="138"/>
      <c r="BL1164" s="138"/>
      <c r="BM1164" s="138"/>
      <c r="BN1164" s="138"/>
      <c r="BO1164" s="138"/>
    </row>
    <row r="1165" spans="1:67" ht="48" x14ac:dyDescent="0.2">
      <c r="A1165" s="292">
        <v>288</v>
      </c>
      <c r="B1165" s="168" t="s">
        <v>1584</v>
      </c>
      <c r="C1165" s="169"/>
      <c r="D1165" s="294" t="s">
        <v>107</v>
      </c>
      <c r="E1165" s="295"/>
      <c r="F1165" s="295"/>
      <c r="G1165" s="295"/>
      <c r="H1165" s="295"/>
      <c r="I1165" s="259" t="s">
        <v>1585</v>
      </c>
      <c r="J1165" s="307" t="s">
        <v>1368</v>
      </c>
      <c r="K1165" s="258">
        <v>20000</v>
      </c>
      <c r="L1165" s="297" t="s">
        <v>111</v>
      </c>
      <c r="M1165" s="259" t="s">
        <v>1586</v>
      </c>
      <c r="AV1165" s="138"/>
      <c r="AW1165" s="138"/>
      <c r="AX1165" s="138"/>
      <c r="AY1165" s="138"/>
      <c r="AZ1165" s="138"/>
      <c r="BA1165" s="138"/>
      <c r="BB1165" s="138"/>
      <c r="BC1165" s="138"/>
      <c r="BD1165" s="138"/>
      <c r="BE1165" s="138"/>
      <c r="BF1165" s="138"/>
      <c r="BG1165" s="138"/>
      <c r="BH1165" s="138"/>
      <c r="BI1165" s="138"/>
      <c r="BJ1165" s="138"/>
      <c r="BK1165" s="138"/>
      <c r="BL1165" s="138"/>
      <c r="BM1165" s="138"/>
      <c r="BN1165" s="138"/>
      <c r="BO1165" s="138"/>
    </row>
    <row r="1166" spans="1:67" ht="42.75" customHeight="1" x14ac:dyDescent="0.2">
      <c r="A1166" s="292">
        <v>289</v>
      </c>
      <c r="B1166" s="168" t="s">
        <v>1587</v>
      </c>
      <c r="C1166" s="169"/>
      <c r="D1166" s="294" t="s">
        <v>107</v>
      </c>
      <c r="E1166" s="295"/>
      <c r="F1166" s="295"/>
      <c r="G1166" s="295"/>
      <c r="H1166" s="295"/>
      <c r="I1166" s="259" t="s">
        <v>1588</v>
      </c>
      <c r="J1166" s="307" t="s">
        <v>664</v>
      </c>
      <c r="K1166" s="258">
        <v>18000</v>
      </c>
      <c r="L1166" s="297" t="s">
        <v>111</v>
      </c>
      <c r="M1166" s="259" t="s">
        <v>1589</v>
      </c>
      <c r="AV1166" s="138"/>
      <c r="AW1166" s="138"/>
      <c r="AX1166" s="138"/>
      <c r="AY1166" s="138"/>
      <c r="AZ1166" s="138"/>
      <c r="BA1166" s="138"/>
      <c r="BB1166" s="138"/>
      <c r="BC1166" s="138"/>
      <c r="BD1166" s="138"/>
      <c r="BE1166" s="138"/>
      <c r="BF1166" s="138"/>
      <c r="BG1166" s="138"/>
      <c r="BH1166" s="138"/>
      <c r="BI1166" s="138"/>
      <c r="BJ1166" s="138"/>
      <c r="BK1166" s="138"/>
      <c r="BL1166" s="138"/>
      <c r="BM1166" s="138"/>
      <c r="BN1166" s="138"/>
      <c r="BO1166" s="138"/>
    </row>
    <row r="1167" spans="1:67" ht="60" customHeight="1" x14ac:dyDescent="0.2">
      <c r="A1167" s="292">
        <v>290</v>
      </c>
      <c r="B1167" s="168" t="s">
        <v>1590</v>
      </c>
      <c r="C1167" s="169"/>
      <c r="D1167" s="294" t="s">
        <v>107</v>
      </c>
      <c r="E1167" s="295"/>
      <c r="F1167" s="295"/>
      <c r="G1167" s="295"/>
      <c r="H1167" s="295"/>
      <c r="I1167" s="259" t="s">
        <v>1591</v>
      </c>
      <c r="J1167" s="318" t="s">
        <v>664</v>
      </c>
      <c r="K1167" s="258">
        <v>18000</v>
      </c>
      <c r="L1167" s="297" t="s">
        <v>111</v>
      </c>
      <c r="M1167" s="259" t="s">
        <v>1592</v>
      </c>
      <c r="AV1167" s="138"/>
      <c r="AW1167" s="138"/>
      <c r="AX1167" s="138"/>
      <c r="AY1167" s="138"/>
      <c r="AZ1167" s="138"/>
      <c r="BA1167" s="138"/>
      <c r="BB1167" s="138"/>
      <c r="BC1167" s="138"/>
      <c r="BD1167" s="138"/>
      <c r="BE1167" s="138"/>
      <c r="BF1167" s="138"/>
      <c r="BG1167" s="138"/>
      <c r="BH1167" s="138"/>
      <c r="BI1167" s="138"/>
      <c r="BJ1167" s="138"/>
      <c r="BK1167" s="138"/>
      <c r="BL1167" s="138"/>
      <c r="BM1167" s="138"/>
      <c r="BN1167" s="138"/>
      <c r="BO1167" s="138"/>
    </row>
    <row r="1168" spans="1:67" ht="23.25" customHeight="1" x14ac:dyDescent="0.2">
      <c r="A1168" s="167">
        <v>291</v>
      </c>
      <c r="B1168" s="168" t="s">
        <v>1593</v>
      </c>
      <c r="C1168" s="169"/>
      <c r="D1168" s="250"/>
      <c r="E1168" s="170"/>
      <c r="F1168" s="170"/>
      <c r="G1168" s="170"/>
      <c r="H1168" s="170" t="s">
        <v>1374</v>
      </c>
      <c r="I1168" s="217" t="s">
        <v>1594</v>
      </c>
      <c r="J1168" s="172" t="s">
        <v>664</v>
      </c>
      <c r="K1168" s="173">
        <f>K1175*55%</f>
        <v>44467.5</v>
      </c>
      <c r="L1168" s="174" t="s">
        <v>324</v>
      </c>
      <c r="M1168" s="175" t="s">
        <v>1595</v>
      </c>
      <c r="AV1168" s="138"/>
      <c r="AW1168" s="138"/>
      <c r="AX1168" s="138"/>
      <c r="AY1168" s="138"/>
      <c r="AZ1168" s="138"/>
      <c r="BA1168" s="138"/>
      <c r="BB1168" s="138"/>
      <c r="BC1168" s="138"/>
      <c r="BD1168" s="138"/>
      <c r="BE1168" s="138"/>
      <c r="BF1168" s="138"/>
      <c r="BG1168" s="138"/>
      <c r="BH1168" s="138"/>
      <c r="BI1168" s="138"/>
      <c r="BJ1168" s="138"/>
      <c r="BK1168" s="138"/>
      <c r="BL1168" s="138"/>
      <c r="BM1168" s="138"/>
      <c r="BN1168" s="138"/>
      <c r="BO1168" s="138"/>
    </row>
    <row r="1169" spans="1:67" x14ac:dyDescent="0.2">
      <c r="A1169" s="177"/>
      <c r="B1169" s="178"/>
      <c r="C1169" s="179"/>
      <c r="D1169" s="243"/>
      <c r="E1169" s="180"/>
      <c r="F1169" s="180"/>
      <c r="G1169" s="180"/>
      <c r="H1169" s="180"/>
      <c r="I1169" s="188" t="s">
        <v>1445</v>
      </c>
      <c r="J1169" s="182" t="s">
        <v>1097</v>
      </c>
      <c r="K1169" s="208">
        <f>K1175*10%</f>
        <v>8085</v>
      </c>
      <c r="L1169" s="184"/>
      <c r="M1169" s="185"/>
      <c r="AV1169" s="138"/>
      <c r="AW1169" s="138"/>
      <c r="AX1169" s="138"/>
      <c r="AY1169" s="138"/>
      <c r="AZ1169" s="138"/>
      <c r="BA1169" s="138"/>
      <c r="BB1169" s="138"/>
      <c r="BC1169" s="138"/>
      <c r="BD1169" s="138"/>
      <c r="BE1169" s="138"/>
      <c r="BF1169" s="138"/>
      <c r="BG1169" s="138"/>
      <c r="BH1169" s="138"/>
      <c r="BI1169" s="138"/>
      <c r="BJ1169" s="138"/>
      <c r="BK1169" s="138"/>
      <c r="BL1169" s="138"/>
      <c r="BM1169" s="138"/>
      <c r="BN1169" s="138"/>
      <c r="BO1169" s="138"/>
    </row>
    <row r="1170" spans="1:67" ht="48" x14ac:dyDescent="0.2">
      <c r="A1170" s="177"/>
      <c r="B1170" s="178"/>
      <c r="C1170" s="179"/>
      <c r="D1170" s="243"/>
      <c r="E1170" s="180"/>
      <c r="F1170" s="180"/>
      <c r="G1170" s="180"/>
      <c r="H1170" s="180"/>
      <c r="I1170" s="171" t="s">
        <v>1596</v>
      </c>
      <c r="J1170" s="172" t="s">
        <v>664</v>
      </c>
      <c r="K1170" s="202">
        <f>K1175*10%</f>
        <v>8085</v>
      </c>
      <c r="L1170" s="184"/>
      <c r="M1170" s="185"/>
      <c r="AV1170" s="138"/>
      <c r="AW1170" s="138"/>
      <c r="AX1170" s="138"/>
      <c r="AY1170" s="138"/>
      <c r="AZ1170" s="138"/>
      <c r="BA1170" s="138"/>
      <c r="BB1170" s="138"/>
      <c r="BC1170" s="138"/>
      <c r="BD1170" s="138"/>
      <c r="BE1170" s="138"/>
      <c r="BF1170" s="138"/>
      <c r="BG1170" s="138"/>
      <c r="BH1170" s="138"/>
      <c r="BI1170" s="138"/>
      <c r="BJ1170" s="138"/>
      <c r="BK1170" s="138"/>
      <c r="BL1170" s="138"/>
      <c r="BM1170" s="138"/>
      <c r="BN1170" s="138"/>
      <c r="BO1170" s="138"/>
    </row>
    <row r="1171" spans="1:67" x14ac:dyDescent="0.2">
      <c r="A1171" s="177"/>
      <c r="B1171" s="178"/>
      <c r="C1171" s="179"/>
      <c r="D1171" s="243"/>
      <c r="E1171" s="180"/>
      <c r="F1171" s="180"/>
      <c r="G1171" s="180"/>
      <c r="H1171" s="180"/>
      <c r="I1171" s="188" t="s">
        <v>1597</v>
      </c>
      <c r="J1171" s="182" t="s">
        <v>664</v>
      </c>
      <c r="K1171" s="208">
        <f>K1175*10%</f>
        <v>8085</v>
      </c>
      <c r="L1171" s="184"/>
      <c r="M1171" s="185"/>
      <c r="AV1171" s="138"/>
      <c r="AW1171" s="138"/>
      <c r="AX1171" s="138"/>
      <c r="AY1171" s="138"/>
      <c r="AZ1171" s="138"/>
      <c r="BA1171" s="138"/>
      <c r="BB1171" s="138"/>
      <c r="BC1171" s="138"/>
      <c r="BD1171" s="138"/>
      <c r="BE1171" s="138"/>
      <c r="BF1171" s="138"/>
      <c r="BG1171" s="138"/>
      <c r="BH1171" s="138"/>
      <c r="BI1171" s="138"/>
      <c r="BJ1171" s="138"/>
      <c r="BK1171" s="138"/>
      <c r="BL1171" s="138"/>
      <c r="BM1171" s="138"/>
      <c r="BN1171" s="138"/>
      <c r="BO1171" s="138"/>
    </row>
    <row r="1172" spans="1:67" x14ac:dyDescent="0.2">
      <c r="A1172" s="177"/>
      <c r="B1172" s="178"/>
      <c r="C1172" s="179"/>
      <c r="D1172" s="243"/>
      <c r="E1172" s="180"/>
      <c r="F1172" s="180"/>
      <c r="G1172" s="180"/>
      <c r="H1172" s="180"/>
      <c r="I1172" s="188" t="s">
        <v>1598</v>
      </c>
      <c r="J1172" s="172" t="s">
        <v>664</v>
      </c>
      <c r="K1172" s="186">
        <f>K1175*5%</f>
        <v>4042.5</v>
      </c>
      <c r="L1172" s="184"/>
      <c r="M1172" s="185"/>
      <c r="AV1172" s="138"/>
      <c r="AW1172" s="138"/>
      <c r="AX1172" s="138"/>
      <c r="AY1172" s="138"/>
      <c r="AZ1172" s="138"/>
      <c r="BA1172" s="138"/>
      <c r="BB1172" s="138"/>
      <c r="BC1172" s="138"/>
      <c r="BD1172" s="138"/>
      <c r="BE1172" s="138"/>
      <c r="BF1172" s="138"/>
      <c r="BG1172" s="138"/>
      <c r="BH1172" s="138"/>
      <c r="BI1172" s="138"/>
      <c r="BJ1172" s="138"/>
      <c r="BK1172" s="138"/>
      <c r="BL1172" s="138"/>
      <c r="BM1172" s="138"/>
      <c r="BN1172" s="138"/>
      <c r="BO1172" s="138"/>
    </row>
    <row r="1173" spans="1:67" x14ac:dyDescent="0.2">
      <c r="A1173" s="177"/>
      <c r="B1173" s="178"/>
      <c r="C1173" s="179"/>
      <c r="D1173" s="243"/>
      <c r="E1173" s="180"/>
      <c r="F1173" s="180"/>
      <c r="G1173" s="180"/>
      <c r="H1173" s="180"/>
      <c r="I1173" s="188" t="s">
        <v>1551</v>
      </c>
      <c r="J1173" s="182" t="s">
        <v>664</v>
      </c>
      <c r="K1173" s="183">
        <f>K1175*5%</f>
        <v>4042.5</v>
      </c>
      <c r="L1173" s="184"/>
      <c r="M1173" s="185"/>
      <c r="AV1173" s="138"/>
      <c r="AW1173" s="138"/>
      <c r="AX1173" s="138"/>
      <c r="AY1173" s="138"/>
      <c r="AZ1173" s="138"/>
      <c r="BA1173" s="138"/>
      <c r="BB1173" s="138"/>
      <c r="BC1173" s="138"/>
      <c r="BD1173" s="138"/>
      <c r="BE1173" s="138"/>
      <c r="BF1173" s="138"/>
      <c r="BG1173" s="138"/>
      <c r="BH1173" s="138"/>
      <c r="BI1173" s="138"/>
      <c r="BJ1173" s="138"/>
      <c r="BK1173" s="138"/>
      <c r="BL1173" s="138"/>
      <c r="BM1173" s="138"/>
      <c r="BN1173" s="138"/>
      <c r="BO1173" s="138"/>
    </row>
    <row r="1174" spans="1:67" x14ac:dyDescent="0.2">
      <c r="A1174" s="177"/>
      <c r="B1174" s="178"/>
      <c r="C1174" s="179"/>
      <c r="D1174" s="243"/>
      <c r="E1174" s="180"/>
      <c r="F1174" s="180"/>
      <c r="G1174" s="180"/>
      <c r="H1174" s="180"/>
      <c r="I1174" s="188" t="s">
        <v>1599</v>
      </c>
      <c r="J1174" s="182" t="s">
        <v>664</v>
      </c>
      <c r="K1174" s="183">
        <f>K1175*5%</f>
        <v>4042.5</v>
      </c>
      <c r="L1174" s="184"/>
      <c r="M1174" s="185"/>
      <c r="AV1174" s="138"/>
      <c r="AW1174" s="138"/>
      <c r="AX1174" s="138"/>
      <c r="AY1174" s="138"/>
      <c r="AZ1174" s="138"/>
      <c r="BA1174" s="138"/>
      <c r="BB1174" s="138"/>
      <c r="BC1174" s="138"/>
      <c r="BD1174" s="138"/>
      <c r="BE1174" s="138"/>
      <c r="BF1174" s="138"/>
      <c r="BG1174" s="138"/>
      <c r="BH1174" s="138"/>
      <c r="BI1174" s="138"/>
      <c r="BJ1174" s="138"/>
      <c r="BK1174" s="138"/>
      <c r="BL1174" s="138"/>
      <c r="BM1174" s="138"/>
      <c r="BN1174" s="138"/>
      <c r="BO1174" s="138"/>
    </row>
    <row r="1175" spans="1:67" x14ac:dyDescent="0.2">
      <c r="A1175" s="189"/>
      <c r="B1175" s="190"/>
      <c r="C1175" s="191"/>
      <c r="D1175" s="244"/>
      <c r="E1175" s="192"/>
      <c r="F1175" s="192"/>
      <c r="G1175" s="192"/>
      <c r="H1175" s="192"/>
      <c r="I1175" s="193"/>
      <c r="J1175" s="215"/>
      <c r="K1175" s="216">
        <v>80850</v>
      </c>
      <c r="L1175" s="196"/>
      <c r="M1175" s="197"/>
      <c r="AV1175" s="138"/>
      <c r="AW1175" s="138"/>
      <c r="AX1175" s="138"/>
      <c r="AY1175" s="138"/>
      <c r="AZ1175" s="138"/>
      <c r="BA1175" s="138"/>
      <c r="BB1175" s="138"/>
      <c r="BC1175" s="138"/>
      <c r="BD1175" s="138"/>
      <c r="BE1175" s="138"/>
      <c r="BF1175" s="138"/>
      <c r="BG1175" s="138"/>
      <c r="BH1175" s="138"/>
      <c r="BI1175" s="138"/>
      <c r="BJ1175" s="138"/>
      <c r="BK1175" s="138"/>
      <c r="BL1175" s="138"/>
      <c r="BM1175" s="138"/>
      <c r="BN1175" s="138"/>
      <c r="BO1175" s="138"/>
    </row>
    <row r="1176" spans="1:67" ht="21" customHeight="1" x14ac:dyDescent="0.2">
      <c r="A1176" s="167">
        <v>292</v>
      </c>
      <c r="B1176" s="168" t="s">
        <v>1600</v>
      </c>
      <c r="C1176" s="169"/>
      <c r="D1176" s="250" t="s">
        <v>107</v>
      </c>
      <c r="E1176" s="170"/>
      <c r="F1176" s="170"/>
      <c r="G1176" s="170"/>
      <c r="H1176" s="246" t="s">
        <v>164</v>
      </c>
      <c r="I1176" s="171" t="s">
        <v>1601</v>
      </c>
      <c r="J1176" s="223" t="s">
        <v>1097</v>
      </c>
      <c r="K1176" s="370">
        <f>10000*80%</f>
        <v>8000</v>
      </c>
      <c r="L1176" s="169" t="s">
        <v>111</v>
      </c>
      <c r="M1176" s="175" t="s">
        <v>1602</v>
      </c>
      <c r="AV1176" s="138"/>
      <c r="AW1176" s="138"/>
      <c r="AX1176" s="138"/>
      <c r="AY1176" s="138"/>
      <c r="AZ1176" s="138"/>
      <c r="BA1176" s="138"/>
      <c r="BB1176" s="138"/>
      <c r="BC1176" s="138"/>
      <c r="BD1176" s="138"/>
      <c r="BE1176" s="138"/>
      <c r="BF1176" s="138"/>
      <c r="BG1176" s="138"/>
      <c r="BH1176" s="138"/>
      <c r="BI1176" s="138"/>
      <c r="BJ1176" s="138"/>
      <c r="BK1176" s="138"/>
      <c r="BL1176" s="138"/>
      <c r="BM1176" s="138"/>
      <c r="BN1176" s="138"/>
      <c r="BO1176" s="138"/>
    </row>
    <row r="1177" spans="1:67" ht="20.25" customHeight="1" x14ac:dyDescent="0.2">
      <c r="A1177" s="177"/>
      <c r="B1177" s="178"/>
      <c r="C1177" s="179"/>
      <c r="D1177" s="243"/>
      <c r="E1177" s="180"/>
      <c r="F1177" s="180"/>
      <c r="G1177" s="180"/>
      <c r="H1177" s="248"/>
      <c r="I1177" s="188" t="s">
        <v>1603</v>
      </c>
      <c r="J1177" s="207" t="s">
        <v>1387</v>
      </c>
      <c r="K1177" s="214">
        <f>10000*20%</f>
        <v>2000</v>
      </c>
      <c r="L1177" s="179"/>
      <c r="M1177" s="185"/>
      <c r="AV1177" s="138"/>
      <c r="AW1177" s="138"/>
      <c r="AX1177" s="138"/>
      <c r="AY1177" s="138"/>
      <c r="AZ1177" s="138"/>
      <c r="BA1177" s="138"/>
      <c r="BB1177" s="138"/>
      <c r="BC1177" s="138"/>
      <c r="BD1177" s="138"/>
      <c r="BE1177" s="138"/>
      <c r="BF1177" s="138"/>
      <c r="BG1177" s="138"/>
      <c r="BH1177" s="138"/>
      <c r="BI1177" s="138"/>
      <c r="BJ1177" s="138"/>
      <c r="BK1177" s="138"/>
      <c r="BL1177" s="138"/>
      <c r="BM1177" s="138"/>
      <c r="BN1177" s="138"/>
      <c r="BO1177" s="138"/>
    </row>
    <row r="1178" spans="1:67" x14ac:dyDescent="0.2">
      <c r="A1178" s="189"/>
      <c r="B1178" s="190"/>
      <c r="C1178" s="191"/>
      <c r="D1178" s="244"/>
      <c r="E1178" s="192"/>
      <c r="F1178" s="192"/>
      <c r="G1178" s="192"/>
      <c r="H1178" s="249"/>
      <c r="I1178" s="203"/>
      <c r="J1178" s="371"/>
      <c r="K1178" s="245">
        <f>SUM(K1176:K1177)</f>
        <v>10000</v>
      </c>
      <c r="L1178" s="191"/>
      <c r="M1178" s="197"/>
      <c r="AV1178" s="138"/>
      <c r="AW1178" s="138"/>
      <c r="AX1178" s="138"/>
      <c r="AY1178" s="138"/>
      <c r="AZ1178" s="138"/>
      <c r="BA1178" s="138"/>
      <c r="BB1178" s="138"/>
      <c r="BC1178" s="138"/>
      <c r="BD1178" s="138"/>
      <c r="BE1178" s="138"/>
      <c r="BF1178" s="138"/>
      <c r="BG1178" s="138"/>
      <c r="BH1178" s="138"/>
      <c r="BI1178" s="138"/>
      <c r="BJ1178" s="138"/>
      <c r="BK1178" s="138"/>
      <c r="BL1178" s="138"/>
      <c r="BM1178" s="138"/>
      <c r="BN1178" s="138"/>
      <c r="BO1178" s="138"/>
    </row>
    <row r="1179" spans="1:67" ht="48.75" customHeight="1" x14ac:dyDescent="0.2">
      <c r="A1179" s="292">
        <v>293</v>
      </c>
      <c r="B1179" s="168" t="s">
        <v>1584</v>
      </c>
      <c r="C1179" s="169"/>
      <c r="D1179" s="294" t="s">
        <v>107</v>
      </c>
      <c r="E1179" s="295"/>
      <c r="F1179" s="295"/>
      <c r="G1179" s="295"/>
      <c r="H1179" s="426"/>
      <c r="I1179" s="259" t="s">
        <v>1604</v>
      </c>
      <c r="J1179" s="259" t="s">
        <v>664</v>
      </c>
      <c r="K1179" s="282">
        <f>20000*100%</f>
        <v>20000</v>
      </c>
      <c r="L1179" s="293" t="s">
        <v>111</v>
      </c>
      <c r="M1179" s="259" t="s">
        <v>1586</v>
      </c>
      <c r="AV1179" s="138"/>
      <c r="AW1179" s="138"/>
      <c r="AX1179" s="138"/>
      <c r="AY1179" s="138"/>
      <c r="AZ1179" s="138"/>
      <c r="BA1179" s="138"/>
      <c r="BB1179" s="138"/>
      <c r="BC1179" s="138"/>
      <c r="BD1179" s="138"/>
      <c r="BE1179" s="138"/>
      <c r="BF1179" s="138"/>
      <c r="BG1179" s="138"/>
      <c r="BH1179" s="138"/>
      <c r="BI1179" s="138"/>
      <c r="BJ1179" s="138"/>
      <c r="BK1179" s="138"/>
      <c r="BL1179" s="138"/>
      <c r="BM1179" s="138"/>
      <c r="BN1179" s="138"/>
      <c r="BO1179" s="138"/>
    </row>
    <row r="1180" spans="1:67" x14ac:dyDescent="0.2">
      <c r="A1180" s="231">
        <v>294</v>
      </c>
      <c r="B1180" s="253" t="s">
        <v>1587</v>
      </c>
      <c r="C1180" s="254" t="s">
        <v>1587</v>
      </c>
      <c r="D1180" s="399" t="s">
        <v>107</v>
      </c>
      <c r="E1180" s="384"/>
      <c r="F1180" s="384"/>
      <c r="G1180" s="384"/>
      <c r="H1180" s="427"/>
      <c r="I1180" s="280" t="s">
        <v>1588</v>
      </c>
      <c r="J1180" s="300" t="s">
        <v>664</v>
      </c>
      <c r="K1180" s="282">
        <v>18000</v>
      </c>
      <c r="L1180" s="293" t="s">
        <v>111</v>
      </c>
      <c r="M1180" s="281" t="s">
        <v>1589</v>
      </c>
      <c r="AV1180" s="138"/>
      <c r="AW1180" s="138"/>
      <c r="AX1180" s="138"/>
      <c r="AY1180" s="138"/>
      <c r="AZ1180" s="138"/>
      <c r="BA1180" s="138"/>
      <c r="BB1180" s="138"/>
      <c r="BC1180" s="138"/>
      <c r="BD1180" s="138"/>
      <c r="BE1180" s="138"/>
      <c r="BF1180" s="138"/>
      <c r="BG1180" s="138"/>
      <c r="BH1180" s="138"/>
      <c r="BI1180" s="138"/>
      <c r="BJ1180" s="138"/>
      <c r="BK1180" s="138"/>
      <c r="BL1180" s="138"/>
      <c r="BM1180" s="138"/>
      <c r="BN1180" s="138"/>
      <c r="BO1180" s="138"/>
    </row>
    <row r="1181" spans="1:67" x14ac:dyDescent="0.2">
      <c r="A1181" s="310">
        <v>295</v>
      </c>
      <c r="B1181" s="168" t="s">
        <v>1605</v>
      </c>
      <c r="C1181" s="169"/>
      <c r="D1181" s="170" t="s">
        <v>25</v>
      </c>
      <c r="E1181" s="170"/>
      <c r="F1181" s="170" t="s">
        <v>1239</v>
      </c>
      <c r="G1181" s="170" t="s">
        <v>1578</v>
      </c>
      <c r="H1181" s="170" t="s">
        <v>750</v>
      </c>
      <c r="I1181" s="296" t="s">
        <v>1606</v>
      </c>
      <c r="J1181" s="375" t="s">
        <v>664</v>
      </c>
      <c r="K1181" s="363">
        <f>500000*50%</f>
        <v>250000</v>
      </c>
      <c r="L1181" s="175" t="s">
        <v>1578</v>
      </c>
      <c r="M1181" s="175" t="s">
        <v>1607</v>
      </c>
      <c r="AV1181" s="138"/>
      <c r="AW1181" s="138"/>
      <c r="AX1181" s="138"/>
      <c r="AY1181" s="138"/>
      <c r="AZ1181" s="138"/>
      <c r="BA1181" s="138"/>
      <c r="BB1181" s="138"/>
      <c r="BC1181" s="138"/>
      <c r="BD1181" s="138"/>
      <c r="BE1181" s="138"/>
      <c r="BF1181" s="138"/>
      <c r="BG1181" s="138"/>
      <c r="BH1181" s="138"/>
      <c r="BI1181" s="138"/>
      <c r="BJ1181" s="138"/>
      <c r="BK1181" s="138"/>
      <c r="BL1181" s="138"/>
      <c r="BM1181" s="138"/>
      <c r="BN1181" s="138"/>
      <c r="BO1181" s="138"/>
    </row>
    <row r="1182" spans="1:67" x14ac:dyDescent="0.2">
      <c r="A1182" s="311"/>
      <c r="B1182" s="178"/>
      <c r="C1182" s="179"/>
      <c r="D1182" s="180"/>
      <c r="E1182" s="180"/>
      <c r="F1182" s="180"/>
      <c r="G1182" s="180"/>
      <c r="H1182" s="180"/>
      <c r="I1182" s="188" t="s">
        <v>1608</v>
      </c>
      <c r="J1182" s="428" t="s">
        <v>664</v>
      </c>
      <c r="K1182" s="214">
        <f>500000*15%</f>
        <v>75000</v>
      </c>
      <c r="L1182" s="185"/>
      <c r="M1182" s="185"/>
      <c r="AV1182" s="138"/>
      <c r="AW1182" s="138"/>
      <c r="AX1182" s="138"/>
      <c r="AY1182" s="138"/>
      <c r="AZ1182" s="138"/>
      <c r="BA1182" s="138"/>
      <c r="BB1182" s="138"/>
      <c r="BC1182" s="138"/>
      <c r="BD1182" s="138"/>
      <c r="BE1182" s="138"/>
      <c r="BF1182" s="138"/>
      <c r="BG1182" s="138"/>
      <c r="BH1182" s="138"/>
      <c r="BI1182" s="138"/>
      <c r="BJ1182" s="138"/>
      <c r="BK1182" s="138"/>
      <c r="BL1182" s="138"/>
      <c r="BM1182" s="138"/>
      <c r="BN1182" s="138"/>
      <c r="BO1182" s="138"/>
    </row>
    <row r="1183" spans="1:67" x14ac:dyDescent="0.2">
      <c r="A1183" s="311"/>
      <c r="B1183" s="178"/>
      <c r="C1183" s="179"/>
      <c r="D1183" s="180"/>
      <c r="E1183" s="180"/>
      <c r="F1183" s="180"/>
      <c r="G1183" s="180"/>
      <c r="H1183" s="180"/>
      <c r="I1183" s="188" t="s">
        <v>1609</v>
      </c>
      <c r="J1183" s="429" t="s">
        <v>664</v>
      </c>
      <c r="K1183" s="370">
        <f>500000*15%</f>
        <v>75000</v>
      </c>
      <c r="L1183" s="185"/>
      <c r="M1183" s="185"/>
      <c r="AV1183" s="138"/>
      <c r="AW1183" s="138"/>
      <c r="AX1183" s="138"/>
      <c r="AY1183" s="138"/>
      <c r="AZ1183" s="138"/>
      <c r="BA1183" s="138"/>
      <c r="BB1183" s="138"/>
      <c r="BC1183" s="138"/>
      <c r="BD1183" s="138"/>
      <c r="BE1183" s="138"/>
      <c r="BF1183" s="138"/>
      <c r="BG1183" s="138"/>
      <c r="BH1183" s="138"/>
      <c r="BI1183" s="138"/>
      <c r="BJ1183" s="138"/>
      <c r="BK1183" s="138"/>
      <c r="BL1183" s="138"/>
      <c r="BM1183" s="138"/>
      <c r="BN1183" s="138"/>
      <c r="BO1183" s="138"/>
    </row>
    <row r="1184" spans="1:67" x14ac:dyDescent="0.2">
      <c r="A1184" s="311"/>
      <c r="B1184" s="178"/>
      <c r="C1184" s="179"/>
      <c r="D1184" s="180"/>
      <c r="E1184" s="180"/>
      <c r="F1184" s="180"/>
      <c r="G1184" s="180"/>
      <c r="H1184" s="180"/>
      <c r="I1184" s="171" t="s">
        <v>1610</v>
      </c>
      <c r="J1184" s="371" t="s">
        <v>664</v>
      </c>
      <c r="K1184" s="370">
        <f>500000*10%</f>
        <v>50000</v>
      </c>
      <c r="L1184" s="185"/>
      <c r="M1184" s="185"/>
      <c r="AV1184" s="138"/>
      <c r="AW1184" s="138"/>
      <c r="AX1184" s="138"/>
      <c r="AY1184" s="138"/>
      <c r="AZ1184" s="138"/>
      <c r="BA1184" s="138"/>
      <c r="BB1184" s="138"/>
      <c r="BC1184" s="138"/>
      <c r="BD1184" s="138"/>
      <c r="BE1184" s="138"/>
      <c r="BF1184" s="138"/>
      <c r="BG1184" s="138"/>
      <c r="BH1184" s="138"/>
      <c r="BI1184" s="138"/>
      <c r="BJ1184" s="138"/>
      <c r="BK1184" s="138"/>
      <c r="BL1184" s="138"/>
      <c r="BM1184" s="138"/>
      <c r="BN1184" s="138"/>
      <c r="BO1184" s="138"/>
    </row>
    <row r="1185" spans="1:67" x14ac:dyDescent="0.2">
      <c r="A1185" s="311"/>
      <c r="B1185" s="178"/>
      <c r="C1185" s="179"/>
      <c r="D1185" s="180"/>
      <c r="E1185" s="180"/>
      <c r="F1185" s="180"/>
      <c r="G1185" s="180"/>
      <c r="H1185" s="180"/>
      <c r="I1185" s="181" t="s">
        <v>1611</v>
      </c>
      <c r="J1185" s="428" t="s">
        <v>664</v>
      </c>
      <c r="K1185" s="370">
        <f>500000*10%</f>
        <v>50000</v>
      </c>
      <c r="L1185" s="185"/>
      <c r="M1185" s="185"/>
      <c r="AV1185" s="138"/>
      <c r="AW1185" s="138"/>
      <c r="AX1185" s="138"/>
      <c r="AY1185" s="138"/>
      <c r="AZ1185" s="138"/>
      <c r="BA1185" s="138"/>
      <c r="BB1185" s="138"/>
      <c r="BC1185" s="138"/>
      <c r="BD1185" s="138"/>
      <c r="BE1185" s="138"/>
      <c r="BF1185" s="138"/>
      <c r="BG1185" s="138"/>
      <c r="BH1185" s="138"/>
      <c r="BI1185" s="138"/>
      <c r="BJ1185" s="138"/>
      <c r="BK1185" s="138"/>
      <c r="BL1185" s="138"/>
      <c r="BM1185" s="138"/>
      <c r="BN1185" s="138"/>
      <c r="BO1185" s="138"/>
    </row>
    <row r="1186" spans="1:67" x14ac:dyDescent="0.2">
      <c r="A1186" s="312"/>
      <c r="B1186" s="190"/>
      <c r="C1186" s="191"/>
      <c r="D1186" s="192"/>
      <c r="E1186" s="192"/>
      <c r="F1186" s="192"/>
      <c r="G1186" s="192"/>
      <c r="H1186" s="192"/>
      <c r="I1186" s="181"/>
      <c r="J1186" s="371"/>
      <c r="K1186" s="245">
        <f>SUM(K1181:K1185)</f>
        <v>500000</v>
      </c>
      <c r="L1186" s="197"/>
      <c r="M1186" s="197"/>
      <c r="AV1186" s="138"/>
      <c r="AW1186" s="138"/>
      <c r="AX1186" s="138"/>
      <c r="AY1186" s="138"/>
      <c r="AZ1186" s="138"/>
      <c r="BA1186" s="138"/>
      <c r="BB1186" s="138"/>
      <c r="BC1186" s="138"/>
      <c r="BD1186" s="138"/>
      <c r="BE1186" s="138"/>
      <c r="BF1186" s="138"/>
      <c r="BG1186" s="138"/>
      <c r="BH1186" s="138"/>
      <c r="BI1186" s="138"/>
      <c r="BJ1186" s="138"/>
      <c r="BK1186" s="138"/>
      <c r="BL1186" s="138"/>
      <c r="BM1186" s="138"/>
      <c r="BN1186" s="138"/>
      <c r="BO1186" s="138"/>
    </row>
    <row r="1187" spans="1:67" ht="48" x14ac:dyDescent="0.2">
      <c r="A1187" s="310">
        <v>296</v>
      </c>
      <c r="B1187" s="168" t="s">
        <v>1612</v>
      </c>
      <c r="C1187" s="169"/>
      <c r="D1187" s="250" t="s">
        <v>25</v>
      </c>
      <c r="E1187" s="250"/>
      <c r="F1187" s="250" t="s">
        <v>1239</v>
      </c>
      <c r="G1187" s="250" t="s">
        <v>1613</v>
      </c>
      <c r="H1187" s="250" t="s">
        <v>750</v>
      </c>
      <c r="I1187" s="217" t="s">
        <v>1614</v>
      </c>
      <c r="J1187" s="375" t="s">
        <v>664</v>
      </c>
      <c r="K1187" s="363">
        <f>4870000*50%</f>
        <v>2435000</v>
      </c>
      <c r="L1187" s="175" t="s">
        <v>1613</v>
      </c>
      <c r="M1187" s="175" t="s">
        <v>1615</v>
      </c>
      <c r="AV1187" s="138"/>
      <c r="AW1187" s="138"/>
      <c r="AX1187" s="138"/>
      <c r="AY1187" s="138"/>
      <c r="AZ1187" s="138"/>
      <c r="BA1187" s="138"/>
      <c r="BB1187" s="138"/>
      <c r="BC1187" s="138"/>
      <c r="BD1187" s="138"/>
      <c r="BE1187" s="138"/>
      <c r="BF1187" s="138"/>
      <c r="BG1187" s="138"/>
      <c r="BH1187" s="138"/>
      <c r="BI1187" s="138"/>
      <c r="BJ1187" s="138"/>
      <c r="BK1187" s="138"/>
      <c r="BL1187" s="138"/>
      <c r="BM1187" s="138"/>
      <c r="BN1187" s="138"/>
      <c r="BO1187" s="138"/>
    </row>
    <row r="1188" spans="1:67" x14ac:dyDescent="0.2">
      <c r="A1188" s="311"/>
      <c r="B1188" s="178"/>
      <c r="C1188" s="179"/>
      <c r="D1188" s="243"/>
      <c r="E1188" s="243"/>
      <c r="F1188" s="243"/>
      <c r="G1188" s="243"/>
      <c r="H1188" s="243"/>
      <c r="I1188" s="274" t="s">
        <v>1445</v>
      </c>
      <c r="J1188" s="207" t="s">
        <v>664</v>
      </c>
      <c r="K1188" s="214">
        <f>4870000*10%</f>
        <v>487000</v>
      </c>
      <c r="L1188" s="185"/>
      <c r="M1188" s="185"/>
      <c r="AV1188" s="138"/>
      <c r="AW1188" s="138"/>
      <c r="AX1188" s="138"/>
      <c r="AY1188" s="138"/>
      <c r="AZ1188" s="138"/>
      <c r="BA1188" s="138"/>
      <c r="BB1188" s="138"/>
      <c r="BC1188" s="138"/>
      <c r="BD1188" s="138"/>
      <c r="BE1188" s="138"/>
      <c r="BF1188" s="138"/>
      <c r="BG1188" s="138"/>
      <c r="BH1188" s="138"/>
      <c r="BI1188" s="138"/>
      <c r="BJ1188" s="138"/>
      <c r="BK1188" s="138"/>
      <c r="BL1188" s="138"/>
      <c r="BM1188" s="138"/>
      <c r="BN1188" s="138"/>
      <c r="BO1188" s="138"/>
    </row>
    <row r="1189" spans="1:67" x14ac:dyDescent="0.2">
      <c r="A1189" s="311"/>
      <c r="B1189" s="178"/>
      <c r="C1189" s="179"/>
      <c r="D1189" s="243"/>
      <c r="E1189" s="243"/>
      <c r="F1189" s="243"/>
      <c r="G1189" s="243"/>
      <c r="H1189" s="243"/>
      <c r="I1189" s="188" t="s">
        <v>1616</v>
      </c>
      <c r="J1189" s="429" t="s">
        <v>274</v>
      </c>
      <c r="K1189" s="214">
        <f>4870000*10%</f>
        <v>487000</v>
      </c>
      <c r="L1189" s="185"/>
      <c r="M1189" s="185"/>
      <c r="AV1189" s="138"/>
      <c r="AW1189" s="138"/>
      <c r="AX1189" s="138"/>
      <c r="AY1189" s="138"/>
      <c r="AZ1189" s="138"/>
      <c r="BA1189" s="138"/>
      <c r="BB1189" s="138"/>
      <c r="BC1189" s="138"/>
      <c r="BD1189" s="138"/>
      <c r="BE1189" s="138"/>
      <c r="BF1189" s="138"/>
      <c r="BG1189" s="138"/>
      <c r="BH1189" s="138"/>
      <c r="BI1189" s="138"/>
      <c r="BJ1189" s="138"/>
      <c r="BK1189" s="138"/>
      <c r="BL1189" s="138"/>
      <c r="BM1189" s="138"/>
      <c r="BN1189" s="138"/>
      <c r="BO1189" s="138"/>
    </row>
    <row r="1190" spans="1:67" x14ac:dyDescent="0.2">
      <c r="A1190" s="311"/>
      <c r="B1190" s="178"/>
      <c r="C1190" s="179"/>
      <c r="D1190" s="243"/>
      <c r="E1190" s="243"/>
      <c r="F1190" s="243"/>
      <c r="G1190" s="243"/>
      <c r="H1190" s="243"/>
      <c r="I1190" s="171" t="s">
        <v>1617</v>
      </c>
      <c r="J1190" s="371" t="s">
        <v>664</v>
      </c>
      <c r="K1190" s="370">
        <f>4870000*30%</f>
        <v>1461000</v>
      </c>
      <c r="L1190" s="185"/>
      <c r="M1190" s="185"/>
      <c r="AV1190" s="138"/>
      <c r="AW1190" s="138"/>
      <c r="AX1190" s="138"/>
      <c r="AY1190" s="138"/>
      <c r="AZ1190" s="138"/>
      <c r="BA1190" s="138"/>
      <c r="BB1190" s="138"/>
      <c r="BC1190" s="138"/>
      <c r="BD1190" s="138"/>
      <c r="BE1190" s="138"/>
      <c r="BF1190" s="138"/>
      <c r="BG1190" s="138"/>
      <c r="BH1190" s="138"/>
      <c r="BI1190" s="138"/>
      <c r="BJ1190" s="138"/>
      <c r="BK1190" s="138"/>
      <c r="BL1190" s="138"/>
      <c r="BM1190" s="138"/>
      <c r="BN1190" s="138"/>
      <c r="BO1190" s="138"/>
    </row>
    <row r="1191" spans="1:67" x14ac:dyDescent="0.2">
      <c r="A1191" s="312"/>
      <c r="B1191" s="190"/>
      <c r="C1191" s="191"/>
      <c r="D1191" s="244"/>
      <c r="E1191" s="244"/>
      <c r="F1191" s="244"/>
      <c r="G1191" s="244"/>
      <c r="H1191" s="244"/>
      <c r="I1191" s="203"/>
      <c r="J1191" s="369"/>
      <c r="K1191" s="245">
        <f>SUM(K1187:K1190)</f>
        <v>4870000</v>
      </c>
      <c r="L1191" s="197"/>
      <c r="M1191" s="197"/>
      <c r="AV1191" s="138"/>
      <c r="AW1191" s="138"/>
      <c r="AX1191" s="138"/>
      <c r="AY1191" s="138"/>
      <c r="AZ1191" s="138"/>
      <c r="BA1191" s="138"/>
      <c r="BB1191" s="138"/>
      <c r="BC1191" s="138"/>
      <c r="BD1191" s="138"/>
      <c r="BE1191" s="138"/>
      <c r="BF1191" s="138"/>
      <c r="BG1191" s="138"/>
      <c r="BH1191" s="138"/>
      <c r="BI1191" s="138"/>
      <c r="BJ1191" s="138"/>
      <c r="BK1191" s="138"/>
      <c r="BL1191" s="138"/>
      <c r="BM1191" s="138"/>
      <c r="BN1191" s="138"/>
      <c r="BO1191" s="138"/>
    </row>
    <row r="1192" spans="1:67" s="267" customFormat="1" ht="70.5" customHeight="1" x14ac:dyDescent="0.2">
      <c r="A1192" s="430">
        <v>297</v>
      </c>
      <c r="B1192" s="298" t="s">
        <v>1618</v>
      </c>
      <c r="C1192" s="299"/>
      <c r="D1192" s="295" t="s">
        <v>107</v>
      </c>
      <c r="E1192" s="295"/>
      <c r="F1192" s="295"/>
      <c r="G1192" s="295"/>
      <c r="H1192" s="295"/>
      <c r="I1192" s="171" t="s">
        <v>1504</v>
      </c>
      <c r="J1192" s="371" t="s">
        <v>664</v>
      </c>
      <c r="K1192" s="370">
        <v>36200</v>
      </c>
      <c r="L1192" s="293" t="s">
        <v>111</v>
      </c>
      <c r="M1192" s="259" t="s">
        <v>1619</v>
      </c>
      <c r="N1192" s="176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  <c r="Z1192" s="138"/>
      <c r="AA1192" s="138"/>
      <c r="AB1192" s="138"/>
      <c r="AC1192" s="138"/>
      <c r="AD1192" s="138"/>
      <c r="AE1192" s="138"/>
      <c r="AF1192" s="138"/>
      <c r="AG1192" s="138"/>
      <c r="AH1192" s="138"/>
      <c r="AI1192" s="138"/>
      <c r="AJ1192" s="138"/>
      <c r="AK1192" s="138"/>
      <c r="AL1192" s="138"/>
      <c r="AM1192" s="138"/>
      <c r="AN1192" s="138"/>
      <c r="AO1192" s="138"/>
      <c r="AP1192" s="138"/>
      <c r="AQ1192" s="138"/>
      <c r="AR1192" s="138"/>
      <c r="AS1192" s="138"/>
      <c r="AT1192" s="138"/>
      <c r="AU1192" s="138"/>
      <c r="AV1192" s="138"/>
      <c r="AW1192" s="138"/>
      <c r="AX1192" s="138"/>
      <c r="AY1192" s="138"/>
      <c r="AZ1192" s="138"/>
      <c r="BA1192" s="138"/>
      <c r="BB1192" s="138"/>
      <c r="BC1192" s="138"/>
      <c r="BD1192" s="138"/>
      <c r="BE1192" s="138"/>
      <c r="BF1192" s="138"/>
      <c r="BG1192" s="138"/>
      <c r="BH1192" s="138"/>
      <c r="BI1192" s="138"/>
      <c r="BJ1192" s="138"/>
      <c r="BK1192" s="138"/>
      <c r="BL1192" s="138"/>
      <c r="BM1192" s="138"/>
      <c r="BN1192" s="138"/>
      <c r="BO1192" s="138"/>
    </row>
    <row r="1193" spans="1:67" s="267" customFormat="1" ht="69" customHeight="1" x14ac:dyDescent="0.2">
      <c r="A1193" s="317">
        <v>298</v>
      </c>
      <c r="B1193" s="298" t="s">
        <v>1620</v>
      </c>
      <c r="C1193" s="299"/>
      <c r="D1193" s="295" t="s">
        <v>107</v>
      </c>
      <c r="E1193" s="295"/>
      <c r="F1193" s="295"/>
      <c r="G1193" s="295"/>
      <c r="H1193" s="295"/>
      <c r="I1193" s="280" t="s">
        <v>1504</v>
      </c>
      <c r="J1193" s="300" t="s">
        <v>664</v>
      </c>
      <c r="K1193" s="282">
        <v>36200</v>
      </c>
      <c r="L1193" s="293" t="s">
        <v>111</v>
      </c>
      <c r="M1193" s="259" t="s">
        <v>1621</v>
      </c>
      <c r="N1193" s="176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  <c r="Z1193" s="138"/>
      <c r="AA1193" s="138"/>
      <c r="AB1193" s="138"/>
      <c r="AC1193" s="138"/>
      <c r="AD1193" s="138"/>
      <c r="AE1193" s="138"/>
      <c r="AF1193" s="138"/>
      <c r="AG1193" s="138"/>
      <c r="AH1193" s="138"/>
      <c r="AI1193" s="138"/>
      <c r="AJ1193" s="138"/>
      <c r="AK1193" s="138"/>
      <c r="AL1193" s="138"/>
      <c r="AM1193" s="138"/>
      <c r="AN1193" s="138"/>
      <c r="AO1193" s="138"/>
      <c r="AP1193" s="138"/>
      <c r="AQ1193" s="138"/>
      <c r="AR1193" s="138"/>
      <c r="AS1193" s="138"/>
      <c r="AT1193" s="138"/>
      <c r="AU1193" s="138"/>
      <c r="AV1193" s="138"/>
      <c r="AW1193" s="138"/>
      <c r="AX1193" s="138"/>
      <c r="AY1193" s="138"/>
      <c r="AZ1193" s="138"/>
      <c r="BA1193" s="138"/>
      <c r="BB1193" s="138"/>
      <c r="BC1193" s="138"/>
      <c r="BD1193" s="138"/>
      <c r="BE1193" s="138"/>
      <c r="BF1193" s="138"/>
      <c r="BG1193" s="138"/>
      <c r="BH1193" s="138"/>
      <c r="BI1193" s="138"/>
      <c r="BJ1193" s="138"/>
      <c r="BK1193" s="138"/>
      <c r="BL1193" s="138"/>
      <c r="BM1193" s="138"/>
      <c r="BN1193" s="138"/>
      <c r="BO1193" s="138"/>
    </row>
    <row r="1194" spans="1:67" s="267" customFormat="1" x14ac:dyDescent="0.2">
      <c r="A1194" s="310">
        <v>299</v>
      </c>
      <c r="B1194" s="301" t="s">
        <v>1622</v>
      </c>
      <c r="C1194" s="302"/>
      <c r="D1194" s="170" t="s">
        <v>107</v>
      </c>
      <c r="E1194" s="170"/>
      <c r="F1194" s="170"/>
      <c r="G1194" s="170"/>
      <c r="H1194" s="170" t="s">
        <v>164</v>
      </c>
      <c r="I1194" s="217" t="s">
        <v>1623</v>
      </c>
      <c r="J1194" s="265" t="s">
        <v>664</v>
      </c>
      <c r="K1194" s="266">
        <f>10000*60%</f>
        <v>6000</v>
      </c>
      <c r="L1194" s="175" t="s">
        <v>111</v>
      </c>
      <c r="M1194" s="175" t="s">
        <v>1624</v>
      </c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38"/>
      <c r="AI1194" s="138"/>
      <c r="AJ1194" s="138"/>
      <c r="AK1194" s="138"/>
      <c r="AL1194" s="138"/>
      <c r="AM1194" s="138"/>
      <c r="AN1194" s="138"/>
      <c r="AO1194" s="138"/>
      <c r="AP1194" s="138"/>
      <c r="AQ1194" s="138"/>
      <c r="AR1194" s="138"/>
      <c r="AS1194" s="138"/>
      <c r="AT1194" s="138"/>
      <c r="AU1194" s="138"/>
      <c r="AV1194" s="138"/>
      <c r="AW1194" s="138"/>
      <c r="AX1194" s="138"/>
      <c r="AY1194" s="138"/>
      <c r="AZ1194" s="138"/>
      <c r="BA1194" s="138"/>
      <c r="BB1194" s="138"/>
      <c r="BC1194" s="138"/>
      <c r="BD1194" s="138"/>
      <c r="BE1194" s="138"/>
      <c r="BF1194" s="138"/>
      <c r="BG1194" s="138"/>
      <c r="BH1194" s="138"/>
      <c r="BI1194" s="138"/>
      <c r="BJ1194" s="138"/>
      <c r="BK1194" s="138"/>
      <c r="BL1194" s="138"/>
      <c r="BM1194" s="138"/>
      <c r="BN1194" s="138"/>
      <c r="BO1194" s="138"/>
    </row>
    <row r="1195" spans="1:67" s="267" customFormat="1" ht="48" x14ac:dyDescent="0.2">
      <c r="A1195" s="311"/>
      <c r="B1195" s="286"/>
      <c r="C1195" s="287"/>
      <c r="D1195" s="180"/>
      <c r="E1195" s="180"/>
      <c r="F1195" s="180"/>
      <c r="G1195" s="180"/>
      <c r="H1195" s="180"/>
      <c r="I1195" s="188" t="s">
        <v>1625</v>
      </c>
      <c r="J1195" s="270" t="s">
        <v>664</v>
      </c>
      <c r="K1195" s="214">
        <f>10000*40%</f>
        <v>4000</v>
      </c>
      <c r="L1195" s="185"/>
      <c r="M1195" s="185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  <c r="Z1195" s="138"/>
      <c r="AA1195" s="138"/>
      <c r="AB1195" s="138"/>
      <c r="AC1195" s="138"/>
      <c r="AD1195" s="138"/>
      <c r="AE1195" s="138"/>
      <c r="AF1195" s="138"/>
      <c r="AG1195" s="138"/>
      <c r="AH1195" s="138"/>
      <c r="AI1195" s="138"/>
      <c r="AJ1195" s="138"/>
      <c r="AK1195" s="138"/>
      <c r="AL1195" s="138"/>
      <c r="AM1195" s="138"/>
      <c r="AN1195" s="138"/>
      <c r="AO1195" s="138"/>
      <c r="AP1195" s="138"/>
      <c r="AQ1195" s="138"/>
      <c r="AR1195" s="138"/>
      <c r="AS1195" s="138"/>
      <c r="AT1195" s="138"/>
      <c r="AU1195" s="138"/>
      <c r="AV1195" s="138"/>
      <c r="AW1195" s="138"/>
      <c r="AX1195" s="138"/>
      <c r="AY1195" s="138"/>
      <c r="AZ1195" s="138"/>
      <c r="BA1195" s="138"/>
      <c r="BB1195" s="138"/>
      <c r="BC1195" s="138"/>
      <c r="BD1195" s="138"/>
      <c r="BE1195" s="138"/>
      <c r="BF1195" s="138"/>
      <c r="BG1195" s="138"/>
      <c r="BH1195" s="138"/>
      <c r="BI1195" s="138"/>
      <c r="BJ1195" s="138"/>
      <c r="BK1195" s="138"/>
      <c r="BL1195" s="138"/>
      <c r="BM1195" s="138"/>
      <c r="BN1195" s="138"/>
      <c r="BO1195" s="138"/>
    </row>
    <row r="1196" spans="1:67" s="267" customFormat="1" x14ac:dyDescent="0.2">
      <c r="A1196" s="312"/>
      <c r="B1196" s="303"/>
      <c r="C1196" s="304"/>
      <c r="D1196" s="192"/>
      <c r="E1196" s="192"/>
      <c r="F1196" s="192"/>
      <c r="G1196" s="192"/>
      <c r="H1196" s="192"/>
      <c r="I1196" s="203"/>
      <c r="J1196" s="273"/>
      <c r="K1196" s="245">
        <f>SUM(K1194:K1195)</f>
        <v>10000</v>
      </c>
      <c r="L1196" s="197"/>
      <c r="M1196" s="197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  <c r="Z1196" s="138"/>
      <c r="AA1196" s="138"/>
      <c r="AB1196" s="138"/>
      <c r="AC1196" s="138"/>
      <c r="AD1196" s="138"/>
      <c r="AE1196" s="138"/>
      <c r="AF1196" s="138"/>
      <c r="AG1196" s="138"/>
      <c r="AH1196" s="138"/>
      <c r="AI1196" s="138"/>
      <c r="AJ1196" s="138"/>
      <c r="AK1196" s="138"/>
      <c r="AL1196" s="138"/>
      <c r="AM1196" s="138"/>
      <c r="AN1196" s="138"/>
      <c r="AO1196" s="138"/>
      <c r="AP1196" s="138"/>
      <c r="AQ1196" s="138"/>
      <c r="AR1196" s="138"/>
      <c r="AS1196" s="138"/>
      <c r="AT1196" s="138"/>
      <c r="AU1196" s="138"/>
      <c r="AV1196" s="138"/>
      <c r="AW1196" s="138"/>
      <c r="AX1196" s="138"/>
      <c r="AY1196" s="138"/>
      <c r="AZ1196" s="138"/>
      <c r="BA1196" s="138"/>
      <c r="BB1196" s="138"/>
      <c r="BC1196" s="138"/>
      <c r="BD1196" s="138"/>
      <c r="BE1196" s="138"/>
      <c r="BF1196" s="138"/>
      <c r="BG1196" s="138"/>
      <c r="BH1196" s="138"/>
      <c r="BI1196" s="138"/>
      <c r="BJ1196" s="138"/>
      <c r="BK1196" s="138"/>
      <c r="BL1196" s="138"/>
      <c r="BM1196" s="138"/>
      <c r="BN1196" s="138"/>
      <c r="BO1196" s="138"/>
    </row>
    <row r="1197" spans="1:67" s="267" customFormat="1" x14ac:dyDescent="0.2">
      <c r="A1197" s="310">
        <v>300</v>
      </c>
      <c r="B1197" s="301" t="s">
        <v>1626</v>
      </c>
      <c r="C1197" s="302"/>
      <c r="D1197" s="170" t="s">
        <v>107</v>
      </c>
      <c r="E1197" s="170"/>
      <c r="F1197" s="170"/>
      <c r="G1197" s="170"/>
      <c r="H1197" s="170"/>
      <c r="I1197" s="274" t="s">
        <v>1627</v>
      </c>
      <c r="J1197" s="275" t="s">
        <v>664</v>
      </c>
      <c r="K1197" s="276">
        <f>80000*60%</f>
        <v>48000</v>
      </c>
      <c r="L1197" s="175" t="s">
        <v>111</v>
      </c>
      <c r="M1197" s="175" t="s">
        <v>1628</v>
      </c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  <c r="Z1197" s="138"/>
      <c r="AA1197" s="138"/>
      <c r="AB1197" s="138"/>
      <c r="AC1197" s="138"/>
      <c r="AD1197" s="138"/>
      <c r="AE1197" s="138"/>
      <c r="AF1197" s="138"/>
      <c r="AG1197" s="138"/>
      <c r="AH1197" s="138"/>
      <c r="AI1197" s="138"/>
      <c r="AJ1197" s="138"/>
      <c r="AK1197" s="138"/>
      <c r="AL1197" s="138"/>
      <c r="AM1197" s="138"/>
      <c r="AN1197" s="138"/>
      <c r="AO1197" s="138"/>
      <c r="AP1197" s="138"/>
      <c r="AQ1197" s="138"/>
      <c r="AR1197" s="138"/>
      <c r="AS1197" s="138"/>
      <c r="AT1197" s="138"/>
      <c r="AU1197" s="138"/>
      <c r="AV1197" s="138"/>
      <c r="AW1197" s="138"/>
      <c r="AX1197" s="138"/>
      <c r="AY1197" s="138"/>
      <c r="AZ1197" s="138"/>
      <c r="BA1197" s="138"/>
      <c r="BB1197" s="138"/>
      <c r="BC1197" s="138"/>
      <c r="BD1197" s="138"/>
      <c r="BE1197" s="138"/>
      <c r="BF1197" s="138"/>
      <c r="BG1197" s="138"/>
      <c r="BH1197" s="138"/>
      <c r="BI1197" s="138"/>
      <c r="BJ1197" s="138"/>
      <c r="BK1197" s="138"/>
      <c r="BL1197" s="138"/>
      <c r="BM1197" s="138"/>
      <c r="BN1197" s="138"/>
      <c r="BO1197" s="138"/>
    </row>
    <row r="1198" spans="1:67" s="267" customFormat="1" ht="48" x14ac:dyDescent="0.2">
      <c r="A1198" s="311"/>
      <c r="B1198" s="286"/>
      <c r="C1198" s="287"/>
      <c r="D1198" s="180"/>
      <c r="E1198" s="180"/>
      <c r="F1198" s="180"/>
      <c r="G1198" s="180"/>
      <c r="H1198" s="180"/>
      <c r="I1198" s="188" t="s">
        <v>1629</v>
      </c>
      <c r="J1198" s="270" t="s">
        <v>664</v>
      </c>
      <c r="K1198" s="214">
        <f>80000*30%</f>
        <v>24000</v>
      </c>
      <c r="L1198" s="185"/>
      <c r="M1198" s="185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  <c r="Z1198" s="138"/>
      <c r="AA1198" s="138"/>
      <c r="AB1198" s="138"/>
      <c r="AC1198" s="138"/>
      <c r="AD1198" s="138"/>
      <c r="AE1198" s="138"/>
      <c r="AF1198" s="138"/>
      <c r="AG1198" s="138"/>
      <c r="AH1198" s="138"/>
      <c r="AI1198" s="138"/>
      <c r="AJ1198" s="138"/>
      <c r="AK1198" s="138"/>
      <c r="AL1198" s="138"/>
      <c r="AM1198" s="138"/>
      <c r="AN1198" s="138"/>
      <c r="AO1198" s="138"/>
      <c r="AP1198" s="138"/>
      <c r="AQ1198" s="138"/>
      <c r="AR1198" s="138"/>
      <c r="AS1198" s="138"/>
      <c r="AT1198" s="138"/>
      <c r="AU1198" s="138"/>
      <c r="AV1198" s="138"/>
      <c r="AW1198" s="138"/>
      <c r="AX1198" s="138"/>
      <c r="AY1198" s="138"/>
      <c r="AZ1198" s="138"/>
      <c r="BA1198" s="138"/>
      <c r="BB1198" s="138"/>
      <c r="BC1198" s="138"/>
      <c r="BD1198" s="138"/>
      <c r="BE1198" s="138"/>
      <c r="BF1198" s="138"/>
      <c r="BG1198" s="138"/>
      <c r="BH1198" s="138"/>
      <c r="BI1198" s="138"/>
      <c r="BJ1198" s="138"/>
      <c r="BK1198" s="138"/>
      <c r="BL1198" s="138"/>
      <c r="BM1198" s="138"/>
      <c r="BN1198" s="138"/>
      <c r="BO1198" s="138"/>
    </row>
    <row r="1199" spans="1:67" s="267" customFormat="1" x14ac:dyDescent="0.2">
      <c r="A1199" s="311"/>
      <c r="B1199" s="286"/>
      <c r="C1199" s="287"/>
      <c r="D1199" s="180"/>
      <c r="E1199" s="180"/>
      <c r="F1199" s="180"/>
      <c r="G1199" s="180"/>
      <c r="H1199" s="180"/>
      <c r="I1199" s="188" t="s">
        <v>1630</v>
      </c>
      <c r="J1199" s="270" t="s">
        <v>223</v>
      </c>
      <c r="K1199" s="214">
        <f>80000*10%</f>
        <v>8000</v>
      </c>
      <c r="L1199" s="185"/>
      <c r="M1199" s="185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38"/>
      <c r="AI1199" s="138"/>
      <c r="AJ1199" s="138"/>
      <c r="AK1199" s="138"/>
      <c r="AL1199" s="138"/>
      <c r="AM1199" s="138"/>
      <c r="AN1199" s="138"/>
      <c r="AO1199" s="138"/>
      <c r="AP1199" s="138"/>
      <c r="AQ1199" s="138"/>
      <c r="AR1199" s="138"/>
      <c r="AS1199" s="138"/>
      <c r="AT1199" s="138"/>
      <c r="AU1199" s="138"/>
      <c r="AV1199" s="138"/>
      <c r="AW1199" s="138"/>
      <c r="AX1199" s="138"/>
      <c r="AY1199" s="138"/>
      <c r="AZ1199" s="138"/>
      <c r="BA1199" s="138"/>
      <c r="BB1199" s="138"/>
      <c r="BC1199" s="138"/>
      <c r="BD1199" s="138"/>
      <c r="BE1199" s="138"/>
      <c r="BF1199" s="138"/>
      <c r="BG1199" s="138"/>
      <c r="BH1199" s="138"/>
      <c r="BI1199" s="138"/>
      <c r="BJ1199" s="138"/>
      <c r="BK1199" s="138"/>
      <c r="BL1199" s="138"/>
      <c r="BM1199" s="138"/>
      <c r="BN1199" s="138"/>
      <c r="BO1199" s="138"/>
    </row>
    <row r="1200" spans="1:67" s="267" customFormat="1" x14ac:dyDescent="0.2">
      <c r="A1200" s="312"/>
      <c r="B1200" s="303"/>
      <c r="C1200" s="304"/>
      <c r="D1200" s="192"/>
      <c r="E1200" s="192"/>
      <c r="F1200" s="192"/>
      <c r="G1200" s="192"/>
      <c r="H1200" s="192"/>
      <c r="I1200" s="181"/>
      <c r="J1200" s="305"/>
      <c r="K1200" s="199">
        <f>SUM(K1197:K1199)</f>
        <v>80000</v>
      </c>
      <c r="L1200" s="197"/>
      <c r="M1200" s="197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  <c r="Z1200" s="138"/>
      <c r="AA1200" s="138"/>
      <c r="AB1200" s="138"/>
      <c r="AC1200" s="138"/>
      <c r="AD1200" s="138"/>
      <c r="AE1200" s="138"/>
      <c r="AF1200" s="138"/>
      <c r="AG1200" s="138"/>
      <c r="AH1200" s="138"/>
      <c r="AI1200" s="138"/>
      <c r="AJ1200" s="138"/>
      <c r="AK1200" s="138"/>
      <c r="AL1200" s="138"/>
      <c r="AM1200" s="138"/>
      <c r="AN1200" s="138"/>
      <c r="AO1200" s="138"/>
      <c r="AP1200" s="138"/>
      <c r="AQ1200" s="138"/>
      <c r="AR1200" s="138"/>
      <c r="AS1200" s="138"/>
      <c r="AT1200" s="138"/>
      <c r="AU1200" s="138"/>
      <c r="AV1200" s="138"/>
      <c r="AW1200" s="138"/>
      <c r="AX1200" s="138"/>
      <c r="AY1200" s="138"/>
      <c r="AZ1200" s="138"/>
      <c r="BA1200" s="138"/>
      <c r="BB1200" s="138"/>
      <c r="BC1200" s="138"/>
      <c r="BD1200" s="138"/>
      <c r="BE1200" s="138"/>
      <c r="BF1200" s="138"/>
      <c r="BG1200" s="138"/>
      <c r="BH1200" s="138"/>
      <c r="BI1200" s="138"/>
      <c r="BJ1200" s="138"/>
      <c r="BK1200" s="138"/>
      <c r="BL1200" s="138"/>
      <c r="BM1200" s="138"/>
      <c r="BN1200" s="138"/>
      <c r="BO1200" s="138"/>
    </row>
    <row r="1201" spans="1:67" s="267" customFormat="1" x14ac:dyDescent="0.2">
      <c r="A1201" s="310">
        <v>301</v>
      </c>
      <c r="B1201" s="301" t="s">
        <v>1631</v>
      </c>
      <c r="C1201" s="302"/>
      <c r="D1201" s="170" t="s">
        <v>107</v>
      </c>
      <c r="E1201" s="170"/>
      <c r="F1201" s="170"/>
      <c r="G1201" s="170"/>
      <c r="H1201" s="170"/>
      <c r="I1201" s="217" t="s">
        <v>1632</v>
      </c>
      <c r="J1201" s="265" t="s">
        <v>664</v>
      </c>
      <c r="K1201" s="266">
        <f>80000*50%</f>
        <v>40000</v>
      </c>
      <c r="L1201" s="175" t="s">
        <v>111</v>
      </c>
      <c r="M1201" s="175" t="s">
        <v>1633</v>
      </c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  <c r="Z1201" s="138"/>
      <c r="AA1201" s="138"/>
      <c r="AB1201" s="138"/>
      <c r="AC1201" s="138"/>
      <c r="AD1201" s="138"/>
      <c r="AE1201" s="138"/>
      <c r="AF1201" s="138"/>
      <c r="AG1201" s="138"/>
      <c r="AH1201" s="138"/>
      <c r="AI1201" s="138"/>
      <c r="AJ1201" s="138"/>
      <c r="AK1201" s="138"/>
      <c r="AL1201" s="138"/>
      <c r="AM1201" s="138"/>
      <c r="AN1201" s="138"/>
      <c r="AO1201" s="138"/>
      <c r="AP1201" s="138"/>
      <c r="AQ1201" s="138"/>
      <c r="AR1201" s="138"/>
      <c r="AS1201" s="138"/>
      <c r="AT1201" s="138"/>
      <c r="AU1201" s="138"/>
      <c r="AV1201" s="138"/>
      <c r="AW1201" s="138"/>
      <c r="AX1201" s="138"/>
      <c r="AY1201" s="138"/>
      <c r="AZ1201" s="138"/>
      <c r="BA1201" s="138"/>
      <c r="BB1201" s="138"/>
      <c r="BC1201" s="138"/>
      <c r="BD1201" s="138"/>
      <c r="BE1201" s="138"/>
      <c r="BF1201" s="138"/>
      <c r="BG1201" s="138"/>
      <c r="BH1201" s="138"/>
      <c r="BI1201" s="138"/>
      <c r="BJ1201" s="138"/>
      <c r="BK1201" s="138"/>
      <c r="BL1201" s="138"/>
      <c r="BM1201" s="138"/>
      <c r="BN1201" s="138"/>
      <c r="BO1201" s="138"/>
    </row>
    <row r="1202" spans="1:67" s="267" customFormat="1" x14ac:dyDescent="0.2">
      <c r="A1202" s="311"/>
      <c r="B1202" s="286"/>
      <c r="C1202" s="287"/>
      <c r="D1202" s="180"/>
      <c r="E1202" s="180"/>
      <c r="F1202" s="180"/>
      <c r="G1202" s="180"/>
      <c r="H1202" s="180"/>
      <c r="I1202" s="188" t="s">
        <v>1634</v>
      </c>
      <c r="J1202" s="270" t="s">
        <v>664</v>
      </c>
      <c r="K1202" s="214">
        <f>80000*45%</f>
        <v>36000</v>
      </c>
      <c r="L1202" s="185"/>
      <c r="M1202" s="185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  <c r="Z1202" s="138"/>
      <c r="AA1202" s="138"/>
      <c r="AB1202" s="138"/>
      <c r="AC1202" s="138"/>
      <c r="AD1202" s="138"/>
      <c r="AE1202" s="138"/>
      <c r="AF1202" s="138"/>
      <c r="AG1202" s="138"/>
      <c r="AH1202" s="138"/>
      <c r="AI1202" s="138"/>
      <c r="AJ1202" s="138"/>
      <c r="AK1202" s="138"/>
      <c r="AL1202" s="138"/>
      <c r="AM1202" s="138"/>
      <c r="AN1202" s="138"/>
      <c r="AO1202" s="138"/>
      <c r="AP1202" s="138"/>
      <c r="AQ1202" s="138"/>
      <c r="AR1202" s="138"/>
      <c r="AS1202" s="138"/>
      <c r="AT1202" s="138"/>
      <c r="AU1202" s="138"/>
      <c r="AV1202" s="138"/>
      <c r="AW1202" s="138"/>
      <c r="AX1202" s="138"/>
      <c r="AY1202" s="138"/>
      <c r="AZ1202" s="138"/>
      <c r="BA1202" s="138"/>
      <c r="BB1202" s="138"/>
      <c r="BC1202" s="138"/>
      <c r="BD1202" s="138"/>
      <c r="BE1202" s="138"/>
      <c r="BF1202" s="138"/>
      <c r="BG1202" s="138"/>
      <c r="BH1202" s="138"/>
      <c r="BI1202" s="138"/>
      <c r="BJ1202" s="138"/>
      <c r="BK1202" s="138"/>
      <c r="BL1202" s="138"/>
      <c r="BM1202" s="138"/>
      <c r="BN1202" s="138"/>
      <c r="BO1202" s="138"/>
    </row>
    <row r="1203" spans="1:67" s="267" customFormat="1" ht="48" x14ac:dyDescent="0.2">
      <c r="A1203" s="311"/>
      <c r="B1203" s="286"/>
      <c r="C1203" s="287"/>
      <c r="D1203" s="180"/>
      <c r="E1203" s="180"/>
      <c r="F1203" s="180"/>
      <c r="G1203" s="180"/>
      <c r="H1203" s="180"/>
      <c r="I1203" s="188" t="s">
        <v>1635</v>
      </c>
      <c r="J1203" s="270" t="s">
        <v>664</v>
      </c>
      <c r="K1203" s="214">
        <f>80000*5%</f>
        <v>4000</v>
      </c>
      <c r="L1203" s="185"/>
      <c r="M1203" s="185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  <c r="Z1203" s="138"/>
      <c r="AA1203" s="138"/>
      <c r="AB1203" s="138"/>
      <c r="AC1203" s="138"/>
      <c r="AD1203" s="138"/>
      <c r="AE1203" s="138"/>
      <c r="AF1203" s="138"/>
      <c r="AG1203" s="138"/>
      <c r="AH1203" s="138"/>
      <c r="AI1203" s="138"/>
      <c r="AJ1203" s="138"/>
      <c r="AK1203" s="138"/>
      <c r="AL1203" s="138"/>
      <c r="AM1203" s="138"/>
      <c r="AN1203" s="138"/>
      <c r="AO1203" s="138"/>
      <c r="AP1203" s="138"/>
      <c r="AQ1203" s="138"/>
      <c r="AR1203" s="138"/>
      <c r="AS1203" s="138"/>
      <c r="AT1203" s="138"/>
      <c r="AU1203" s="138"/>
      <c r="AV1203" s="138"/>
      <c r="AW1203" s="138"/>
      <c r="AX1203" s="138"/>
      <c r="AY1203" s="138"/>
      <c r="AZ1203" s="138"/>
      <c r="BA1203" s="138"/>
      <c r="BB1203" s="138"/>
      <c r="BC1203" s="138"/>
      <c r="BD1203" s="138"/>
      <c r="BE1203" s="138"/>
      <c r="BF1203" s="138"/>
      <c r="BG1203" s="138"/>
      <c r="BH1203" s="138"/>
      <c r="BI1203" s="138"/>
      <c r="BJ1203" s="138"/>
      <c r="BK1203" s="138"/>
      <c r="BL1203" s="138"/>
      <c r="BM1203" s="138"/>
      <c r="BN1203" s="138"/>
      <c r="BO1203" s="138"/>
    </row>
    <row r="1204" spans="1:67" s="267" customFormat="1" x14ac:dyDescent="0.2">
      <c r="A1204" s="312"/>
      <c r="B1204" s="303"/>
      <c r="C1204" s="304"/>
      <c r="D1204" s="192"/>
      <c r="E1204" s="192"/>
      <c r="F1204" s="192"/>
      <c r="G1204" s="192"/>
      <c r="H1204" s="192"/>
      <c r="I1204" s="203"/>
      <c r="J1204" s="273"/>
      <c r="K1204" s="245">
        <f>SUM(K1201:K1203)</f>
        <v>80000</v>
      </c>
      <c r="L1204" s="197"/>
      <c r="M1204" s="197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  <c r="Z1204" s="138"/>
      <c r="AA1204" s="138"/>
      <c r="AB1204" s="138"/>
      <c r="AC1204" s="138"/>
      <c r="AD1204" s="138"/>
      <c r="AE1204" s="138"/>
      <c r="AF1204" s="138"/>
      <c r="AG1204" s="138"/>
      <c r="AH1204" s="138"/>
      <c r="AI1204" s="138"/>
      <c r="AJ1204" s="138"/>
      <c r="AK1204" s="138"/>
      <c r="AL1204" s="138"/>
      <c r="AM1204" s="138"/>
      <c r="AN1204" s="138"/>
      <c r="AO1204" s="138"/>
      <c r="AP1204" s="138"/>
      <c r="AQ1204" s="138"/>
      <c r="AR1204" s="138"/>
      <c r="AS1204" s="138"/>
      <c r="AT1204" s="138"/>
      <c r="AU1204" s="138"/>
      <c r="AV1204" s="138"/>
      <c r="AW1204" s="138"/>
      <c r="AX1204" s="138"/>
      <c r="AY1204" s="138"/>
      <c r="AZ1204" s="138"/>
      <c r="BA1204" s="138"/>
      <c r="BB1204" s="138"/>
      <c r="BC1204" s="138"/>
      <c r="BD1204" s="138"/>
      <c r="BE1204" s="138"/>
      <c r="BF1204" s="138"/>
      <c r="BG1204" s="138"/>
      <c r="BH1204" s="138"/>
      <c r="BI1204" s="138"/>
      <c r="BJ1204" s="138"/>
      <c r="BK1204" s="138"/>
      <c r="BL1204" s="138"/>
      <c r="BM1204" s="138"/>
      <c r="BN1204" s="138"/>
      <c r="BO1204" s="138"/>
    </row>
    <row r="1205" spans="1:67" s="267" customFormat="1" x14ac:dyDescent="0.2">
      <c r="A1205" s="310">
        <v>302</v>
      </c>
      <c r="B1205" s="301" t="s">
        <v>1636</v>
      </c>
      <c r="C1205" s="302"/>
      <c r="D1205" s="170" t="s">
        <v>107</v>
      </c>
      <c r="E1205" s="170"/>
      <c r="F1205" s="170"/>
      <c r="G1205" s="170"/>
      <c r="H1205" s="170"/>
      <c r="I1205" s="217" t="s">
        <v>1637</v>
      </c>
      <c r="J1205" s="265" t="s">
        <v>664</v>
      </c>
      <c r="K1205" s="266">
        <f>80000*40%</f>
        <v>32000</v>
      </c>
      <c r="L1205" s="175" t="s">
        <v>111</v>
      </c>
      <c r="M1205" s="175" t="s">
        <v>1638</v>
      </c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  <c r="Z1205" s="138"/>
      <c r="AA1205" s="138"/>
      <c r="AB1205" s="138"/>
      <c r="AC1205" s="138"/>
      <c r="AD1205" s="138"/>
      <c r="AE1205" s="138"/>
      <c r="AF1205" s="138"/>
      <c r="AG1205" s="138"/>
      <c r="AH1205" s="138"/>
      <c r="AI1205" s="138"/>
      <c r="AJ1205" s="138"/>
      <c r="AK1205" s="138"/>
      <c r="AL1205" s="138"/>
      <c r="AM1205" s="138"/>
      <c r="AN1205" s="138"/>
      <c r="AO1205" s="138"/>
      <c r="AP1205" s="138"/>
      <c r="AQ1205" s="138"/>
      <c r="AR1205" s="138"/>
      <c r="AS1205" s="138"/>
      <c r="AT1205" s="138"/>
      <c r="AU1205" s="138"/>
      <c r="AV1205" s="138"/>
      <c r="AW1205" s="138"/>
      <c r="AX1205" s="138"/>
      <c r="AY1205" s="138"/>
      <c r="AZ1205" s="138"/>
      <c r="BA1205" s="138"/>
      <c r="BB1205" s="138"/>
      <c r="BC1205" s="138"/>
      <c r="BD1205" s="138"/>
      <c r="BE1205" s="138"/>
      <c r="BF1205" s="138"/>
      <c r="BG1205" s="138"/>
      <c r="BH1205" s="138"/>
      <c r="BI1205" s="138"/>
      <c r="BJ1205" s="138"/>
      <c r="BK1205" s="138"/>
      <c r="BL1205" s="138"/>
      <c r="BM1205" s="138"/>
      <c r="BN1205" s="138"/>
      <c r="BO1205" s="138"/>
    </row>
    <row r="1206" spans="1:67" s="267" customFormat="1" x14ac:dyDescent="0.2">
      <c r="A1206" s="311"/>
      <c r="B1206" s="286"/>
      <c r="C1206" s="287"/>
      <c r="D1206" s="180"/>
      <c r="E1206" s="180"/>
      <c r="F1206" s="180"/>
      <c r="G1206" s="180"/>
      <c r="H1206" s="180"/>
      <c r="I1206" s="188" t="s">
        <v>1639</v>
      </c>
      <c r="J1206" s="270" t="s">
        <v>664</v>
      </c>
      <c r="K1206" s="214">
        <f>80000*20%</f>
        <v>16000</v>
      </c>
      <c r="L1206" s="185"/>
      <c r="M1206" s="185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138"/>
      <c r="AI1206" s="138"/>
      <c r="AJ1206" s="138"/>
      <c r="AK1206" s="138"/>
      <c r="AL1206" s="138"/>
      <c r="AM1206" s="138"/>
      <c r="AN1206" s="138"/>
      <c r="AO1206" s="138"/>
      <c r="AP1206" s="138"/>
      <c r="AQ1206" s="138"/>
      <c r="AR1206" s="138"/>
      <c r="AS1206" s="138"/>
      <c r="AT1206" s="138"/>
      <c r="AU1206" s="138"/>
      <c r="AV1206" s="138"/>
      <c r="AW1206" s="138"/>
      <c r="AX1206" s="138"/>
      <c r="AY1206" s="138"/>
      <c r="AZ1206" s="138"/>
      <c r="BA1206" s="138"/>
      <c r="BB1206" s="138"/>
      <c r="BC1206" s="138"/>
      <c r="BD1206" s="138"/>
      <c r="BE1206" s="138"/>
      <c r="BF1206" s="138"/>
      <c r="BG1206" s="138"/>
      <c r="BH1206" s="138"/>
      <c r="BI1206" s="138"/>
      <c r="BJ1206" s="138"/>
      <c r="BK1206" s="138"/>
      <c r="BL1206" s="138"/>
      <c r="BM1206" s="138"/>
      <c r="BN1206" s="138"/>
      <c r="BO1206" s="138"/>
    </row>
    <row r="1207" spans="1:67" s="267" customFormat="1" x14ac:dyDescent="0.2">
      <c r="A1207" s="311"/>
      <c r="B1207" s="286"/>
      <c r="C1207" s="287"/>
      <c r="D1207" s="180"/>
      <c r="E1207" s="180"/>
      <c r="F1207" s="180"/>
      <c r="G1207" s="180"/>
      <c r="H1207" s="180"/>
      <c r="I1207" s="188" t="s">
        <v>1640</v>
      </c>
      <c r="J1207" s="270" t="s">
        <v>664</v>
      </c>
      <c r="K1207" s="214">
        <f>80000*20%</f>
        <v>16000</v>
      </c>
      <c r="L1207" s="185"/>
      <c r="M1207" s="185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  <c r="Z1207" s="138"/>
      <c r="AA1207" s="138"/>
      <c r="AB1207" s="138"/>
      <c r="AC1207" s="138"/>
      <c r="AD1207" s="138"/>
      <c r="AE1207" s="138"/>
      <c r="AF1207" s="138"/>
      <c r="AG1207" s="138"/>
      <c r="AH1207" s="138"/>
      <c r="AI1207" s="138"/>
      <c r="AJ1207" s="138"/>
      <c r="AK1207" s="138"/>
      <c r="AL1207" s="138"/>
      <c r="AM1207" s="138"/>
      <c r="AN1207" s="138"/>
      <c r="AO1207" s="138"/>
      <c r="AP1207" s="138"/>
      <c r="AQ1207" s="138"/>
      <c r="AR1207" s="138"/>
      <c r="AS1207" s="138"/>
      <c r="AT1207" s="138"/>
      <c r="AU1207" s="138"/>
      <c r="AV1207" s="138"/>
      <c r="AW1207" s="138"/>
      <c r="AX1207" s="138"/>
      <c r="AY1207" s="138"/>
      <c r="AZ1207" s="138"/>
      <c r="BA1207" s="138"/>
      <c r="BB1207" s="138"/>
      <c r="BC1207" s="138"/>
      <c r="BD1207" s="138"/>
      <c r="BE1207" s="138"/>
      <c r="BF1207" s="138"/>
      <c r="BG1207" s="138"/>
      <c r="BH1207" s="138"/>
      <c r="BI1207" s="138"/>
      <c r="BJ1207" s="138"/>
      <c r="BK1207" s="138"/>
      <c r="BL1207" s="138"/>
      <c r="BM1207" s="138"/>
      <c r="BN1207" s="138"/>
      <c r="BO1207" s="138"/>
    </row>
    <row r="1208" spans="1:67" s="267" customFormat="1" x14ac:dyDescent="0.2">
      <c r="A1208" s="311"/>
      <c r="B1208" s="286"/>
      <c r="C1208" s="287"/>
      <c r="D1208" s="180"/>
      <c r="E1208" s="180"/>
      <c r="F1208" s="180"/>
      <c r="G1208" s="180"/>
      <c r="H1208" s="180"/>
      <c r="I1208" s="188" t="s">
        <v>1641</v>
      </c>
      <c r="J1208" s="270" t="s">
        <v>664</v>
      </c>
      <c r="K1208" s="214">
        <f>80000*20%</f>
        <v>16000</v>
      </c>
      <c r="L1208" s="185"/>
      <c r="M1208" s="185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  <c r="Z1208" s="138"/>
      <c r="AA1208" s="138"/>
      <c r="AB1208" s="138"/>
      <c r="AC1208" s="138"/>
      <c r="AD1208" s="138"/>
      <c r="AE1208" s="138"/>
      <c r="AF1208" s="138"/>
      <c r="AG1208" s="138"/>
      <c r="AH1208" s="138"/>
      <c r="AI1208" s="138"/>
      <c r="AJ1208" s="138"/>
      <c r="AK1208" s="138"/>
      <c r="AL1208" s="138"/>
      <c r="AM1208" s="138"/>
      <c r="AN1208" s="138"/>
      <c r="AO1208" s="138"/>
      <c r="AP1208" s="138"/>
      <c r="AQ1208" s="138"/>
      <c r="AR1208" s="138"/>
      <c r="AS1208" s="138"/>
      <c r="AT1208" s="138"/>
      <c r="AU1208" s="138"/>
      <c r="AV1208" s="138"/>
      <c r="AW1208" s="138"/>
      <c r="AX1208" s="138"/>
      <c r="AY1208" s="138"/>
      <c r="AZ1208" s="138"/>
      <c r="BA1208" s="138"/>
      <c r="BB1208" s="138"/>
      <c r="BC1208" s="138"/>
      <c r="BD1208" s="138"/>
      <c r="BE1208" s="138"/>
      <c r="BF1208" s="138"/>
      <c r="BG1208" s="138"/>
      <c r="BH1208" s="138"/>
      <c r="BI1208" s="138"/>
      <c r="BJ1208" s="138"/>
      <c r="BK1208" s="138"/>
      <c r="BL1208" s="138"/>
      <c r="BM1208" s="138"/>
      <c r="BN1208" s="138"/>
      <c r="BO1208" s="138"/>
    </row>
    <row r="1209" spans="1:67" s="267" customFormat="1" x14ac:dyDescent="0.2">
      <c r="A1209" s="312"/>
      <c r="B1209" s="303"/>
      <c r="C1209" s="304"/>
      <c r="D1209" s="192"/>
      <c r="E1209" s="192"/>
      <c r="F1209" s="192"/>
      <c r="G1209" s="192"/>
      <c r="H1209" s="192"/>
      <c r="I1209" s="203"/>
      <c r="J1209" s="273"/>
      <c r="K1209" s="245">
        <f>SUM(K1205:K1208)</f>
        <v>80000</v>
      </c>
      <c r="L1209" s="197"/>
      <c r="M1209" s="197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  <c r="Z1209" s="138"/>
      <c r="AA1209" s="138"/>
      <c r="AB1209" s="138"/>
      <c r="AC1209" s="138"/>
      <c r="AD1209" s="138"/>
      <c r="AE1209" s="138"/>
      <c r="AF1209" s="138"/>
      <c r="AG1209" s="138"/>
      <c r="AH1209" s="138"/>
      <c r="AI1209" s="138"/>
      <c r="AJ1209" s="138"/>
      <c r="AK1209" s="138"/>
      <c r="AL1209" s="138"/>
      <c r="AM1209" s="138"/>
      <c r="AN1209" s="138"/>
      <c r="AO1209" s="138"/>
      <c r="AP1209" s="138"/>
      <c r="AQ1209" s="138"/>
      <c r="AR1209" s="138"/>
      <c r="AS1209" s="138"/>
      <c r="AT1209" s="138"/>
      <c r="AU1209" s="138"/>
      <c r="AV1209" s="138"/>
      <c r="AW1209" s="138"/>
      <c r="AX1209" s="138"/>
      <c r="AY1209" s="138"/>
      <c r="AZ1209" s="138"/>
      <c r="BA1209" s="138"/>
      <c r="BB1209" s="138"/>
      <c r="BC1209" s="138"/>
      <c r="BD1209" s="138"/>
      <c r="BE1209" s="138"/>
      <c r="BF1209" s="138"/>
      <c r="BG1209" s="138"/>
      <c r="BH1209" s="138"/>
      <c r="BI1209" s="138"/>
      <c r="BJ1209" s="138"/>
      <c r="BK1209" s="138"/>
      <c r="BL1209" s="138"/>
      <c r="BM1209" s="138"/>
      <c r="BN1209" s="138"/>
      <c r="BO1209" s="138"/>
    </row>
    <row r="1210" spans="1:67" s="267" customFormat="1" x14ac:dyDescent="0.2">
      <c r="A1210" s="310">
        <v>303</v>
      </c>
      <c r="B1210" s="301" t="s">
        <v>1642</v>
      </c>
      <c r="C1210" s="302"/>
      <c r="D1210" s="170" t="s">
        <v>107</v>
      </c>
      <c r="E1210" s="170"/>
      <c r="F1210" s="170"/>
      <c r="G1210" s="170"/>
      <c r="H1210" s="170"/>
      <c r="I1210" s="217" t="s">
        <v>1643</v>
      </c>
      <c r="J1210" s="265" t="s">
        <v>664</v>
      </c>
      <c r="K1210" s="266">
        <f>80000*85%</f>
        <v>68000</v>
      </c>
      <c r="L1210" s="175" t="s">
        <v>111</v>
      </c>
      <c r="M1210" s="175" t="s">
        <v>1644</v>
      </c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  <c r="Z1210" s="138"/>
      <c r="AA1210" s="138"/>
      <c r="AB1210" s="138"/>
      <c r="AC1210" s="138"/>
      <c r="AD1210" s="138"/>
      <c r="AE1210" s="138"/>
      <c r="AF1210" s="138"/>
      <c r="AG1210" s="138"/>
      <c r="AH1210" s="138"/>
      <c r="AI1210" s="138"/>
      <c r="AJ1210" s="138"/>
      <c r="AK1210" s="138"/>
      <c r="AL1210" s="138"/>
      <c r="AM1210" s="138"/>
      <c r="AN1210" s="138"/>
      <c r="AO1210" s="138"/>
      <c r="AP1210" s="138"/>
      <c r="AQ1210" s="138"/>
      <c r="AR1210" s="138"/>
      <c r="AS1210" s="138"/>
      <c r="AT1210" s="138"/>
      <c r="AU1210" s="138"/>
      <c r="AV1210" s="138"/>
      <c r="AW1210" s="138"/>
      <c r="AX1210" s="138"/>
      <c r="AY1210" s="138"/>
      <c r="AZ1210" s="138"/>
      <c r="BA1210" s="138"/>
      <c r="BB1210" s="138"/>
      <c r="BC1210" s="138"/>
      <c r="BD1210" s="138"/>
      <c r="BE1210" s="138"/>
      <c r="BF1210" s="138"/>
      <c r="BG1210" s="138"/>
      <c r="BH1210" s="138"/>
      <c r="BI1210" s="138"/>
      <c r="BJ1210" s="138"/>
      <c r="BK1210" s="138"/>
      <c r="BL1210" s="138"/>
      <c r="BM1210" s="138"/>
      <c r="BN1210" s="138"/>
      <c r="BO1210" s="138"/>
    </row>
    <row r="1211" spans="1:67" s="267" customFormat="1" x14ac:dyDescent="0.2">
      <c r="A1211" s="311"/>
      <c r="B1211" s="286"/>
      <c r="C1211" s="287"/>
      <c r="D1211" s="180"/>
      <c r="E1211" s="180"/>
      <c r="F1211" s="180"/>
      <c r="G1211" s="180"/>
      <c r="H1211" s="180"/>
      <c r="I1211" s="188" t="s">
        <v>1469</v>
      </c>
      <c r="J1211" s="270" t="s">
        <v>664</v>
      </c>
      <c r="K1211" s="214">
        <f>80000*5%</f>
        <v>4000</v>
      </c>
      <c r="L1211" s="185"/>
      <c r="M1211" s="185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  <c r="Z1211" s="138"/>
      <c r="AA1211" s="138"/>
      <c r="AB1211" s="138"/>
      <c r="AC1211" s="138"/>
      <c r="AD1211" s="138"/>
      <c r="AE1211" s="138"/>
      <c r="AF1211" s="138"/>
      <c r="AG1211" s="138"/>
      <c r="AH1211" s="138"/>
      <c r="AI1211" s="138"/>
      <c r="AJ1211" s="138"/>
      <c r="AK1211" s="138"/>
      <c r="AL1211" s="138"/>
      <c r="AM1211" s="138"/>
      <c r="AN1211" s="138"/>
      <c r="AO1211" s="138"/>
      <c r="AP1211" s="138"/>
      <c r="AQ1211" s="138"/>
      <c r="AR1211" s="138"/>
      <c r="AS1211" s="138"/>
      <c r="AT1211" s="138"/>
      <c r="AU1211" s="138"/>
      <c r="AV1211" s="138"/>
      <c r="AW1211" s="138"/>
      <c r="AX1211" s="138"/>
      <c r="AY1211" s="138"/>
      <c r="AZ1211" s="138"/>
      <c r="BA1211" s="138"/>
      <c r="BB1211" s="138"/>
      <c r="BC1211" s="138"/>
      <c r="BD1211" s="138"/>
      <c r="BE1211" s="138"/>
      <c r="BF1211" s="138"/>
      <c r="BG1211" s="138"/>
      <c r="BH1211" s="138"/>
      <c r="BI1211" s="138"/>
      <c r="BJ1211" s="138"/>
      <c r="BK1211" s="138"/>
      <c r="BL1211" s="138"/>
      <c r="BM1211" s="138"/>
      <c r="BN1211" s="138"/>
      <c r="BO1211" s="138"/>
    </row>
    <row r="1212" spans="1:67" s="267" customFormat="1" x14ac:dyDescent="0.2">
      <c r="A1212" s="311"/>
      <c r="B1212" s="286"/>
      <c r="C1212" s="287"/>
      <c r="D1212" s="180"/>
      <c r="E1212" s="180"/>
      <c r="F1212" s="180"/>
      <c r="G1212" s="180"/>
      <c r="H1212" s="180"/>
      <c r="I1212" s="188" t="s">
        <v>1380</v>
      </c>
      <c r="J1212" s="270" t="s">
        <v>664</v>
      </c>
      <c r="K1212" s="214">
        <f t="shared" ref="K1212:K1213" si="22">80000*5%</f>
        <v>4000</v>
      </c>
      <c r="L1212" s="185"/>
      <c r="M1212" s="185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  <c r="Z1212" s="138"/>
      <c r="AA1212" s="138"/>
      <c r="AB1212" s="138"/>
      <c r="AC1212" s="138"/>
      <c r="AD1212" s="138"/>
      <c r="AE1212" s="138"/>
      <c r="AF1212" s="138"/>
      <c r="AG1212" s="138"/>
      <c r="AH1212" s="138"/>
      <c r="AI1212" s="138"/>
      <c r="AJ1212" s="138"/>
      <c r="AK1212" s="138"/>
      <c r="AL1212" s="138"/>
      <c r="AM1212" s="138"/>
      <c r="AN1212" s="138"/>
      <c r="AO1212" s="138"/>
      <c r="AP1212" s="138"/>
      <c r="AQ1212" s="138"/>
      <c r="AR1212" s="138"/>
      <c r="AS1212" s="138"/>
      <c r="AT1212" s="138"/>
      <c r="AU1212" s="138"/>
      <c r="AV1212" s="138"/>
      <c r="AW1212" s="138"/>
      <c r="AX1212" s="138"/>
      <c r="AY1212" s="138"/>
      <c r="AZ1212" s="138"/>
      <c r="BA1212" s="138"/>
      <c r="BB1212" s="138"/>
      <c r="BC1212" s="138"/>
      <c r="BD1212" s="138"/>
      <c r="BE1212" s="138"/>
      <c r="BF1212" s="138"/>
      <c r="BG1212" s="138"/>
      <c r="BH1212" s="138"/>
      <c r="BI1212" s="138"/>
      <c r="BJ1212" s="138"/>
      <c r="BK1212" s="138"/>
      <c r="BL1212" s="138"/>
      <c r="BM1212" s="138"/>
      <c r="BN1212" s="138"/>
      <c r="BO1212" s="138"/>
    </row>
    <row r="1213" spans="1:67" s="267" customFormat="1" x14ac:dyDescent="0.2">
      <c r="A1213" s="311"/>
      <c r="B1213" s="286"/>
      <c r="C1213" s="287"/>
      <c r="D1213" s="180"/>
      <c r="E1213" s="180"/>
      <c r="F1213" s="180"/>
      <c r="G1213" s="180"/>
      <c r="H1213" s="180"/>
      <c r="I1213" s="188" t="s">
        <v>1645</v>
      </c>
      <c r="J1213" s="270" t="s">
        <v>664</v>
      </c>
      <c r="K1213" s="214">
        <f t="shared" si="22"/>
        <v>4000</v>
      </c>
      <c r="L1213" s="185"/>
      <c r="M1213" s="185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  <c r="Z1213" s="138"/>
      <c r="AA1213" s="138"/>
      <c r="AB1213" s="138"/>
      <c r="AC1213" s="138"/>
      <c r="AD1213" s="138"/>
      <c r="AE1213" s="138"/>
      <c r="AF1213" s="138"/>
      <c r="AG1213" s="138"/>
      <c r="AH1213" s="138"/>
      <c r="AI1213" s="138"/>
      <c r="AJ1213" s="138"/>
      <c r="AK1213" s="138"/>
      <c r="AL1213" s="138"/>
      <c r="AM1213" s="138"/>
      <c r="AN1213" s="138"/>
      <c r="AO1213" s="138"/>
      <c r="AP1213" s="138"/>
      <c r="AQ1213" s="138"/>
      <c r="AR1213" s="138"/>
      <c r="AS1213" s="138"/>
      <c r="AT1213" s="138"/>
      <c r="AU1213" s="138"/>
      <c r="AV1213" s="138"/>
      <c r="AW1213" s="138"/>
      <c r="AX1213" s="138"/>
      <c r="AY1213" s="138"/>
      <c r="AZ1213" s="138"/>
      <c r="BA1213" s="138"/>
      <c r="BB1213" s="138"/>
      <c r="BC1213" s="138"/>
      <c r="BD1213" s="138"/>
      <c r="BE1213" s="138"/>
      <c r="BF1213" s="138"/>
      <c r="BG1213" s="138"/>
      <c r="BH1213" s="138"/>
      <c r="BI1213" s="138"/>
      <c r="BJ1213" s="138"/>
      <c r="BK1213" s="138"/>
      <c r="BL1213" s="138"/>
      <c r="BM1213" s="138"/>
      <c r="BN1213" s="138"/>
      <c r="BO1213" s="138"/>
    </row>
    <row r="1214" spans="1:67" s="267" customFormat="1" x14ac:dyDescent="0.2">
      <c r="A1214" s="312"/>
      <c r="B1214" s="303"/>
      <c r="C1214" s="304"/>
      <c r="D1214" s="192"/>
      <c r="E1214" s="192"/>
      <c r="F1214" s="192"/>
      <c r="G1214" s="192"/>
      <c r="H1214" s="192"/>
      <c r="I1214" s="203"/>
      <c r="J1214" s="273"/>
      <c r="K1214" s="245">
        <f>SUM(K1210:K1213)</f>
        <v>80000</v>
      </c>
      <c r="L1214" s="197"/>
      <c r="M1214" s="197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  <c r="Z1214" s="138"/>
      <c r="AA1214" s="138"/>
      <c r="AB1214" s="138"/>
      <c r="AC1214" s="138"/>
      <c r="AD1214" s="138"/>
      <c r="AE1214" s="138"/>
      <c r="AF1214" s="138"/>
      <c r="AG1214" s="138"/>
      <c r="AH1214" s="138"/>
      <c r="AI1214" s="138"/>
      <c r="AJ1214" s="138"/>
      <c r="AK1214" s="138"/>
      <c r="AL1214" s="138"/>
      <c r="AM1214" s="138"/>
      <c r="AN1214" s="138"/>
      <c r="AO1214" s="138"/>
      <c r="AP1214" s="138"/>
      <c r="AQ1214" s="138"/>
      <c r="AR1214" s="138"/>
      <c r="AS1214" s="138"/>
      <c r="AT1214" s="138"/>
      <c r="AU1214" s="138"/>
      <c r="AV1214" s="138"/>
      <c r="AW1214" s="138"/>
      <c r="AX1214" s="138"/>
      <c r="AY1214" s="138"/>
      <c r="AZ1214" s="138"/>
      <c r="BA1214" s="138"/>
      <c r="BB1214" s="138"/>
      <c r="BC1214" s="138"/>
      <c r="BD1214" s="138"/>
      <c r="BE1214" s="138"/>
      <c r="BF1214" s="138"/>
      <c r="BG1214" s="138"/>
      <c r="BH1214" s="138"/>
      <c r="BI1214" s="138"/>
      <c r="BJ1214" s="138"/>
      <c r="BK1214" s="138"/>
      <c r="BL1214" s="138"/>
      <c r="BM1214" s="138"/>
      <c r="BN1214" s="138"/>
      <c r="BO1214" s="138"/>
    </row>
    <row r="1215" spans="1:67" s="283" customFormat="1" x14ac:dyDescent="0.2">
      <c r="A1215" s="310">
        <v>304</v>
      </c>
      <c r="B1215" s="301" t="s">
        <v>1646</v>
      </c>
      <c r="C1215" s="302"/>
      <c r="D1215" s="170" t="s">
        <v>25</v>
      </c>
      <c r="E1215" s="170"/>
      <c r="F1215" s="170"/>
      <c r="G1215" s="170" t="s">
        <v>1647</v>
      </c>
      <c r="H1215" s="170"/>
      <c r="I1215" s="217" t="s">
        <v>1648</v>
      </c>
      <c r="J1215" s="259" t="s">
        <v>664</v>
      </c>
      <c r="K1215" s="363">
        <f>5000000*56%</f>
        <v>2800000.0000000005</v>
      </c>
      <c r="L1215" s="175" t="s">
        <v>1647</v>
      </c>
      <c r="M1215" s="175" t="s">
        <v>1649</v>
      </c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  <c r="Z1215" s="138"/>
      <c r="AA1215" s="138"/>
      <c r="AB1215" s="138"/>
      <c r="AC1215" s="138"/>
      <c r="AD1215" s="138"/>
      <c r="AE1215" s="138"/>
      <c r="AF1215" s="138"/>
      <c r="AG1215" s="138"/>
      <c r="AH1215" s="138"/>
      <c r="AI1215" s="138"/>
      <c r="AJ1215" s="138"/>
      <c r="AK1215" s="138"/>
      <c r="AL1215" s="138"/>
      <c r="AM1215" s="138"/>
      <c r="AN1215" s="138"/>
      <c r="AO1215" s="138"/>
      <c r="AP1215" s="138"/>
      <c r="AQ1215" s="138"/>
      <c r="AR1215" s="138"/>
      <c r="AS1215" s="138"/>
      <c r="AT1215" s="138"/>
      <c r="AU1215" s="138"/>
      <c r="AV1215" s="138"/>
      <c r="AW1215" s="138"/>
      <c r="AX1215" s="138"/>
      <c r="AY1215" s="138"/>
      <c r="AZ1215" s="138"/>
      <c r="BA1215" s="138"/>
      <c r="BB1215" s="138"/>
      <c r="BC1215" s="138"/>
      <c r="BD1215" s="138"/>
      <c r="BE1215" s="138"/>
      <c r="BF1215" s="138"/>
      <c r="BG1215" s="138"/>
      <c r="BH1215" s="138"/>
      <c r="BI1215" s="138"/>
      <c r="BJ1215" s="138"/>
      <c r="BK1215" s="138"/>
      <c r="BL1215" s="138"/>
      <c r="BM1215" s="138"/>
      <c r="BN1215" s="138"/>
      <c r="BO1215" s="138"/>
    </row>
    <row r="1216" spans="1:67" s="283" customFormat="1" x14ac:dyDescent="0.2">
      <c r="A1216" s="311"/>
      <c r="B1216" s="286"/>
      <c r="C1216" s="287"/>
      <c r="D1216" s="180"/>
      <c r="E1216" s="180"/>
      <c r="F1216" s="180"/>
      <c r="G1216" s="180"/>
      <c r="H1216" s="180"/>
      <c r="I1216" s="188" t="s">
        <v>1650</v>
      </c>
      <c r="J1216" s="207" t="s">
        <v>664</v>
      </c>
      <c r="K1216" s="199">
        <f>5000000*20%</f>
        <v>1000000</v>
      </c>
      <c r="L1216" s="185"/>
      <c r="M1216" s="185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  <c r="Z1216" s="138"/>
      <c r="AA1216" s="138"/>
      <c r="AB1216" s="138"/>
      <c r="AC1216" s="138"/>
      <c r="AD1216" s="138"/>
      <c r="AE1216" s="138"/>
      <c r="AF1216" s="138"/>
      <c r="AG1216" s="138"/>
      <c r="AH1216" s="138"/>
      <c r="AI1216" s="138"/>
      <c r="AJ1216" s="138"/>
      <c r="AK1216" s="138"/>
      <c r="AL1216" s="138"/>
      <c r="AM1216" s="138"/>
      <c r="AN1216" s="138"/>
      <c r="AO1216" s="138"/>
      <c r="AP1216" s="138"/>
      <c r="AQ1216" s="138"/>
      <c r="AR1216" s="138"/>
      <c r="AS1216" s="138"/>
      <c r="AT1216" s="138"/>
      <c r="AU1216" s="138"/>
      <c r="AV1216" s="138"/>
      <c r="AW1216" s="138"/>
      <c r="AX1216" s="138"/>
      <c r="AY1216" s="138"/>
      <c r="AZ1216" s="138"/>
      <c r="BA1216" s="138"/>
      <c r="BB1216" s="138"/>
      <c r="BC1216" s="138"/>
      <c r="BD1216" s="138"/>
      <c r="BE1216" s="138"/>
      <c r="BF1216" s="138"/>
      <c r="BG1216" s="138"/>
      <c r="BH1216" s="138"/>
      <c r="BI1216" s="138"/>
      <c r="BJ1216" s="138"/>
      <c r="BK1216" s="138"/>
      <c r="BL1216" s="138"/>
      <c r="BM1216" s="138"/>
      <c r="BN1216" s="138"/>
      <c r="BO1216" s="138"/>
    </row>
    <row r="1217" spans="1:67" s="283" customFormat="1" x14ac:dyDescent="0.2">
      <c r="A1217" s="311"/>
      <c r="B1217" s="286"/>
      <c r="C1217" s="287"/>
      <c r="D1217" s="180"/>
      <c r="E1217" s="180"/>
      <c r="F1217" s="180"/>
      <c r="G1217" s="180"/>
      <c r="H1217" s="180"/>
      <c r="I1217" s="188" t="s">
        <v>1651</v>
      </c>
      <c r="J1217" s="207" t="s">
        <v>303</v>
      </c>
      <c r="K1217" s="214">
        <f>5000000*12%</f>
        <v>600000</v>
      </c>
      <c r="L1217" s="185"/>
      <c r="M1217" s="185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C1217" s="138"/>
      <c r="AD1217" s="138"/>
      <c r="AE1217" s="138"/>
      <c r="AF1217" s="138"/>
      <c r="AG1217" s="138"/>
      <c r="AH1217" s="138"/>
      <c r="AI1217" s="138"/>
      <c r="AJ1217" s="138"/>
      <c r="AK1217" s="138"/>
      <c r="AL1217" s="138"/>
      <c r="AM1217" s="138"/>
      <c r="AN1217" s="138"/>
      <c r="AO1217" s="138"/>
      <c r="AP1217" s="138"/>
      <c r="AQ1217" s="138"/>
      <c r="AR1217" s="138"/>
      <c r="AS1217" s="138"/>
      <c r="AT1217" s="138"/>
      <c r="AU1217" s="138"/>
      <c r="AV1217" s="138"/>
      <c r="AW1217" s="138"/>
      <c r="AX1217" s="138"/>
      <c r="AY1217" s="138"/>
      <c r="AZ1217" s="138"/>
      <c r="BA1217" s="138"/>
      <c r="BB1217" s="138"/>
      <c r="BC1217" s="138"/>
      <c r="BD1217" s="138"/>
      <c r="BE1217" s="138"/>
      <c r="BF1217" s="138"/>
      <c r="BG1217" s="138"/>
      <c r="BH1217" s="138"/>
      <c r="BI1217" s="138"/>
      <c r="BJ1217" s="138"/>
      <c r="BK1217" s="138"/>
      <c r="BL1217" s="138"/>
      <c r="BM1217" s="138"/>
      <c r="BN1217" s="138"/>
      <c r="BO1217" s="138"/>
    </row>
    <row r="1218" spans="1:67" s="283" customFormat="1" ht="48" x14ac:dyDescent="0.2">
      <c r="A1218" s="311"/>
      <c r="B1218" s="286"/>
      <c r="C1218" s="287"/>
      <c r="D1218" s="180"/>
      <c r="E1218" s="180"/>
      <c r="F1218" s="180"/>
      <c r="G1218" s="180"/>
      <c r="H1218" s="180"/>
      <c r="I1218" s="188" t="s">
        <v>1652</v>
      </c>
      <c r="J1218" s="207" t="s">
        <v>664</v>
      </c>
      <c r="K1218" s="214">
        <f>5000000*12%</f>
        <v>600000</v>
      </c>
      <c r="L1218" s="185"/>
      <c r="M1218" s="185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C1218" s="138"/>
      <c r="AD1218" s="138"/>
      <c r="AE1218" s="138"/>
      <c r="AF1218" s="138"/>
      <c r="AG1218" s="138"/>
      <c r="AH1218" s="138"/>
      <c r="AI1218" s="138"/>
      <c r="AJ1218" s="138"/>
      <c r="AK1218" s="138"/>
      <c r="AL1218" s="138"/>
      <c r="AM1218" s="138"/>
      <c r="AN1218" s="138"/>
      <c r="AO1218" s="138"/>
      <c r="AP1218" s="138"/>
      <c r="AQ1218" s="138"/>
      <c r="AR1218" s="138"/>
      <c r="AS1218" s="138"/>
      <c r="AT1218" s="138"/>
      <c r="AU1218" s="138"/>
      <c r="AV1218" s="138"/>
      <c r="AW1218" s="138"/>
      <c r="AX1218" s="138"/>
      <c r="AY1218" s="138"/>
      <c r="AZ1218" s="138"/>
      <c r="BA1218" s="138"/>
      <c r="BB1218" s="138"/>
      <c r="BC1218" s="138"/>
      <c r="BD1218" s="138"/>
      <c r="BE1218" s="138"/>
      <c r="BF1218" s="138"/>
      <c r="BG1218" s="138"/>
      <c r="BH1218" s="138"/>
      <c r="BI1218" s="138"/>
      <c r="BJ1218" s="138"/>
      <c r="BK1218" s="138"/>
      <c r="BL1218" s="138"/>
      <c r="BM1218" s="138"/>
      <c r="BN1218" s="138"/>
      <c r="BO1218" s="138"/>
    </row>
    <row r="1219" spans="1:67" s="283" customFormat="1" x14ac:dyDescent="0.2">
      <c r="A1219" s="311"/>
      <c r="B1219" s="286"/>
      <c r="C1219" s="287"/>
      <c r="D1219" s="180"/>
      <c r="E1219" s="180"/>
      <c r="F1219" s="180"/>
      <c r="G1219" s="180"/>
      <c r="H1219" s="180"/>
      <c r="I1219" s="193"/>
      <c r="J1219" s="215"/>
      <c r="K1219" s="290">
        <f>SUM(K1215:K1218)</f>
        <v>5000000</v>
      </c>
      <c r="L1219" s="197"/>
      <c r="M1219" s="197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38"/>
      <c r="AD1219" s="138"/>
      <c r="AE1219" s="138"/>
      <c r="AF1219" s="138"/>
      <c r="AG1219" s="138"/>
      <c r="AH1219" s="138"/>
      <c r="AI1219" s="138"/>
      <c r="AJ1219" s="138"/>
      <c r="AK1219" s="138"/>
      <c r="AL1219" s="138"/>
      <c r="AM1219" s="138"/>
      <c r="AN1219" s="138"/>
      <c r="AO1219" s="138"/>
      <c r="AP1219" s="138"/>
      <c r="AQ1219" s="138"/>
      <c r="AR1219" s="138"/>
      <c r="AS1219" s="138"/>
      <c r="AT1219" s="138"/>
      <c r="AU1219" s="138"/>
      <c r="AV1219" s="138"/>
      <c r="AW1219" s="138"/>
      <c r="AX1219" s="138"/>
      <c r="AY1219" s="138"/>
      <c r="AZ1219" s="138"/>
      <c r="BA1219" s="138"/>
      <c r="BB1219" s="138"/>
      <c r="BC1219" s="138"/>
      <c r="BD1219" s="138"/>
      <c r="BE1219" s="138"/>
      <c r="BF1219" s="138"/>
      <c r="BG1219" s="138"/>
      <c r="BH1219" s="138"/>
      <c r="BI1219" s="138"/>
      <c r="BJ1219" s="138"/>
      <c r="BK1219" s="138"/>
      <c r="BL1219" s="138"/>
      <c r="BM1219" s="138"/>
      <c r="BN1219" s="138"/>
      <c r="BO1219" s="138"/>
    </row>
    <row r="1220" spans="1:67" s="283" customFormat="1" ht="24.75" customHeight="1" x14ac:dyDescent="0.2">
      <c r="A1220" s="310">
        <v>305</v>
      </c>
      <c r="B1220" s="284" t="s">
        <v>1653</v>
      </c>
      <c r="C1220" s="285"/>
      <c r="D1220" s="170" t="s">
        <v>25</v>
      </c>
      <c r="E1220" s="431"/>
      <c r="F1220" s="431"/>
      <c r="G1220" s="431" t="s">
        <v>1647</v>
      </c>
      <c r="H1220" s="431"/>
      <c r="I1220" s="274" t="s">
        <v>1654</v>
      </c>
      <c r="J1220" s="172" t="s">
        <v>664</v>
      </c>
      <c r="K1220" s="370">
        <f>4000000*65%</f>
        <v>2600000</v>
      </c>
      <c r="L1220" s="175" t="s">
        <v>1655</v>
      </c>
      <c r="M1220" s="259" t="s">
        <v>1656</v>
      </c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  <c r="Z1220" s="138"/>
      <c r="AA1220" s="138"/>
      <c r="AB1220" s="138"/>
      <c r="AC1220" s="138"/>
      <c r="AD1220" s="138"/>
      <c r="AE1220" s="138"/>
      <c r="AF1220" s="138"/>
      <c r="AG1220" s="138"/>
      <c r="AH1220" s="138"/>
      <c r="AI1220" s="138"/>
      <c r="AJ1220" s="138"/>
      <c r="AK1220" s="138"/>
      <c r="AL1220" s="138"/>
      <c r="AM1220" s="138"/>
      <c r="AN1220" s="138"/>
      <c r="AO1220" s="138"/>
      <c r="AP1220" s="138"/>
      <c r="AQ1220" s="138"/>
      <c r="AR1220" s="138"/>
      <c r="AS1220" s="138"/>
      <c r="AT1220" s="138"/>
      <c r="AU1220" s="138"/>
      <c r="AV1220" s="138"/>
      <c r="AW1220" s="138"/>
      <c r="AX1220" s="138"/>
      <c r="AY1220" s="138"/>
      <c r="AZ1220" s="138"/>
      <c r="BA1220" s="138"/>
      <c r="BB1220" s="138"/>
      <c r="BC1220" s="138"/>
      <c r="BD1220" s="138"/>
      <c r="BE1220" s="138"/>
      <c r="BF1220" s="138"/>
      <c r="BG1220" s="138"/>
      <c r="BH1220" s="138"/>
      <c r="BI1220" s="138"/>
      <c r="BJ1220" s="138"/>
      <c r="BK1220" s="138"/>
      <c r="BL1220" s="138"/>
      <c r="BM1220" s="138"/>
      <c r="BN1220" s="138"/>
      <c r="BO1220" s="138"/>
    </row>
    <row r="1221" spans="1:67" s="283" customFormat="1" x14ac:dyDescent="0.2">
      <c r="A1221" s="311"/>
      <c r="B1221" s="286"/>
      <c r="C1221" s="287"/>
      <c r="D1221" s="180"/>
      <c r="E1221" s="180"/>
      <c r="F1221" s="180"/>
      <c r="G1221" s="180"/>
      <c r="H1221" s="180"/>
      <c r="I1221" s="171" t="s">
        <v>1485</v>
      </c>
      <c r="J1221" s="207" t="s">
        <v>664</v>
      </c>
      <c r="K1221" s="214">
        <f>4000000*5%</f>
        <v>200000</v>
      </c>
      <c r="L1221" s="185"/>
      <c r="M1221" s="172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  <c r="Z1221" s="138"/>
      <c r="AA1221" s="138"/>
      <c r="AB1221" s="138"/>
      <c r="AC1221" s="138"/>
      <c r="AD1221" s="138"/>
      <c r="AE1221" s="138"/>
      <c r="AF1221" s="138"/>
      <c r="AG1221" s="138"/>
      <c r="AH1221" s="138"/>
      <c r="AI1221" s="138"/>
      <c r="AJ1221" s="138"/>
      <c r="AK1221" s="138"/>
      <c r="AL1221" s="138"/>
      <c r="AM1221" s="138"/>
      <c r="AN1221" s="138"/>
      <c r="AO1221" s="138"/>
      <c r="AP1221" s="138"/>
      <c r="AQ1221" s="138"/>
      <c r="AR1221" s="138"/>
      <c r="AS1221" s="138"/>
      <c r="AT1221" s="138"/>
      <c r="AU1221" s="138"/>
      <c r="AV1221" s="138"/>
      <c r="AW1221" s="138"/>
      <c r="AX1221" s="138"/>
      <c r="AY1221" s="138"/>
      <c r="AZ1221" s="138"/>
      <c r="BA1221" s="138"/>
      <c r="BB1221" s="138"/>
      <c r="BC1221" s="138"/>
      <c r="BD1221" s="138"/>
      <c r="BE1221" s="138"/>
      <c r="BF1221" s="138"/>
      <c r="BG1221" s="138"/>
      <c r="BH1221" s="138"/>
      <c r="BI1221" s="138"/>
      <c r="BJ1221" s="138"/>
      <c r="BK1221" s="138"/>
      <c r="BL1221" s="138"/>
      <c r="BM1221" s="138"/>
      <c r="BN1221" s="138"/>
      <c r="BO1221" s="138"/>
    </row>
    <row r="1222" spans="1:67" s="283" customFormat="1" x14ac:dyDescent="0.2">
      <c r="A1222" s="311"/>
      <c r="B1222" s="286"/>
      <c r="C1222" s="287"/>
      <c r="D1222" s="180"/>
      <c r="E1222" s="180"/>
      <c r="F1222" s="180"/>
      <c r="G1222" s="180"/>
      <c r="H1222" s="180"/>
      <c r="I1222" s="188" t="s">
        <v>1557</v>
      </c>
      <c r="J1222" s="172" t="s">
        <v>664</v>
      </c>
      <c r="K1222" s="214">
        <f t="shared" ref="K1222:K1227" si="23">4000000*5%</f>
        <v>200000</v>
      </c>
      <c r="L1222" s="185"/>
      <c r="M1222" s="172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  <c r="Z1222" s="138"/>
      <c r="AA1222" s="138"/>
      <c r="AB1222" s="138"/>
      <c r="AC1222" s="138"/>
      <c r="AD1222" s="138"/>
      <c r="AE1222" s="138"/>
      <c r="AF1222" s="138"/>
      <c r="AG1222" s="138"/>
      <c r="AH1222" s="138"/>
      <c r="AI1222" s="138"/>
      <c r="AJ1222" s="138"/>
      <c r="AK1222" s="138"/>
      <c r="AL1222" s="138"/>
      <c r="AM1222" s="138"/>
      <c r="AN1222" s="138"/>
      <c r="AO1222" s="138"/>
      <c r="AP1222" s="138"/>
      <c r="AQ1222" s="138"/>
      <c r="AR1222" s="138"/>
      <c r="AS1222" s="138"/>
      <c r="AT1222" s="138"/>
      <c r="AU1222" s="138"/>
      <c r="AV1222" s="138"/>
      <c r="AW1222" s="138"/>
      <c r="AX1222" s="138"/>
      <c r="AY1222" s="138"/>
      <c r="AZ1222" s="138"/>
      <c r="BA1222" s="138"/>
      <c r="BB1222" s="138"/>
      <c r="BC1222" s="138"/>
      <c r="BD1222" s="138"/>
      <c r="BE1222" s="138"/>
      <c r="BF1222" s="138"/>
      <c r="BG1222" s="138"/>
      <c r="BH1222" s="138"/>
      <c r="BI1222" s="138"/>
      <c r="BJ1222" s="138"/>
      <c r="BK1222" s="138"/>
      <c r="BL1222" s="138"/>
      <c r="BM1222" s="138"/>
      <c r="BN1222" s="138"/>
      <c r="BO1222" s="138"/>
    </row>
    <row r="1223" spans="1:67" s="283" customFormat="1" ht="32.25" customHeight="1" x14ac:dyDescent="0.2">
      <c r="A1223" s="311"/>
      <c r="B1223" s="286"/>
      <c r="C1223" s="287"/>
      <c r="D1223" s="180"/>
      <c r="E1223" s="180"/>
      <c r="F1223" s="180"/>
      <c r="G1223" s="180"/>
      <c r="H1223" s="180"/>
      <c r="I1223" s="171" t="s">
        <v>994</v>
      </c>
      <c r="J1223" s="207" t="s">
        <v>664</v>
      </c>
      <c r="K1223" s="214">
        <f t="shared" si="23"/>
        <v>200000</v>
      </c>
      <c r="L1223" s="185"/>
      <c r="M1223" s="172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  <c r="Z1223" s="138"/>
      <c r="AA1223" s="138"/>
      <c r="AB1223" s="138"/>
      <c r="AC1223" s="138"/>
      <c r="AD1223" s="138"/>
      <c r="AE1223" s="138"/>
      <c r="AF1223" s="138"/>
      <c r="AG1223" s="138"/>
      <c r="AH1223" s="138"/>
      <c r="AI1223" s="138"/>
      <c r="AJ1223" s="138"/>
      <c r="AK1223" s="138"/>
      <c r="AL1223" s="138"/>
      <c r="AM1223" s="138"/>
      <c r="AN1223" s="138"/>
      <c r="AO1223" s="138"/>
      <c r="AP1223" s="138"/>
      <c r="AQ1223" s="138"/>
      <c r="AR1223" s="138"/>
      <c r="AS1223" s="138"/>
      <c r="AT1223" s="138"/>
      <c r="AU1223" s="138"/>
      <c r="AV1223" s="138"/>
      <c r="AW1223" s="138"/>
      <c r="AX1223" s="138"/>
      <c r="AY1223" s="138"/>
      <c r="AZ1223" s="138"/>
      <c r="BA1223" s="138"/>
      <c r="BB1223" s="138"/>
      <c r="BC1223" s="138"/>
      <c r="BD1223" s="138"/>
      <c r="BE1223" s="138"/>
      <c r="BF1223" s="138"/>
      <c r="BG1223" s="138"/>
      <c r="BH1223" s="138"/>
      <c r="BI1223" s="138"/>
      <c r="BJ1223" s="138"/>
      <c r="BK1223" s="138"/>
      <c r="BL1223" s="138"/>
      <c r="BM1223" s="138"/>
      <c r="BN1223" s="138"/>
      <c r="BO1223" s="138"/>
    </row>
    <row r="1224" spans="1:67" s="283" customFormat="1" x14ac:dyDescent="0.2">
      <c r="A1224" s="311"/>
      <c r="B1224" s="286"/>
      <c r="C1224" s="287"/>
      <c r="D1224" s="180"/>
      <c r="E1224" s="180"/>
      <c r="F1224" s="180"/>
      <c r="G1224" s="180"/>
      <c r="H1224" s="180"/>
      <c r="I1224" s="188" t="s">
        <v>1657</v>
      </c>
      <c r="J1224" s="207" t="s">
        <v>655</v>
      </c>
      <c r="K1224" s="214">
        <f t="shared" si="23"/>
        <v>200000</v>
      </c>
      <c r="L1224" s="185"/>
      <c r="M1224" s="172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  <c r="Z1224" s="138"/>
      <c r="AA1224" s="138"/>
      <c r="AB1224" s="138"/>
      <c r="AC1224" s="138"/>
      <c r="AD1224" s="138"/>
      <c r="AE1224" s="138"/>
      <c r="AF1224" s="138"/>
      <c r="AG1224" s="138"/>
      <c r="AH1224" s="138"/>
      <c r="AI1224" s="138"/>
      <c r="AJ1224" s="138"/>
      <c r="AK1224" s="138"/>
      <c r="AL1224" s="138"/>
      <c r="AM1224" s="138"/>
      <c r="AN1224" s="138"/>
      <c r="AO1224" s="138"/>
      <c r="AP1224" s="138"/>
      <c r="AQ1224" s="138"/>
      <c r="AR1224" s="138"/>
      <c r="AS1224" s="138"/>
      <c r="AT1224" s="138"/>
      <c r="AU1224" s="138"/>
      <c r="AV1224" s="138"/>
      <c r="AW1224" s="138"/>
      <c r="AX1224" s="138"/>
      <c r="AY1224" s="138"/>
      <c r="AZ1224" s="138"/>
      <c r="BA1224" s="138"/>
      <c r="BB1224" s="138"/>
      <c r="BC1224" s="138"/>
      <c r="BD1224" s="138"/>
      <c r="BE1224" s="138"/>
      <c r="BF1224" s="138"/>
      <c r="BG1224" s="138"/>
      <c r="BH1224" s="138"/>
      <c r="BI1224" s="138"/>
      <c r="BJ1224" s="138"/>
      <c r="BK1224" s="138"/>
      <c r="BL1224" s="138"/>
      <c r="BM1224" s="138"/>
      <c r="BN1224" s="138"/>
      <c r="BO1224" s="138"/>
    </row>
    <row r="1225" spans="1:67" s="283" customFormat="1" x14ac:dyDescent="0.2">
      <c r="A1225" s="311"/>
      <c r="B1225" s="286"/>
      <c r="C1225" s="287"/>
      <c r="D1225" s="180"/>
      <c r="E1225" s="180"/>
      <c r="F1225" s="180"/>
      <c r="G1225" s="180"/>
      <c r="H1225" s="180"/>
      <c r="I1225" s="188" t="s">
        <v>1658</v>
      </c>
      <c r="J1225" s="207" t="s">
        <v>664</v>
      </c>
      <c r="K1225" s="214">
        <f t="shared" si="23"/>
        <v>200000</v>
      </c>
      <c r="L1225" s="185"/>
      <c r="M1225" s="172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  <c r="Z1225" s="138"/>
      <c r="AA1225" s="138"/>
      <c r="AB1225" s="138"/>
      <c r="AC1225" s="138"/>
      <c r="AD1225" s="138"/>
      <c r="AE1225" s="138"/>
      <c r="AF1225" s="138"/>
      <c r="AG1225" s="138"/>
      <c r="AH1225" s="138"/>
      <c r="AI1225" s="138"/>
      <c r="AJ1225" s="138"/>
      <c r="AK1225" s="138"/>
      <c r="AL1225" s="138"/>
      <c r="AM1225" s="138"/>
      <c r="AN1225" s="138"/>
      <c r="AO1225" s="138"/>
      <c r="AP1225" s="138"/>
      <c r="AQ1225" s="138"/>
      <c r="AR1225" s="138"/>
      <c r="AS1225" s="138"/>
      <c r="AT1225" s="138"/>
      <c r="AU1225" s="138"/>
      <c r="AV1225" s="138"/>
      <c r="AW1225" s="138"/>
      <c r="AX1225" s="138"/>
      <c r="AY1225" s="138"/>
      <c r="AZ1225" s="138"/>
      <c r="BA1225" s="138"/>
      <c r="BB1225" s="138"/>
      <c r="BC1225" s="138"/>
      <c r="BD1225" s="138"/>
      <c r="BE1225" s="138"/>
      <c r="BF1225" s="138"/>
      <c r="BG1225" s="138"/>
      <c r="BH1225" s="138"/>
      <c r="BI1225" s="138"/>
      <c r="BJ1225" s="138"/>
      <c r="BK1225" s="138"/>
      <c r="BL1225" s="138"/>
      <c r="BM1225" s="138"/>
      <c r="BN1225" s="138"/>
      <c r="BO1225" s="138"/>
    </row>
    <row r="1226" spans="1:67" s="283" customFormat="1" x14ac:dyDescent="0.2">
      <c r="A1226" s="311"/>
      <c r="B1226" s="286"/>
      <c r="C1226" s="287"/>
      <c r="D1226" s="180"/>
      <c r="E1226" s="180"/>
      <c r="F1226" s="180"/>
      <c r="G1226" s="180"/>
      <c r="H1226" s="180"/>
      <c r="I1226" s="171" t="s">
        <v>1659</v>
      </c>
      <c r="J1226" s="207" t="s">
        <v>1002</v>
      </c>
      <c r="K1226" s="214">
        <f t="shared" si="23"/>
        <v>200000</v>
      </c>
      <c r="L1226" s="185"/>
      <c r="M1226" s="172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  <c r="Z1226" s="138"/>
      <c r="AA1226" s="138"/>
      <c r="AB1226" s="138"/>
      <c r="AC1226" s="138"/>
      <c r="AD1226" s="138"/>
      <c r="AE1226" s="138"/>
      <c r="AF1226" s="138"/>
      <c r="AG1226" s="138"/>
      <c r="AH1226" s="138"/>
      <c r="AI1226" s="138"/>
      <c r="AJ1226" s="138"/>
      <c r="AK1226" s="138"/>
      <c r="AL1226" s="138"/>
      <c r="AM1226" s="138"/>
      <c r="AN1226" s="138"/>
      <c r="AO1226" s="138"/>
      <c r="AP1226" s="138"/>
      <c r="AQ1226" s="138"/>
      <c r="AR1226" s="138"/>
      <c r="AS1226" s="138"/>
      <c r="AT1226" s="138"/>
      <c r="AU1226" s="138"/>
      <c r="AV1226" s="138"/>
      <c r="AW1226" s="138"/>
      <c r="AX1226" s="138"/>
      <c r="AY1226" s="138"/>
      <c r="AZ1226" s="138"/>
      <c r="BA1226" s="138"/>
      <c r="BB1226" s="138"/>
      <c r="BC1226" s="138"/>
      <c r="BD1226" s="138"/>
      <c r="BE1226" s="138"/>
      <c r="BF1226" s="138"/>
      <c r="BG1226" s="138"/>
      <c r="BH1226" s="138"/>
      <c r="BI1226" s="138"/>
      <c r="BJ1226" s="138"/>
      <c r="BK1226" s="138"/>
      <c r="BL1226" s="138"/>
      <c r="BM1226" s="138"/>
      <c r="BN1226" s="138"/>
      <c r="BO1226" s="138"/>
    </row>
    <row r="1227" spans="1:67" s="283" customFormat="1" x14ac:dyDescent="0.2">
      <c r="A1227" s="311"/>
      <c r="B1227" s="286"/>
      <c r="C1227" s="287"/>
      <c r="D1227" s="180"/>
      <c r="E1227" s="180"/>
      <c r="F1227" s="180"/>
      <c r="G1227" s="180"/>
      <c r="H1227" s="180"/>
      <c r="I1227" s="188" t="s">
        <v>1660</v>
      </c>
      <c r="J1227" s="207" t="s">
        <v>664</v>
      </c>
      <c r="K1227" s="214">
        <f t="shared" si="23"/>
        <v>200000</v>
      </c>
      <c r="L1227" s="185"/>
      <c r="M1227" s="172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  <c r="Z1227" s="138"/>
      <c r="AA1227" s="138"/>
      <c r="AB1227" s="138"/>
      <c r="AC1227" s="138"/>
      <c r="AD1227" s="138"/>
      <c r="AE1227" s="138"/>
      <c r="AF1227" s="138"/>
      <c r="AG1227" s="138"/>
      <c r="AH1227" s="138"/>
      <c r="AI1227" s="138"/>
      <c r="AJ1227" s="138"/>
      <c r="AK1227" s="138"/>
      <c r="AL1227" s="138"/>
      <c r="AM1227" s="138"/>
      <c r="AN1227" s="138"/>
      <c r="AO1227" s="138"/>
      <c r="AP1227" s="138"/>
      <c r="AQ1227" s="138"/>
      <c r="AR1227" s="138"/>
      <c r="AS1227" s="138"/>
      <c r="AT1227" s="138"/>
      <c r="AU1227" s="138"/>
      <c r="AV1227" s="138"/>
      <c r="AW1227" s="138"/>
      <c r="AX1227" s="138"/>
      <c r="AY1227" s="138"/>
      <c r="AZ1227" s="138"/>
      <c r="BA1227" s="138"/>
      <c r="BB1227" s="138"/>
      <c r="BC1227" s="138"/>
      <c r="BD1227" s="138"/>
      <c r="BE1227" s="138"/>
      <c r="BF1227" s="138"/>
      <c r="BG1227" s="138"/>
      <c r="BH1227" s="138"/>
      <c r="BI1227" s="138"/>
      <c r="BJ1227" s="138"/>
      <c r="BK1227" s="138"/>
      <c r="BL1227" s="138"/>
      <c r="BM1227" s="138"/>
      <c r="BN1227" s="138"/>
      <c r="BO1227" s="138"/>
    </row>
    <row r="1228" spans="1:67" s="283" customFormat="1" x14ac:dyDescent="0.2">
      <c r="A1228" s="312"/>
      <c r="B1228" s="288"/>
      <c r="C1228" s="289"/>
      <c r="D1228" s="192"/>
      <c r="E1228" s="180"/>
      <c r="F1228" s="180"/>
      <c r="G1228" s="180"/>
      <c r="H1228" s="180"/>
      <c r="I1228" s="181"/>
      <c r="J1228" s="226"/>
      <c r="K1228" s="199">
        <f>SUM(K1220:K1227)</f>
        <v>4000000</v>
      </c>
      <c r="L1228" s="197"/>
      <c r="M1228" s="215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  <c r="Z1228" s="138"/>
      <c r="AA1228" s="138"/>
      <c r="AB1228" s="138"/>
      <c r="AC1228" s="138"/>
      <c r="AD1228" s="138"/>
      <c r="AE1228" s="138"/>
      <c r="AF1228" s="138"/>
      <c r="AG1228" s="138"/>
      <c r="AH1228" s="138"/>
      <c r="AI1228" s="138"/>
      <c r="AJ1228" s="138"/>
      <c r="AK1228" s="138"/>
      <c r="AL1228" s="138"/>
      <c r="AM1228" s="138"/>
      <c r="AN1228" s="138"/>
      <c r="AO1228" s="138"/>
      <c r="AP1228" s="138"/>
      <c r="AQ1228" s="138"/>
      <c r="AR1228" s="138"/>
      <c r="AS1228" s="138"/>
      <c r="AT1228" s="138"/>
      <c r="AU1228" s="138"/>
      <c r="AV1228" s="138"/>
      <c r="AW1228" s="138"/>
      <c r="AX1228" s="138"/>
      <c r="AY1228" s="138"/>
      <c r="AZ1228" s="138"/>
      <c r="BA1228" s="138"/>
      <c r="BB1228" s="138"/>
      <c r="BC1228" s="138"/>
      <c r="BD1228" s="138"/>
      <c r="BE1228" s="138"/>
      <c r="BF1228" s="138"/>
      <c r="BG1228" s="138"/>
      <c r="BH1228" s="138"/>
      <c r="BI1228" s="138"/>
      <c r="BJ1228" s="138"/>
      <c r="BK1228" s="138"/>
      <c r="BL1228" s="138"/>
      <c r="BM1228" s="138"/>
      <c r="BN1228" s="138"/>
      <c r="BO1228" s="138"/>
    </row>
    <row r="1229" spans="1:67" s="267" customFormat="1" ht="24" customHeight="1" x14ac:dyDescent="0.2">
      <c r="A1229" s="167">
        <v>306</v>
      </c>
      <c r="B1229" s="168" t="s">
        <v>1661</v>
      </c>
      <c r="C1229" s="169"/>
      <c r="D1229" s="250" t="s">
        <v>107</v>
      </c>
      <c r="E1229" s="170"/>
      <c r="F1229" s="170"/>
      <c r="G1229" s="170"/>
      <c r="H1229" s="170" t="s">
        <v>164</v>
      </c>
      <c r="I1229" s="217" t="s">
        <v>1662</v>
      </c>
      <c r="J1229" s="198" t="s">
        <v>1663</v>
      </c>
      <c r="K1229" s="432">
        <f>K1231*70%</f>
        <v>4480</v>
      </c>
      <c r="L1229" s="174" t="s">
        <v>111</v>
      </c>
      <c r="M1229" s="175" t="s">
        <v>1664</v>
      </c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  <c r="Z1229" s="138"/>
      <c r="AA1229" s="138"/>
      <c r="AB1229" s="138"/>
      <c r="AC1229" s="138"/>
      <c r="AD1229" s="138"/>
      <c r="AE1229" s="138"/>
      <c r="AF1229" s="138"/>
      <c r="AG1229" s="138"/>
      <c r="AH1229" s="138"/>
      <c r="AI1229" s="138"/>
      <c r="AJ1229" s="138"/>
      <c r="AK1229" s="138"/>
      <c r="AL1229" s="138"/>
      <c r="AM1229" s="138"/>
      <c r="AN1229" s="138"/>
      <c r="AO1229" s="138"/>
      <c r="AP1229" s="138"/>
      <c r="AQ1229" s="138"/>
      <c r="AR1229" s="138"/>
      <c r="AS1229" s="138"/>
      <c r="AT1229" s="138"/>
      <c r="AU1229" s="138"/>
      <c r="AV1229" s="138"/>
      <c r="AW1229" s="138"/>
      <c r="AX1229" s="138"/>
      <c r="AY1229" s="138"/>
      <c r="AZ1229" s="138"/>
      <c r="BA1229" s="138"/>
      <c r="BB1229" s="138"/>
      <c r="BC1229" s="138"/>
      <c r="BD1229" s="138"/>
      <c r="BE1229" s="138"/>
      <c r="BF1229" s="138"/>
      <c r="BG1229" s="138"/>
      <c r="BH1229" s="138"/>
      <c r="BI1229" s="138"/>
      <c r="BJ1229" s="138"/>
      <c r="BK1229" s="138"/>
      <c r="BL1229" s="138"/>
      <c r="BM1229" s="138"/>
      <c r="BN1229" s="138"/>
      <c r="BO1229" s="138"/>
    </row>
    <row r="1230" spans="1:67" s="267" customFormat="1" ht="24" customHeight="1" x14ac:dyDescent="0.2">
      <c r="A1230" s="177"/>
      <c r="B1230" s="178"/>
      <c r="C1230" s="179"/>
      <c r="D1230" s="243"/>
      <c r="E1230" s="180"/>
      <c r="F1230" s="180"/>
      <c r="G1230" s="180"/>
      <c r="H1230" s="180"/>
      <c r="I1230" s="181" t="s">
        <v>1665</v>
      </c>
      <c r="J1230" s="182" t="s">
        <v>1666</v>
      </c>
      <c r="K1230" s="208">
        <f>K1231*30%</f>
        <v>1920</v>
      </c>
      <c r="L1230" s="184"/>
      <c r="M1230" s="185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  <c r="Z1230" s="138"/>
      <c r="AA1230" s="138"/>
      <c r="AB1230" s="138"/>
      <c r="AC1230" s="138"/>
      <c r="AD1230" s="138"/>
      <c r="AE1230" s="138"/>
      <c r="AF1230" s="138"/>
      <c r="AG1230" s="138"/>
      <c r="AH1230" s="138"/>
      <c r="AI1230" s="138"/>
      <c r="AJ1230" s="138"/>
      <c r="AK1230" s="138"/>
      <c r="AL1230" s="138"/>
      <c r="AM1230" s="138"/>
      <c r="AN1230" s="138"/>
      <c r="AO1230" s="138"/>
      <c r="AP1230" s="138"/>
      <c r="AQ1230" s="138"/>
      <c r="AR1230" s="138"/>
      <c r="AS1230" s="138"/>
      <c r="AT1230" s="138"/>
      <c r="AU1230" s="138"/>
      <c r="AV1230" s="138"/>
      <c r="AW1230" s="138"/>
      <c r="AX1230" s="138"/>
      <c r="AY1230" s="138"/>
      <c r="AZ1230" s="138"/>
      <c r="BA1230" s="138"/>
      <c r="BB1230" s="138"/>
      <c r="BC1230" s="138"/>
      <c r="BD1230" s="138"/>
      <c r="BE1230" s="138"/>
      <c r="BF1230" s="138"/>
      <c r="BG1230" s="138"/>
      <c r="BH1230" s="138"/>
      <c r="BI1230" s="138"/>
      <c r="BJ1230" s="138"/>
      <c r="BK1230" s="138"/>
      <c r="BL1230" s="138"/>
      <c r="BM1230" s="138"/>
      <c r="BN1230" s="138"/>
      <c r="BO1230" s="138"/>
    </row>
    <row r="1231" spans="1:67" s="267" customFormat="1" ht="24" customHeight="1" x14ac:dyDescent="0.2">
      <c r="A1231" s="189"/>
      <c r="B1231" s="190"/>
      <c r="C1231" s="191"/>
      <c r="D1231" s="244"/>
      <c r="E1231" s="192"/>
      <c r="F1231" s="192"/>
      <c r="G1231" s="192"/>
      <c r="H1231" s="192"/>
      <c r="I1231" s="203"/>
      <c r="J1231" s="215"/>
      <c r="K1231" s="209">
        <v>6400</v>
      </c>
      <c r="L1231" s="196"/>
      <c r="M1231" s="197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  <c r="Z1231" s="138"/>
      <c r="AA1231" s="138"/>
      <c r="AB1231" s="138"/>
      <c r="AC1231" s="138"/>
      <c r="AD1231" s="138"/>
      <c r="AE1231" s="138"/>
      <c r="AF1231" s="138"/>
      <c r="AG1231" s="138"/>
      <c r="AH1231" s="138"/>
      <c r="AI1231" s="138"/>
      <c r="AJ1231" s="138"/>
      <c r="AK1231" s="138"/>
      <c r="AL1231" s="138"/>
      <c r="AM1231" s="138"/>
      <c r="AN1231" s="138"/>
      <c r="AO1231" s="138"/>
      <c r="AP1231" s="138"/>
      <c r="AQ1231" s="138"/>
      <c r="AR1231" s="138"/>
      <c r="AS1231" s="138"/>
      <c r="AT1231" s="138"/>
      <c r="AU1231" s="138"/>
      <c r="AV1231" s="138"/>
      <c r="AW1231" s="138"/>
      <c r="AX1231" s="138"/>
      <c r="AY1231" s="138"/>
      <c r="AZ1231" s="138"/>
      <c r="BA1231" s="138"/>
      <c r="BB1231" s="138"/>
      <c r="BC1231" s="138"/>
      <c r="BD1231" s="138"/>
      <c r="BE1231" s="138"/>
      <c r="BF1231" s="138"/>
      <c r="BG1231" s="138"/>
      <c r="BH1231" s="138"/>
      <c r="BI1231" s="138"/>
      <c r="BJ1231" s="138"/>
      <c r="BK1231" s="138"/>
      <c r="BL1231" s="138"/>
      <c r="BM1231" s="138"/>
      <c r="BN1231" s="138"/>
      <c r="BO1231" s="138"/>
    </row>
    <row r="1232" spans="1:67" s="267" customFormat="1" ht="24" customHeight="1" x14ac:dyDescent="0.2">
      <c r="A1232" s="167">
        <v>307</v>
      </c>
      <c r="B1232" s="168" t="s">
        <v>1667</v>
      </c>
      <c r="C1232" s="169"/>
      <c r="D1232" s="250" t="s">
        <v>107</v>
      </c>
      <c r="E1232" s="170"/>
      <c r="F1232" s="170"/>
      <c r="G1232" s="170"/>
      <c r="H1232" s="170" t="s">
        <v>137</v>
      </c>
      <c r="I1232" s="171" t="s">
        <v>1668</v>
      </c>
      <c r="J1232" s="172" t="s">
        <v>1663</v>
      </c>
      <c r="K1232" s="173">
        <f>K1235*80%</f>
        <v>16160</v>
      </c>
      <c r="L1232" s="174" t="s">
        <v>111</v>
      </c>
      <c r="M1232" s="175" t="s">
        <v>1669</v>
      </c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  <c r="Z1232" s="138"/>
      <c r="AA1232" s="138"/>
      <c r="AB1232" s="138"/>
      <c r="AC1232" s="138"/>
      <c r="AD1232" s="138"/>
      <c r="AE1232" s="138"/>
      <c r="AF1232" s="138"/>
      <c r="AG1232" s="138"/>
      <c r="AH1232" s="138"/>
      <c r="AI1232" s="138"/>
      <c r="AJ1232" s="138"/>
      <c r="AK1232" s="138"/>
      <c r="AL1232" s="138"/>
      <c r="AM1232" s="138"/>
      <c r="AN1232" s="138"/>
      <c r="AO1232" s="138"/>
      <c r="AP1232" s="138"/>
      <c r="AQ1232" s="138"/>
      <c r="AR1232" s="138"/>
      <c r="AS1232" s="138"/>
      <c r="AT1232" s="138"/>
      <c r="AU1232" s="138"/>
      <c r="AV1232" s="138"/>
      <c r="AW1232" s="138"/>
      <c r="AX1232" s="138"/>
      <c r="AY1232" s="138"/>
      <c r="AZ1232" s="138"/>
      <c r="BA1232" s="138"/>
      <c r="BB1232" s="138"/>
      <c r="BC1232" s="138"/>
      <c r="BD1232" s="138"/>
      <c r="BE1232" s="138"/>
      <c r="BF1232" s="138"/>
      <c r="BG1232" s="138"/>
      <c r="BH1232" s="138"/>
      <c r="BI1232" s="138"/>
      <c r="BJ1232" s="138"/>
      <c r="BK1232" s="138"/>
      <c r="BL1232" s="138"/>
      <c r="BM1232" s="138"/>
      <c r="BN1232" s="138"/>
      <c r="BO1232" s="138"/>
    </row>
    <row r="1233" spans="1:67" s="267" customFormat="1" ht="24" customHeight="1" x14ac:dyDescent="0.2">
      <c r="A1233" s="177"/>
      <c r="B1233" s="178"/>
      <c r="C1233" s="179"/>
      <c r="D1233" s="243"/>
      <c r="E1233" s="180"/>
      <c r="F1233" s="180"/>
      <c r="G1233" s="180"/>
      <c r="H1233" s="180"/>
      <c r="I1233" s="181" t="s">
        <v>1670</v>
      </c>
      <c r="J1233" s="187" t="s">
        <v>1663</v>
      </c>
      <c r="K1233" s="208">
        <f>K1235*10%</f>
        <v>2020</v>
      </c>
      <c r="L1233" s="184"/>
      <c r="M1233" s="185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  <c r="Z1233" s="138"/>
      <c r="AA1233" s="138"/>
      <c r="AB1233" s="138"/>
      <c r="AC1233" s="138"/>
      <c r="AD1233" s="138"/>
      <c r="AE1233" s="138"/>
      <c r="AF1233" s="138"/>
      <c r="AG1233" s="138"/>
      <c r="AH1233" s="138"/>
      <c r="AI1233" s="138"/>
      <c r="AJ1233" s="138"/>
      <c r="AK1233" s="138"/>
      <c r="AL1233" s="138"/>
      <c r="AM1233" s="138"/>
      <c r="AN1233" s="138"/>
      <c r="AO1233" s="138"/>
      <c r="AP1233" s="138"/>
      <c r="AQ1233" s="138"/>
      <c r="AR1233" s="138"/>
      <c r="AS1233" s="138"/>
      <c r="AT1233" s="138"/>
      <c r="AU1233" s="138"/>
      <c r="AV1233" s="138"/>
      <c r="AW1233" s="138"/>
      <c r="AX1233" s="138"/>
      <c r="AY1233" s="138"/>
      <c r="AZ1233" s="138"/>
      <c r="BA1233" s="138"/>
      <c r="BB1233" s="138"/>
      <c r="BC1233" s="138"/>
      <c r="BD1233" s="138"/>
      <c r="BE1233" s="138"/>
      <c r="BF1233" s="138"/>
      <c r="BG1233" s="138"/>
      <c r="BH1233" s="138"/>
      <c r="BI1233" s="138"/>
      <c r="BJ1233" s="138"/>
      <c r="BK1233" s="138"/>
      <c r="BL1233" s="138"/>
      <c r="BM1233" s="138"/>
      <c r="BN1233" s="138"/>
      <c r="BO1233" s="138"/>
    </row>
    <row r="1234" spans="1:67" s="267" customFormat="1" ht="24" customHeight="1" x14ac:dyDescent="0.2">
      <c r="A1234" s="177"/>
      <c r="B1234" s="178"/>
      <c r="C1234" s="179"/>
      <c r="D1234" s="243"/>
      <c r="E1234" s="180"/>
      <c r="F1234" s="180"/>
      <c r="G1234" s="180"/>
      <c r="H1234" s="180"/>
      <c r="I1234" s="188" t="s">
        <v>1671</v>
      </c>
      <c r="J1234" s="182" t="s">
        <v>1666</v>
      </c>
      <c r="K1234" s="202">
        <f>K1235*10%</f>
        <v>2020</v>
      </c>
      <c r="L1234" s="184"/>
      <c r="M1234" s="185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  <c r="Z1234" s="138"/>
      <c r="AA1234" s="138"/>
      <c r="AB1234" s="138"/>
      <c r="AC1234" s="138"/>
      <c r="AD1234" s="138"/>
      <c r="AE1234" s="138"/>
      <c r="AF1234" s="138"/>
      <c r="AG1234" s="138"/>
      <c r="AH1234" s="138"/>
      <c r="AI1234" s="138"/>
      <c r="AJ1234" s="138"/>
      <c r="AK1234" s="138"/>
      <c r="AL1234" s="138"/>
      <c r="AM1234" s="138"/>
      <c r="AN1234" s="138"/>
      <c r="AO1234" s="138"/>
      <c r="AP1234" s="138"/>
      <c r="AQ1234" s="138"/>
      <c r="AR1234" s="138"/>
      <c r="AS1234" s="138"/>
      <c r="AT1234" s="138"/>
      <c r="AU1234" s="138"/>
      <c r="AV1234" s="138"/>
      <c r="AW1234" s="138"/>
      <c r="AX1234" s="138"/>
      <c r="AY1234" s="138"/>
      <c r="AZ1234" s="138"/>
      <c r="BA1234" s="138"/>
      <c r="BB1234" s="138"/>
      <c r="BC1234" s="138"/>
      <c r="BD1234" s="138"/>
      <c r="BE1234" s="138"/>
      <c r="BF1234" s="138"/>
      <c r="BG1234" s="138"/>
      <c r="BH1234" s="138"/>
      <c r="BI1234" s="138"/>
      <c r="BJ1234" s="138"/>
      <c r="BK1234" s="138"/>
      <c r="BL1234" s="138"/>
      <c r="BM1234" s="138"/>
      <c r="BN1234" s="138"/>
      <c r="BO1234" s="138"/>
    </row>
    <row r="1235" spans="1:67" s="267" customFormat="1" ht="24" customHeight="1" x14ac:dyDescent="0.2">
      <c r="A1235" s="189"/>
      <c r="B1235" s="190"/>
      <c r="C1235" s="191"/>
      <c r="D1235" s="244"/>
      <c r="E1235" s="192"/>
      <c r="F1235" s="192"/>
      <c r="G1235" s="192"/>
      <c r="H1235" s="192"/>
      <c r="I1235" s="193"/>
      <c r="J1235" s="194"/>
      <c r="K1235" s="195">
        <v>20200</v>
      </c>
      <c r="L1235" s="196"/>
      <c r="M1235" s="197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  <c r="Z1235" s="138"/>
      <c r="AA1235" s="138"/>
      <c r="AB1235" s="138"/>
      <c r="AC1235" s="138"/>
      <c r="AD1235" s="138"/>
      <c r="AE1235" s="138"/>
      <c r="AF1235" s="138"/>
      <c r="AG1235" s="138"/>
      <c r="AH1235" s="138"/>
      <c r="AI1235" s="138"/>
      <c r="AJ1235" s="138"/>
      <c r="AK1235" s="138"/>
      <c r="AL1235" s="138"/>
      <c r="AM1235" s="138"/>
      <c r="AN1235" s="138"/>
      <c r="AO1235" s="138"/>
      <c r="AP1235" s="138"/>
      <c r="AQ1235" s="138"/>
      <c r="AR1235" s="138"/>
      <c r="AS1235" s="138"/>
      <c r="AT1235" s="138"/>
      <c r="AU1235" s="138"/>
      <c r="AV1235" s="138"/>
      <c r="AW1235" s="138"/>
      <c r="AX1235" s="138"/>
      <c r="AY1235" s="138"/>
      <c r="AZ1235" s="138"/>
      <c r="BA1235" s="138"/>
      <c r="BB1235" s="138"/>
      <c r="BC1235" s="138"/>
      <c r="BD1235" s="138"/>
      <c r="BE1235" s="138"/>
      <c r="BF1235" s="138"/>
      <c r="BG1235" s="138"/>
      <c r="BH1235" s="138"/>
      <c r="BI1235" s="138"/>
      <c r="BJ1235" s="138"/>
      <c r="BK1235" s="138"/>
      <c r="BL1235" s="138"/>
      <c r="BM1235" s="138"/>
      <c r="BN1235" s="138"/>
      <c r="BO1235" s="138"/>
    </row>
    <row r="1236" spans="1:67" s="267" customFormat="1" ht="19.5" customHeight="1" x14ac:dyDescent="0.2">
      <c r="A1236" s="167">
        <v>308</v>
      </c>
      <c r="B1236" s="168" t="s">
        <v>1672</v>
      </c>
      <c r="C1236" s="169"/>
      <c r="D1236" s="250" t="s">
        <v>107</v>
      </c>
      <c r="E1236" s="170"/>
      <c r="F1236" s="170"/>
      <c r="G1236" s="170"/>
      <c r="H1236" s="170" t="s">
        <v>137</v>
      </c>
      <c r="I1236" s="171" t="s">
        <v>1673</v>
      </c>
      <c r="J1236" s="172" t="s">
        <v>1663</v>
      </c>
      <c r="K1236" s="173">
        <f>K1239*40%</f>
        <v>9400</v>
      </c>
      <c r="L1236" s="174" t="s">
        <v>111</v>
      </c>
      <c r="M1236" s="175" t="s">
        <v>1674</v>
      </c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  <c r="Z1236" s="138"/>
      <c r="AA1236" s="138"/>
      <c r="AB1236" s="138"/>
      <c r="AC1236" s="138"/>
      <c r="AD1236" s="138"/>
      <c r="AE1236" s="138"/>
      <c r="AF1236" s="138"/>
      <c r="AG1236" s="138"/>
      <c r="AH1236" s="138"/>
      <c r="AI1236" s="138"/>
      <c r="AJ1236" s="138"/>
      <c r="AK1236" s="138"/>
      <c r="AL1236" s="138"/>
      <c r="AM1236" s="138"/>
      <c r="AN1236" s="138"/>
      <c r="AO1236" s="138"/>
      <c r="AP1236" s="138"/>
      <c r="AQ1236" s="138"/>
      <c r="AR1236" s="138"/>
      <c r="AS1236" s="138"/>
      <c r="AT1236" s="138"/>
      <c r="AU1236" s="138"/>
      <c r="AV1236" s="138"/>
      <c r="AW1236" s="138"/>
      <c r="AX1236" s="138"/>
      <c r="AY1236" s="138"/>
      <c r="AZ1236" s="138"/>
      <c r="BA1236" s="138"/>
      <c r="BB1236" s="138"/>
      <c r="BC1236" s="138"/>
      <c r="BD1236" s="138"/>
      <c r="BE1236" s="138"/>
      <c r="BF1236" s="138"/>
      <c r="BG1236" s="138"/>
      <c r="BH1236" s="138"/>
      <c r="BI1236" s="138"/>
      <c r="BJ1236" s="138"/>
      <c r="BK1236" s="138"/>
      <c r="BL1236" s="138"/>
      <c r="BM1236" s="138"/>
      <c r="BN1236" s="138"/>
      <c r="BO1236" s="138"/>
    </row>
    <row r="1237" spans="1:67" s="267" customFormat="1" ht="19.5" customHeight="1" x14ac:dyDescent="0.2">
      <c r="A1237" s="177"/>
      <c r="B1237" s="178"/>
      <c r="C1237" s="179"/>
      <c r="D1237" s="243"/>
      <c r="E1237" s="180"/>
      <c r="F1237" s="180"/>
      <c r="G1237" s="180"/>
      <c r="H1237" s="180"/>
      <c r="I1237" s="181" t="s">
        <v>1675</v>
      </c>
      <c r="J1237" s="182" t="s">
        <v>1663</v>
      </c>
      <c r="K1237" s="208">
        <f>K1239*30%</f>
        <v>7050</v>
      </c>
      <c r="L1237" s="184"/>
      <c r="M1237" s="185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  <c r="Z1237" s="138"/>
      <c r="AA1237" s="138"/>
      <c r="AB1237" s="138"/>
      <c r="AC1237" s="138"/>
      <c r="AD1237" s="138"/>
      <c r="AE1237" s="138"/>
      <c r="AF1237" s="138"/>
      <c r="AG1237" s="138"/>
      <c r="AH1237" s="138"/>
      <c r="AI1237" s="138"/>
      <c r="AJ1237" s="138"/>
      <c r="AK1237" s="138"/>
      <c r="AL1237" s="138"/>
      <c r="AM1237" s="138"/>
      <c r="AN1237" s="138"/>
      <c r="AO1237" s="138"/>
      <c r="AP1237" s="138"/>
      <c r="AQ1237" s="138"/>
      <c r="AR1237" s="138"/>
      <c r="AS1237" s="138"/>
      <c r="AT1237" s="138"/>
      <c r="AU1237" s="138"/>
      <c r="AV1237" s="138"/>
      <c r="AW1237" s="138"/>
      <c r="AX1237" s="138"/>
      <c r="AY1237" s="138"/>
      <c r="AZ1237" s="138"/>
      <c r="BA1237" s="138"/>
      <c r="BB1237" s="138"/>
      <c r="BC1237" s="138"/>
      <c r="BD1237" s="138"/>
      <c r="BE1237" s="138"/>
      <c r="BF1237" s="138"/>
      <c r="BG1237" s="138"/>
      <c r="BH1237" s="138"/>
      <c r="BI1237" s="138"/>
      <c r="BJ1237" s="138"/>
      <c r="BK1237" s="138"/>
      <c r="BL1237" s="138"/>
      <c r="BM1237" s="138"/>
      <c r="BN1237" s="138"/>
      <c r="BO1237" s="138"/>
    </row>
    <row r="1238" spans="1:67" s="267" customFormat="1" ht="19.5" customHeight="1" x14ac:dyDescent="0.2">
      <c r="A1238" s="177"/>
      <c r="B1238" s="178"/>
      <c r="C1238" s="179"/>
      <c r="D1238" s="243"/>
      <c r="E1238" s="180"/>
      <c r="F1238" s="180"/>
      <c r="G1238" s="180"/>
      <c r="H1238" s="180"/>
      <c r="I1238" s="181" t="s">
        <v>1676</v>
      </c>
      <c r="J1238" s="182" t="s">
        <v>1666</v>
      </c>
      <c r="K1238" s="208">
        <f>K1239*30%</f>
        <v>7050</v>
      </c>
      <c r="L1238" s="184"/>
      <c r="M1238" s="185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  <c r="Z1238" s="138"/>
      <c r="AA1238" s="138"/>
      <c r="AB1238" s="138"/>
      <c r="AC1238" s="138"/>
      <c r="AD1238" s="138"/>
      <c r="AE1238" s="138"/>
      <c r="AF1238" s="138"/>
      <c r="AG1238" s="138"/>
      <c r="AH1238" s="138"/>
      <c r="AI1238" s="138"/>
      <c r="AJ1238" s="138"/>
      <c r="AK1238" s="138"/>
      <c r="AL1238" s="138"/>
      <c r="AM1238" s="138"/>
      <c r="AN1238" s="138"/>
      <c r="AO1238" s="138"/>
      <c r="AP1238" s="138"/>
      <c r="AQ1238" s="138"/>
      <c r="AR1238" s="138"/>
      <c r="AS1238" s="138"/>
      <c r="AT1238" s="138"/>
      <c r="AU1238" s="138"/>
      <c r="AV1238" s="138"/>
      <c r="AW1238" s="138"/>
      <c r="AX1238" s="138"/>
      <c r="AY1238" s="138"/>
      <c r="AZ1238" s="138"/>
      <c r="BA1238" s="138"/>
      <c r="BB1238" s="138"/>
      <c r="BC1238" s="138"/>
      <c r="BD1238" s="138"/>
      <c r="BE1238" s="138"/>
      <c r="BF1238" s="138"/>
      <c r="BG1238" s="138"/>
      <c r="BH1238" s="138"/>
      <c r="BI1238" s="138"/>
      <c r="BJ1238" s="138"/>
      <c r="BK1238" s="138"/>
      <c r="BL1238" s="138"/>
      <c r="BM1238" s="138"/>
      <c r="BN1238" s="138"/>
      <c r="BO1238" s="138"/>
    </row>
    <row r="1239" spans="1:67" s="267" customFormat="1" ht="19.5" customHeight="1" x14ac:dyDescent="0.2">
      <c r="A1239" s="189"/>
      <c r="B1239" s="190"/>
      <c r="C1239" s="191"/>
      <c r="D1239" s="244"/>
      <c r="E1239" s="192"/>
      <c r="F1239" s="192"/>
      <c r="G1239" s="192"/>
      <c r="H1239" s="192"/>
      <c r="I1239" s="203"/>
      <c r="J1239" s="215"/>
      <c r="K1239" s="209">
        <v>23500</v>
      </c>
      <c r="L1239" s="196"/>
      <c r="M1239" s="197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  <c r="Z1239" s="138"/>
      <c r="AA1239" s="138"/>
      <c r="AB1239" s="138"/>
      <c r="AC1239" s="138"/>
      <c r="AD1239" s="138"/>
      <c r="AE1239" s="138"/>
      <c r="AF1239" s="138"/>
      <c r="AG1239" s="138"/>
      <c r="AH1239" s="138"/>
      <c r="AI1239" s="138"/>
      <c r="AJ1239" s="138"/>
      <c r="AK1239" s="138"/>
      <c r="AL1239" s="138"/>
      <c r="AM1239" s="138"/>
      <c r="AN1239" s="138"/>
      <c r="AO1239" s="138"/>
      <c r="AP1239" s="138"/>
      <c r="AQ1239" s="138"/>
      <c r="AR1239" s="138"/>
      <c r="AS1239" s="138"/>
      <c r="AT1239" s="138"/>
      <c r="AU1239" s="138"/>
      <c r="AV1239" s="138"/>
      <c r="AW1239" s="138"/>
      <c r="AX1239" s="138"/>
      <c r="AY1239" s="138"/>
      <c r="AZ1239" s="138"/>
      <c r="BA1239" s="138"/>
      <c r="BB1239" s="138"/>
      <c r="BC1239" s="138"/>
      <c r="BD1239" s="138"/>
      <c r="BE1239" s="138"/>
      <c r="BF1239" s="138"/>
      <c r="BG1239" s="138"/>
      <c r="BH1239" s="138"/>
      <c r="BI1239" s="138"/>
      <c r="BJ1239" s="138"/>
      <c r="BK1239" s="138"/>
      <c r="BL1239" s="138"/>
      <c r="BM1239" s="138"/>
      <c r="BN1239" s="138"/>
      <c r="BO1239" s="138"/>
    </row>
    <row r="1240" spans="1:67" ht="20.25" customHeight="1" x14ac:dyDescent="0.2">
      <c r="A1240" s="167">
        <v>309</v>
      </c>
      <c r="B1240" s="168" t="s">
        <v>1677</v>
      </c>
      <c r="C1240" s="169"/>
      <c r="D1240" s="250" t="s">
        <v>107</v>
      </c>
      <c r="E1240" s="170"/>
      <c r="F1240" s="170"/>
      <c r="G1240" s="170"/>
      <c r="H1240" s="170" t="s">
        <v>1374</v>
      </c>
      <c r="I1240" s="217" t="s">
        <v>1678</v>
      </c>
      <c r="J1240" s="198" t="s">
        <v>1663</v>
      </c>
      <c r="K1240" s="173">
        <f>K1247*5%</f>
        <v>900</v>
      </c>
      <c r="L1240" s="174" t="s">
        <v>111</v>
      </c>
      <c r="M1240" s="175" t="s">
        <v>1679</v>
      </c>
      <c r="AV1240" s="138"/>
      <c r="AW1240" s="138"/>
      <c r="AX1240" s="138"/>
      <c r="AY1240" s="138"/>
      <c r="AZ1240" s="138"/>
      <c r="BA1240" s="138"/>
      <c r="BB1240" s="138"/>
      <c r="BC1240" s="138"/>
      <c r="BD1240" s="138"/>
      <c r="BE1240" s="138"/>
      <c r="BF1240" s="138"/>
      <c r="BG1240" s="138"/>
      <c r="BH1240" s="138"/>
      <c r="BI1240" s="138"/>
      <c r="BJ1240" s="138"/>
      <c r="BK1240" s="138"/>
      <c r="BL1240" s="138"/>
      <c r="BM1240" s="138"/>
      <c r="BN1240" s="138"/>
      <c r="BO1240" s="138"/>
    </row>
    <row r="1241" spans="1:67" ht="20.25" customHeight="1" x14ac:dyDescent="0.2">
      <c r="A1241" s="177"/>
      <c r="B1241" s="178"/>
      <c r="C1241" s="179"/>
      <c r="D1241" s="243"/>
      <c r="E1241" s="180"/>
      <c r="F1241" s="180"/>
      <c r="G1241" s="180"/>
      <c r="H1241" s="180"/>
      <c r="I1241" s="274" t="s">
        <v>1680</v>
      </c>
      <c r="J1241" s="172" t="s">
        <v>1663</v>
      </c>
      <c r="K1241" s="229">
        <f>K1247*5%</f>
        <v>900</v>
      </c>
      <c r="L1241" s="184"/>
      <c r="M1241" s="185"/>
      <c r="AV1241" s="138"/>
      <c r="AW1241" s="138"/>
      <c r="AX1241" s="138"/>
      <c r="AY1241" s="138"/>
      <c r="AZ1241" s="138"/>
      <c r="BA1241" s="138"/>
      <c r="BB1241" s="138"/>
      <c r="BC1241" s="138"/>
      <c r="BD1241" s="138"/>
      <c r="BE1241" s="138"/>
      <c r="BF1241" s="138"/>
      <c r="BG1241" s="138"/>
      <c r="BH1241" s="138"/>
      <c r="BI1241" s="138"/>
      <c r="BJ1241" s="138"/>
      <c r="BK1241" s="138"/>
      <c r="BL1241" s="138"/>
      <c r="BM1241" s="138"/>
      <c r="BN1241" s="138"/>
      <c r="BO1241" s="138"/>
    </row>
    <row r="1242" spans="1:67" ht="20.25" customHeight="1" x14ac:dyDescent="0.2">
      <c r="A1242" s="177"/>
      <c r="B1242" s="178"/>
      <c r="C1242" s="179"/>
      <c r="D1242" s="243"/>
      <c r="E1242" s="180"/>
      <c r="F1242" s="180"/>
      <c r="G1242" s="180"/>
      <c r="H1242" s="180"/>
      <c r="I1242" s="274" t="s">
        <v>1681</v>
      </c>
      <c r="J1242" s="182" t="s">
        <v>1663</v>
      </c>
      <c r="K1242" s="208">
        <f>K1247*5%</f>
        <v>900</v>
      </c>
      <c r="L1242" s="184"/>
      <c r="M1242" s="185"/>
      <c r="AV1242" s="138"/>
      <c r="AW1242" s="138"/>
      <c r="AX1242" s="138"/>
      <c r="AY1242" s="138"/>
      <c r="AZ1242" s="138"/>
      <c r="BA1242" s="138"/>
      <c r="BB1242" s="138"/>
      <c r="BC1242" s="138"/>
      <c r="BD1242" s="138"/>
      <c r="BE1242" s="138"/>
      <c r="BF1242" s="138"/>
      <c r="BG1242" s="138"/>
      <c r="BH1242" s="138"/>
      <c r="BI1242" s="138"/>
      <c r="BJ1242" s="138"/>
      <c r="BK1242" s="138"/>
      <c r="BL1242" s="138"/>
      <c r="BM1242" s="138"/>
      <c r="BN1242" s="138"/>
      <c r="BO1242" s="138"/>
    </row>
    <row r="1243" spans="1:67" ht="20.25" customHeight="1" x14ac:dyDescent="0.2">
      <c r="A1243" s="177"/>
      <c r="B1243" s="178"/>
      <c r="C1243" s="179"/>
      <c r="D1243" s="243"/>
      <c r="E1243" s="180"/>
      <c r="F1243" s="180"/>
      <c r="G1243" s="180"/>
      <c r="H1243" s="180"/>
      <c r="I1243" s="274" t="s">
        <v>1682</v>
      </c>
      <c r="J1243" s="182" t="s">
        <v>1663</v>
      </c>
      <c r="K1243" s="202">
        <f>K1247*5%</f>
        <v>900</v>
      </c>
      <c r="L1243" s="184"/>
      <c r="M1243" s="185"/>
      <c r="AV1243" s="138"/>
      <c r="AW1243" s="138"/>
      <c r="AX1243" s="138"/>
      <c r="AY1243" s="138"/>
      <c r="AZ1243" s="138"/>
      <c r="BA1243" s="138"/>
      <c r="BB1243" s="138"/>
      <c r="BC1243" s="138"/>
      <c r="BD1243" s="138"/>
      <c r="BE1243" s="138"/>
      <c r="BF1243" s="138"/>
      <c r="BG1243" s="138"/>
      <c r="BH1243" s="138"/>
      <c r="BI1243" s="138"/>
      <c r="BJ1243" s="138"/>
      <c r="BK1243" s="138"/>
      <c r="BL1243" s="138"/>
      <c r="BM1243" s="138"/>
      <c r="BN1243" s="138"/>
      <c r="BO1243" s="138"/>
    </row>
    <row r="1244" spans="1:67" ht="20.25" customHeight="1" x14ac:dyDescent="0.2">
      <c r="A1244" s="177"/>
      <c r="B1244" s="178"/>
      <c r="C1244" s="179"/>
      <c r="D1244" s="243"/>
      <c r="E1244" s="180"/>
      <c r="F1244" s="180"/>
      <c r="G1244" s="180"/>
      <c r="H1244" s="180"/>
      <c r="I1244" s="171" t="s">
        <v>1683</v>
      </c>
      <c r="J1244" s="172" t="s">
        <v>1663</v>
      </c>
      <c r="K1244" s="229">
        <f>K1247*5%</f>
        <v>900</v>
      </c>
      <c r="L1244" s="184"/>
      <c r="M1244" s="185"/>
      <c r="AV1244" s="138"/>
      <c r="AW1244" s="138"/>
      <c r="AX1244" s="138"/>
      <c r="AY1244" s="138"/>
      <c r="AZ1244" s="138"/>
      <c r="BA1244" s="138"/>
      <c r="BB1244" s="138"/>
      <c r="BC1244" s="138"/>
      <c r="BD1244" s="138"/>
      <c r="BE1244" s="138"/>
      <c r="BF1244" s="138"/>
      <c r="BG1244" s="138"/>
      <c r="BH1244" s="138"/>
      <c r="BI1244" s="138"/>
      <c r="BJ1244" s="138"/>
      <c r="BK1244" s="138"/>
      <c r="BL1244" s="138"/>
      <c r="BM1244" s="138"/>
      <c r="BN1244" s="138"/>
      <c r="BO1244" s="138"/>
    </row>
    <row r="1245" spans="1:67" ht="20.25" customHeight="1" x14ac:dyDescent="0.2">
      <c r="A1245" s="177"/>
      <c r="B1245" s="178"/>
      <c r="C1245" s="179"/>
      <c r="D1245" s="243"/>
      <c r="E1245" s="180"/>
      <c r="F1245" s="180"/>
      <c r="G1245" s="180"/>
      <c r="H1245" s="180"/>
      <c r="I1245" s="188" t="s">
        <v>1684</v>
      </c>
      <c r="J1245" s="187" t="s">
        <v>1663</v>
      </c>
      <c r="K1245" s="202">
        <f>K1247*5%</f>
        <v>900</v>
      </c>
      <c r="L1245" s="184"/>
      <c r="M1245" s="185"/>
      <c r="AV1245" s="138"/>
      <c r="AW1245" s="138"/>
      <c r="AX1245" s="138"/>
      <c r="AY1245" s="138"/>
      <c r="AZ1245" s="138"/>
      <c r="BA1245" s="138"/>
      <c r="BB1245" s="138"/>
      <c r="BC1245" s="138"/>
      <c r="BD1245" s="138"/>
      <c r="BE1245" s="138"/>
      <c r="BF1245" s="138"/>
      <c r="BG1245" s="138"/>
      <c r="BH1245" s="138"/>
      <c r="BI1245" s="138"/>
      <c r="BJ1245" s="138"/>
      <c r="BK1245" s="138"/>
      <c r="BL1245" s="138"/>
      <c r="BM1245" s="138"/>
      <c r="BN1245" s="138"/>
      <c r="BO1245" s="138"/>
    </row>
    <row r="1246" spans="1:67" ht="20.25" customHeight="1" x14ac:dyDescent="0.2">
      <c r="A1246" s="177"/>
      <c r="B1246" s="178"/>
      <c r="C1246" s="179"/>
      <c r="D1246" s="243"/>
      <c r="E1246" s="180"/>
      <c r="F1246" s="180"/>
      <c r="G1246" s="180"/>
      <c r="H1246" s="180"/>
      <c r="I1246" s="188" t="s">
        <v>1685</v>
      </c>
      <c r="J1246" s="187" t="s">
        <v>1666</v>
      </c>
      <c r="K1246" s="183">
        <f>K1247*70%</f>
        <v>12600</v>
      </c>
      <c r="L1246" s="184"/>
      <c r="M1246" s="185"/>
      <c r="AV1246" s="138"/>
      <c r="AW1246" s="138"/>
      <c r="AX1246" s="138"/>
      <c r="AY1246" s="138"/>
      <c r="AZ1246" s="138"/>
      <c r="BA1246" s="138"/>
      <c r="BB1246" s="138"/>
      <c r="BC1246" s="138"/>
      <c r="BD1246" s="138"/>
      <c r="BE1246" s="138"/>
      <c r="BF1246" s="138"/>
      <c r="BG1246" s="138"/>
      <c r="BH1246" s="138"/>
      <c r="BI1246" s="138"/>
      <c r="BJ1246" s="138"/>
      <c r="BK1246" s="138"/>
      <c r="BL1246" s="138"/>
      <c r="BM1246" s="138"/>
      <c r="BN1246" s="138"/>
      <c r="BO1246" s="138"/>
    </row>
    <row r="1247" spans="1:67" ht="20.25" customHeight="1" x14ac:dyDescent="0.2">
      <c r="A1247" s="189"/>
      <c r="B1247" s="190"/>
      <c r="C1247" s="191"/>
      <c r="D1247" s="244"/>
      <c r="E1247" s="192"/>
      <c r="F1247" s="192"/>
      <c r="G1247" s="192"/>
      <c r="H1247" s="192"/>
      <c r="I1247" s="203"/>
      <c r="J1247" s="194"/>
      <c r="K1247" s="195">
        <v>18000</v>
      </c>
      <c r="L1247" s="196"/>
      <c r="M1247" s="197"/>
      <c r="AV1247" s="138"/>
      <c r="AW1247" s="138"/>
      <c r="AX1247" s="138"/>
      <c r="AY1247" s="138"/>
      <c r="AZ1247" s="138"/>
      <c r="BA1247" s="138"/>
      <c r="BB1247" s="138"/>
      <c r="BC1247" s="138"/>
      <c r="BD1247" s="138"/>
      <c r="BE1247" s="138"/>
      <c r="BF1247" s="138"/>
      <c r="BG1247" s="138"/>
      <c r="BH1247" s="138"/>
      <c r="BI1247" s="138"/>
      <c r="BJ1247" s="138"/>
      <c r="BK1247" s="138"/>
      <c r="BL1247" s="138"/>
      <c r="BM1247" s="138"/>
      <c r="BN1247" s="138"/>
      <c r="BO1247" s="138"/>
    </row>
    <row r="1248" spans="1:67" ht="68.25" customHeight="1" x14ac:dyDescent="0.2">
      <c r="A1248" s="231">
        <v>310</v>
      </c>
      <c r="B1248" s="253" t="s">
        <v>1686</v>
      </c>
      <c r="C1248" s="254" t="s">
        <v>1686</v>
      </c>
      <c r="D1248" s="256" t="s">
        <v>163</v>
      </c>
      <c r="E1248" s="256"/>
      <c r="F1248" s="256"/>
      <c r="G1248" s="256"/>
      <c r="H1248" s="257"/>
      <c r="I1248" s="193" t="s">
        <v>1687</v>
      </c>
      <c r="J1248" s="215" t="s">
        <v>636</v>
      </c>
      <c r="K1248" s="258">
        <v>530000</v>
      </c>
      <c r="L1248" s="281" t="s">
        <v>166</v>
      </c>
      <c r="M1248" s="215" t="s">
        <v>1688</v>
      </c>
      <c r="AV1248" s="138"/>
      <c r="AW1248" s="138"/>
      <c r="AX1248" s="138"/>
      <c r="AY1248" s="138"/>
      <c r="AZ1248" s="138"/>
      <c r="BA1248" s="138"/>
      <c r="BB1248" s="138"/>
      <c r="BC1248" s="138"/>
      <c r="BD1248" s="138"/>
      <c r="BE1248" s="138"/>
      <c r="BF1248" s="138"/>
      <c r="BG1248" s="138"/>
      <c r="BH1248" s="138"/>
      <c r="BI1248" s="138"/>
      <c r="BJ1248" s="138"/>
      <c r="BK1248" s="138"/>
      <c r="BL1248" s="138"/>
      <c r="BM1248" s="138"/>
      <c r="BN1248" s="138"/>
      <c r="BO1248" s="138"/>
    </row>
    <row r="1249" spans="1:67" ht="78.75" customHeight="1" x14ac:dyDescent="0.2">
      <c r="A1249" s="231">
        <v>311</v>
      </c>
      <c r="B1249" s="253" t="s">
        <v>1689</v>
      </c>
      <c r="C1249" s="254" t="s">
        <v>1689</v>
      </c>
      <c r="D1249" s="256" t="s">
        <v>163</v>
      </c>
      <c r="E1249" s="256"/>
      <c r="F1249" s="256"/>
      <c r="G1249" s="256"/>
      <c r="H1249" s="257"/>
      <c r="I1249" s="193" t="s">
        <v>1687</v>
      </c>
      <c r="J1249" s="215" t="s">
        <v>636</v>
      </c>
      <c r="K1249" s="258">
        <v>530000</v>
      </c>
      <c r="L1249" s="281" t="s">
        <v>166</v>
      </c>
      <c r="M1249" s="215" t="s">
        <v>1690</v>
      </c>
      <c r="AV1249" s="138"/>
      <c r="AW1249" s="138"/>
      <c r="AX1249" s="138"/>
      <c r="AY1249" s="138"/>
      <c r="AZ1249" s="138"/>
      <c r="BA1249" s="138"/>
      <c r="BB1249" s="138"/>
      <c r="BC1249" s="138"/>
      <c r="BD1249" s="138"/>
      <c r="BE1249" s="138"/>
      <c r="BF1249" s="138"/>
      <c r="BG1249" s="138"/>
      <c r="BH1249" s="138"/>
      <c r="BI1249" s="138"/>
      <c r="BJ1249" s="138"/>
      <c r="BK1249" s="138"/>
      <c r="BL1249" s="138"/>
      <c r="BM1249" s="138"/>
      <c r="BN1249" s="138"/>
      <c r="BO1249" s="138"/>
    </row>
    <row r="1250" spans="1:67" ht="24" customHeight="1" x14ac:dyDescent="0.2">
      <c r="A1250" s="167">
        <v>312</v>
      </c>
      <c r="B1250" s="168" t="s">
        <v>1691</v>
      </c>
      <c r="C1250" s="169"/>
      <c r="D1250" s="170" t="s">
        <v>163</v>
      </c>
      <c r="E1250" s="170"/>
      <c r="F1250" s="170"/>
      <c r="G1250" s="170"/>
      <c r="H1250" s="170" t="s">
        <v>137</v>
      </c>
      <c r="I1250" s="217" t="s">
        <v>1692</v>
      </c>
      <c r="J1250" s="247" t="s">
        <v>980</v>
      </c>
      <c r="K1250" s="210">
        <f>450000*60%</f>
        <v>270000</v>
      </c>
      <c r="L1250" s="175" t="s">
        <v>166</v>
      </c>
      <c r="M1250" s="175" t="s">
        <v>1693</v>
      </c>
      <c r="AV1250" s="138"/>
      <c r="AW1250" s="138"/>
      <c r="AX1250" s="138"/>
      <c r="AY1250" s="138"/>
      <c r="AZ1250" s="138"/>
      <c r="BA1250" s="138"/>
      <c r="BB1250" s="138"/>
      <c r="BC1250" s="138"/>
      <c r="BD1250" s="138"/>
      <c r="BE1250" s="138"/>
      <c r="BF1250" s="138"/>
      <c r="BG1250" s="138"/>
      <c r="BH1250" s="138"/>
      <c r="BI1250" s="138"/>
      <c r="BJ1250" s="138"/>
      <c r="BK1250" s="138"/>
      <c r="BL1250" s="138"/>
      <c r="BM1250" s="138"/>
      <c r="BN1250" s="138"/>
      <c r="BO1250" s="138"/>
    </row>
    <row r="1251" spans="1:67" x14ac:dyDescent="0.2">
      <c r="A1251" s="177"/>
      <c r="B1251" s="178"/>
      <c r="C1251" s="179"/>
      <c r="D1251" s="180"/>
      <c r="E1251" s="180"/>
      <c r="F1251" s="180"/>
      <c r="G1251" s="180"/>
      <c r="H1251" s="180"/>
      <c r="I1251" s="188" t="s">
        <v>1694</v>
      </c>
      <c r="J1251" s="207" t="s">
        <v>594</v>
      </c>
      <c r="K1251" s="214">
        <f>450000*20%</f>
        <v>90000</v>
      </c>
      <c r="L1251" s="185"/>
      <c r="M1251" s="185"/>
      <c r="AV1251" s="138"/>
      <c r="AW1251" s="138"/>
      <c r="AX1251" s="138"/>
      <c r="AY1251" s="138"/>
      <c r="AZ1251" s="138"/>
      <c r="BA1251" s="138"/>
      <c r="BB1251" s="138"/>
      <c r="BC1251" s="138"/>
      <c r="BD1251" s="138"/>
      <c r="BE1251" s="138"/>
      <c r="BF1251" s="138"/>
      <c r="BG1251" s="138"/>
      <c r="BH1251" s="138"/>
      <c r="BI1251" s="138"/>
      <c r="BJ1251" s="138"/>
      <c r="BK1251" s="138"/>
      <c r="BL1251" s="138"/>
      <c r="BM1251" s="138"/>
      <c r="BN1251" s="138"/>
      <c r="BO1251" s="138"/>
    </row>
    <row r="1252" spans="1:67" x14ac:dyDescent="0.2">
      <c r="A1252" s="177"/>
      <c r="B1252" s="178"/>
      <c r="C1252" s="179"/>
      <c r="D1252" s="180"/>
      <c r="E1252" s="180"/>
      <c r="F1252" s="180"/>
      <c r="G1252" s="180"/>
      <c r="H1252" s="180"/>
      <c r="I1252" s="188" t="s">
        <v>1695</v>
      </c>
      <c r="J1252" s="207" t="s">
        <v>223</v>
      </c>
      <c r="K1252" s="214">
        <f>450000*10%</f>
        <v>45000</v>
      </c>
      <c r="L1252" s="185"/>
      <c r="M1252" s="185"/>
      <c r="AV1252" s="138"/>
      <c r="AW1252" s="138"/>
      <c r="AX1252" s="138"/>
      <c r="AY1252" s="138"/>
      <c r="AZ1252" s="138"/>
      <c r="BA1252" s="138"/>
      <c r="BB1252" s="138"/>
      <c r="BC1252" s="138"/>
      <c r="BD1252" s="138"/>
      <c r="BE1252" s="138"/>
      <c r="BF1252" s="138"/>
      <c r="BG1252" s="138"/>
      <c r="BH1252" s="138"/>
      <c r="BI1252" s="138"/>
      <c r="BJ1252" s="138"/>
      <c r="BK1252" s="138"/>
      <c r="BL1252" s="138"/>
      <c r="BM1252" s="138"/>
      <c r="BN1252" s="138"/>
      <c r="BO1252" s="138"/>
    </row>
    <row r="1253" spans="1:67" x14ac:dyDescent="0.2">
      <c r="A1253" s="189"/>
      <c r="B1253" s="190"/>
      <c r="C1253" s="191"/>
      <c r="D1253" s="192"/>
      <c r="E1253" s="192"/>
      <c r="F1253" s="192"/>
      <c r="G1253" s="192"/>
      <c r="H1253" s="192"/>
      <c r="I1253" s="203"/>
      <c r="J1253" s="204"/>
      <c r="K1253" s="211">
        <f>SUM(K1250:K1252)</f>
        <v>405000</v>
      </c>
      <c r="L1253" s="197"/>
      <c r="M1253" s="197"/>
      <c r="AV1253" s="138"/>
      <c r="AW1253" s="138"/>
      <c r="AX1253" s="138"/>
      <c r="AY1253" s="138"/>
      <c r="AZ1253" s="138"/>
      <c r="BA1253" s="138"/>
      <c r="BB1253" s="138"/>
      <c r="BC1253" s="138"/>
      <c r="BD1253" s="138"/>
      <c r="BE1253" s="138"/>
      <c r="BF1253" s="138"/>
      <c r="BG1253" s="138"/>
      <c r="BH1253" s="138"/>
      <c r="BI1253" s="138"/>
      <c r="BJ1253" s="138"/>
      <c r="BK1253" s="138"/>
      <c r="BL1253" s="138"/>
      <c r="BM1253" s="138"/>
      <c r="BN1253" s="138"/>
      <c r="BO1253" s="138"/>
    </row>
    <row r="1254" spans="1:67" ht="25.5" customHeight="1" x14ac:dyDescent="0.2">
      <c r="A1254" s="167">
        <v>313</v>
      </c>
      <c r="B1254" s="168" t="s">
        <v>1696</v>
      </c>
      <c r="C1254" s="169"/>
      <c r="D1254" s="170" t="s">
        <v>163</v>
      </c>
      <c r="E1254" s="170"/>
      <c r="F1254" s="170"/>
      <c r="G1254" s="170"/>
      <c r="H1254" s="170" t="s">
        <v>137</v>
      </c>
      <c r="I1254" s="274" t="s">
        <v>1697</v>
      </c>
      <c r="J1254" s="247" t="s">
        <v>1698</v>
      </c>
      <c r="K1254" s="210">
        <f>350150*60%</f>
        <v>210090</v>
      </c>
      <c r="L1254" s="175" t="s">
        <v>166</v>
      </c>
      <c r="M1254" s="175" t="s">
        <v>1699</v>
      </c>
      <c r="AV1254" s="138"/>
      <c r="AW1254" s="138"/>
      <c r="AX1254" s="138"/>
      <c r="AY1254" s="138"/>
      <c r="AZ1254" s="138"/>
      <c r="BA1254" s="138"/>
      <c r="BB1254" s="138"/>
      <c r="BC1254" s="138"/>
      <c r="BD1254" s="138"/>
      <c r="BE1254" s="138"/>
      <c r="BF1254" s="138"/>
      <c r="BG1254" s="138"/>
      <c r="BH1254" s="138"/>
      <c r="BI1254" s="138"/>
      <c r="BJ1254" s="138"/>
      <c r="BK1254" s="138"/>
      <c r="BL1254" s="138"/>
      <c r="BM1254" s="138"/>
      <c r="BN1254" s="138"/>
      <c r="BO1254" s="138"/>
    </row>
    <row r="1255" spans="1:67" x14ac:dyDescent="0.2">
      <c r="A1255" s="177"/>
      <c r="B1255" s="178"/>
      <c r="C1255" s="179"/>
      <c r="D1255" s="180"/>
      <c r="E1255" s="180"/>
      <c r="F1255" s="180"/>
      <c r="G1255" s="180"/>
      <c r="H1255" s="180"/>
      <c r="I1255" s="188" t="s">
        <v>1700</v>
      </c>
      <c r="J1255" s="207" t="s">
        <v>655</v>
      </c>
      <c r="K1255" s="214">
        <f>350150*20%</f>
        <v>70030</v>
      </c>
      <c r="L1255" s="185"/>
      <c r="M1255" s="185"/>
      <c r="AV1255" s="138"/>
      <c r="AW1255" s="138"/>
      <c r="AX1255" s="138"/>
      <c r="AY1255" s="138"/>
      <c r="AZ1255" s="138"/>
      <c r="BA1255" s="138"/>
      <c r="BB1255" s="138"/>
      <c r="BC1255" s="138"/>
      <c r="BD1255" s="138"/>
      <c r="BE1255" s="138"/>
      <c r="BF1255" s="138"/>
      <c r="BG1255" s="138"/>
      <c r="BH1255" s="138"/>
      <c r="BI1255" s="138"/>
      <c r="BJ1255" s="138"/>
      <c r="BK1255" s="138"/>
      <c r="BL1255" s="138"/>
      <c r="BM1255" s="138"/>
      <c r="BN1255" s="138"/>
      <c r="BO1255" s="138"/>
    </row>
    <row r="1256" spans="1:67" x14ac:dyDescent="0.2">
      <c r="A1256" s="177"/>
      <c r="B1256" s="178"/>
      <c r="C1256" s="179"/>
      <c r="D1256" s="180"/>
      <c r="E1256" s="180"/>
      <c r="F1256" s="180"/>
      <c r="G1256" s="180"/>
      <c r="H1256" s="180"/>
      <c r="I1256" s="188" t="s">
        <v>1701</v>
      </c>
      <c r="J1256" s="207" t="s">
        <v>655</v>
      </c>
      <c r="K1256" s="214">
        <f>350150*20%</f>
        <v>70030</v>
      </c>
      <c r="L1256" s="185"/>
      <c r="M1256" s="185"/>
      <c r="AV1256" s="138"/>
      <c r="AW1256" s="138"/>
      <c r="AX1256" s="138"/>
      <c r="AY1256" s="138"/>
      <c r="AZ1256" s="138"/>
      <c r="BA1256" s="138"/>
      <c r="BB1256" s="138"/>
      <c r="BC1256" s="138"/>
      <c r="BD1256" s="138"/>
      <c r="BE1256" s="138"/>
      <c r="BF1256" s="138"/>
      <c r="BG1256" s="138"/>
      <c r="BH1256" s="138"/>
      <c r="BI1256" s="138"/>
      <c r="BJ1256" s="138"/>
      <c r="BK1256" s="138"/>
      <c r="BL1256" s="138"/>
      <c r="BM1256" s="138"/>
      <c r="BN1256" s="138"/>
      <c r="BO1256" s="138"/>
    </row>
    <row r="1257" spans="1:67" x14ac:dyDescent="0.2">
      <c r="A1257" s="189"/>
      <c r="B1257" s="190"/>
      <c r="C1257" s="191"/>
      <c r="D1257" s="192"/>
      <c r="E1257" s="192"/>
      <c r="F1257" s="192"/>
      <c r="G1257" s="192"/>
      <c r="H1257" s="192"/>
      <c r="I1257" s="203"/>
      <c r="J1257" s="204"/>
      <c r="K1257" s="205">
        <f>SUM(K1254:K1256)</f>
        <v>350150</v>
      </c>
      <c r="L1257" s="197"/>
      <c r="M1257" s="197"/>
      <c r="AV1257" s="138"/>
      <c r="AW1257" s="138"/>
      <c r="AX1257" s="138"/>
      <c r="AY1257" s="138"/>
      <c r="AZ1257" s="138"/>
      <c r="BA1257" s="138"/>
      <c r="BB1257" s="138"/>
      <c r="BC1257" s="138"/>
      <c r="BD1257" s="138"/>
      <c r="BE1257" s="138"/>
      <c r="BF1257" s="138"/>
      <c r="BG1257" s="138"/>
      <c r="BH1257" s="138"/>
      <c r="BI1257" s="138"/>
      <c r="BJ1257" s="138"/>
      <c r="BK1257" s="138"/>
      <c r="BL1257" s="138"/>
      <c r="BM1257" s="138"/>
      <c r="BN1257" s="138"/>
      <c r="BO1257" s="138"/>
    </row>
    <row r="1258" spans="1:67" ht="24.75" customHeight="1" x14ac:dyDescent="0.2">
      <c r="A1258" s="167">
        <v>314</v>
      </c>
      <c r="B1258" s="168" t="s">
        <v>1702</v>
      </c>
      <c r="C1258" s="169"/>
      <c r="D1258" s="170" t="s">
        <v>163</v>
      </c>
      <c r="E1258" s="170"/>
      <c r="F1258" s="170"/>
      <c r="G1258" s="170"/>
      <c r="H1258" s="170" t="s">
        <v>137</v>
      </c>
      <c r="I1258" s="274" t="s">
        <v>1703</v>
      </c>
      <c r="J1258" s="247" t="s">
        <v>1704</v>
      </c>
      <c r="K1258" s="206">
        <f>70300*50%</f>
        <v>35150</v>
      </c>
      <c r="L1258" s="174" t="s">
        <v>166</v>
      </c>
      <c r="M1258" s="175" t="s">
        <v>1705</v>
      </c>
      <c r="AV1258" s="138"/>
      <c r="AW1258" s="138"/>
      <c r="AX1258" s="138"/>
      <c r="AY1258" s="138"/>
      <c r="AZ1258" s="138"/>
      <c r="BA1258" s="138"/>
      <c r="BB1258" s="138"/>
      <c r="BC1258" s="138"/>
      <c r="BD1258" s="138"/>
      <c r="BE1258" s="138"/>
      <c r="BF1258" s="138"/>
      <c r="BG1258" s="138"/>
      <c r="BH1258" s="138"/>
      <c r="BI1258" s="138"/>
      <c r="BJ1258" s="138"/>
      <c r="BK1258" s="138"/>
      <c r="BL1258" s="138"/>
      <c r="BM1258" s="138"/>
      <c r="BN1258" s="138"/>
      <c r="BO1258" s="138"/>
    </row>
    <row r="1259" spans="1:67" x14ac:dyDescent="0.2">
      <c r="A1259" s="177"/>
      <c r="B1259" s="178"/>
      <c r="C1259" s="179"/>
      <c r="D1259" s="180"/>
      <c r="E1259" s="180"/>
      <c r="F1259" s="180"/>
      <c r="G1259" s="180"/>
      <c r="H1259" s="180"/>
      <c r="I1259" s="188" t="s">
        <v>1706</v>
      </c>
      <c r="J1259" s="207" t="s">
        <v>636</v>
      </c>
      <c r="K1259" s="208">
        <f>70300*25%</f>
        <v>17575</v>
      </c>
      <c r="L1259" s="184"/>
      <c r="M1259" s="185"/>
      <c r="AV1259" s="138"/>
      <c r="AW1259" s="138"/>
      <c r="AX1259" s="138"/>
      <c r="AY1259" s="138"/>
      <c r="AZ1259" s="138"/>
      <c r="BA1259" s="138"/>
      <c r="BB1259" s="138"/>
      <c r="BC1259" s="138"/>
      <c r="BD1259" s="138"/>
      <c r="BE1259" s="138"/>
      <c r="BF1259" s="138"/>
      <c r="BG1259" s="138"/>
      <c r="BH1259" s="138"/>
      <c r="BI1259" s="138"/>
      <c r="BJ1259" s="138"/>
      <c r="BK1259" s="138"/>
      <c r="BL1259" s="138"/>
      <c r="BM1259" s="138"/>
      <c r="BN1259" s="138"/>
      <c r="BO1259" s="138"/>
    </row>
    <row r="1260" spans="1:67" x14ac:dyDescent="0.2">
      <c r="A1260" s="177"/>
      <c r="B1260" s="178"/>
      <c r="C1260" s="179"/>
      <c r="D1260" s="180"/>
      <c r="E1260" s="180"/>
      <c r="F1260" s="180"/>
      <c r="G1260" s="180"/>
      <c r="H1260" s="180"/>
      <c r="I1260" s="188" t="s">
        <v>1707</v>
      </c>
      <c r="J1260" s="207" t="s">
        <v>636</v>
      </c>
      <c r="K1260" s="208">
        <f>70300*25%</f>
        <v>17575</v>
      </c>
      <c r="L1260" s="184"/>
      <c r="M1260" s="185"/>
      <c r="AV1260" s="138"/>
      <c r="AW1260" s="138"/>
      <c r="AX1260" s="138"/>
      <c r="AY1260" s="138"/>
      <c r="AZ1260" s="138"/>
      <c r="BA1260" s="138"/>
      <c r="BB1260" s="138"/>
      <c r="BC1260" s="138"/>
      <c r="BD1260" s="138"/>
      <c r="BE1260" s="138"/>
      <c r="BF1260" s="138"/>
      <c r="BG1260" s="138"/>
      <c r="BH1260" s="138"/>
      <c r="BI1260" s="138"/>
      <c r="BJ1260" s="138"/>
      <c r="BK1260" s="138"/>
      <c r="BL1260" s="138"/>
      <c r="BM1260" s="138"/>
      <c r="BN1260" s="138"/>
      <c r="BO1260" s="138"/>
    </row>
    <row r="1261" spans="1:67" x14ac:dyDescent="0.2">
      <c r="A1261" s="189"/>
      <c r="B1261" s="190"/>
      <c r="C1261" s="191"/>
      <c r="D1261" s="192"/>
      <c r="E1261" s="192"/>
      <c r="F1261" s="192"/>
      <c r="G1261" s="192"/>
      <c r="H1261" s="192"/>
      <c r="I1261" s="203"/>
      <c r="J1261" s="204"/>
      <c r="K1261" s="195">
        <f>SUM(K1258:K1260)</f>
        <v>70300</v>
      </c>
      <c r="L1261" s="196"/>
      <c r="M1261" s="197"/>
      <c r="AV1261" s="138"/>
      <c r="AW1261" s="138"/>
      <c r="AX1261" s="138"/>
      <c r="AY1261" s="138"/>
      <c r="AZ1261" s="138"/>
      <c r="BA1261" s="138"/>
      <c r="BB1261" s="138"/>
      <c r="BC1261" s="138"/>
      <c r="BD1261" s="138"/>
      <c r="BE1261" s="138"/>
      <c r="BF1261" s="138"/>
      <c r="BG1261" s="138"/>
      <c r="BH1261" s="138"/>
      <c r="BI1261" s="138"/>
      <c r="BJ1261" s="138"/>
      <c r="BK1261" s="138"/>
      <c r="BL1261" s="138"/>
      <c r="BM1261" s="138"/>
      <c r="BN1261" s="138"/>
      <c r="BO1261" s="138"/>
    </row>
    <row r="1262" spans="1:67" ht="24.75" customHeight="1" x14ac:dyDescent="0.2">
      <c r="A1262" s="167">
        <v>315</v>
      </c>
      <c r="B1262" s="168" t="s">
        <v>1708</v>
      </c>
      <c r="C1262" s="169"/>
      <c r="D1262" s="170" t="s">
        <v>163</v>
      </c>
      <c r="E1262" s="170"/>
      <c r="F1262" s="170"/>
      <c r="G1262" s="170"/>
      <c r="H1262" s="170" t="s">
        <v>137</v>
      </c>
      <c r="I1262" s="274" t="s">
        <v>1709</v>
      </c>
      <c r="J1262" s="247" t="s">
        <v>980</v>
      </c>
      <c r="K1262" s="210">
        <f>70300*60%</f>
        <v>42180</v>
      </c>
      <c r="L1262" s="175" t="s">
        <v>166</v>
      </c>
      <c r="M1262" s="175" t="s">
        <v>1710</v>
      </c>
      <c r="AV1262" s="138"/>
      <c r="AW1262" s="138"/>
      <c r="AX1262" s="138"/>
      <c r="AY1262" s="138"/>
      <c r="AZ1262" s="138"/>
      <c r="BA1262" s="138"/>
      <c r="BB1262" s="138"/>
      <c r="BC1262" s="138"/>
      <c r="BD1262" s="138"/>
      <c r="BE1262" s="138"/>
      <c r="BF1262" s="138"/>
      <c r="BG1262" s="138"/>
      <c r="BH1262" s="138"/>
      <c r="BI1262" s="138"/>
      <c r="BJ1262" s="138"/>
      <c r="BK1262" s="138"/>
      <c r="BL1262" s="138"/>
      <c r="BM1262" s="138"/>
      <c r="BN1262" s="138"/>
      <c r="BO1262" s="138"/>
    </row>
    <row r="1263" spans="1:67" x14ac:dyDescent="0.2">
      <c r="A1263" s="177"/>
      <c r="B1263" s="178"/>
      <c r="C1263" s="179"/>
      <c r="D1263" s="180"/>
      <c r="E1263" s="180"/>
      <c r="F1263" s="180"/>
      <c r="G1263" s="180"/>
      <c r="H1263" s="180"/>
      <c r="I1263" s="188" t="s">
        <v>1711</v>
      </c>
      <c r="J1263" s="207" t="s">
        <v>636</v>
      </c>
      <c r="K1263" s="214">
        <f>70300*20%</f>
        <v>14060</v>
      </c>
      <c r="L1263" s="185"/>
      <c r="M1263" s="185"/>
      <c r="AV1263" s="138"/>
      <c r="AW1263" s="138"/>
      <c r="AX1263" s="138"/>
      <c r="AY1263" s="138"/>
      <c r="AZ1263" s="138"/>
      <c r="BA1263" s="138"/>
      <c r="BB1263" s="138"/>
      <c r="BC1263" s="138"/>
      <c r="BD1263" s="138"/>
      <c r="BE1263" s="138"/>
      <c r="BF1263" s="138"/>
      <c r="BG1263" s="138"/>
      <c r="BH1263" s="138"/>
      <c r="BI1263" s="138"/>
      <c r="BJ1263" s="138"/>
      <c r="BK1263" s="138"/>
      <c r="BL1263" s="138"/>
      <c r="BM1263" s="138"/>
      <c r="BN1263" s="138"/>
      <c r="BO1263" s="138"/>
    </row>
    <row r="1264" spans="1:67" x14ac:dyDescent="0.2">
      <c r="A1264" s="177"/>
      <c r="B1264" s="178"/>
      <c r="C1264" s="179"/>
      <c r="D1264" s="180"/>
      <c r="E1264" s="180"/>
      <c r="F1264" s="180"/>
      <c r="G1264" s="180"/>
      <c r="H1264" s="180"/>
      <c r="I1264" s="188" t="s">
        <v>1712</v>
      </c>
      <c r="J1264" s="207" t="s">
        <v>636</v>
      </c>
      <c r="K1264" s="214">
        <f>70300*20%</f>
        <v>14060</v>
      </c>
      <c r="L1264" s="185"/>
      <c r="M1264" s="185"/>
      <c r="AV1264" s="138"/>
      <c r="AW1264" s="138"/>
      <c r="AX1264" s="138"/>
      <c r="AY1264" s="138"/>
      <c r="AZ1264" s="138"/>
      <c r="BA1264" s="138"/>
      <c r="BB1264" s="138"/>
      <c r="BC1264" s="138"/>
      <c r="BD1264" s="138"/>
      <c r="BE1264" s="138"/>
      <c r="BF1264" s="138"/>
      <c r="BG1264" s="138"/>
      <c r="BH1264" s="138"/>
      <c r="BI1264" s="138"/>
      <c r="BJ1264" s="138"/>
      <c r="BK1264" s="138"/>
      <c r="BL1264" s="138"/>
      <c r="BM1264" s="138"/>
      <c r="BN1264" s="138"/>
      <c r="BO1264" s="138"/>
    </row>
    <row r="1265" spans="1:67" x14ac:dyDescent="0.2">
      <c r="A1265" s="189"/>
      <c r="B1265" s="190"/>
      <c r="C1265" s="191"/>
      <c r="D1265" s="192"/>
      <c r="E1265" s="192"/>
      <c r="F1265" s="192"/>
      <c r="G1265" s="192"/>
      <c r="H1265" s="192"/>
      <c r="I1265" s="203"/>
      <c r="J1265" s="204"/>
      <c r="K1265" s="211">
        <f>SUM(K1262:K1264)</f>
        <v>70300</v>
      </c>
      <c r="L1265" s="197"/>
      <c r="M1265" s="197"/>
      <c r="AV1265" s="138"/>
      <c r="AW1265" s="138"/>
      <c r="AX1265" s="138"/>
      <c r="AY1265" s="138"/>
      <c r="AZ1265" s="138"/>
      <c r="BA1265" s="138"/>
      <c r="BB1265" s="138"/>
      <c r="BC1265" s="138"/>
      <c r="BD1265" s="138"/>
      <c r="BE1265" s="138"/>
      <c r="BF1265" s="138"/>
      <c r="BG1265" s="138"/>
      <c r="BH1265" s="138"/>
      <c r="BI1265" s="138"/>
      <c r="BJ1265" s="138"/>
      <c r="BK1265" s="138"/>
      <c r="BL1265" s="138"/>
      <c r="BM1265" s="138"/>
      <c r="BN1265" s="138"/>
      <c r="BO1265" s="138"/>
    </row>
    <row r="1266" spans="1:67" ht="24.75" customHeight="1" x14ac:dyDescent="0.2">
      <c r="A1266" s="167">
        <v>316</v>
      </c>
      <c r="B1266" s="168" t="s">
        <v>1713</v>
      </c>
      <c r="C1266" s="169"/>
      <c r="D1266" s="170" t="s">
        <v>163</v>
      </c>
      <c r="E1266" s="170"/>
      <c r="F1266" s="170"/>
      <c r="G1266" s="170"/>
      <c r="H1266" s="170" t="s">
        <v>108</v>
      </c>
      <c r="I1266" s="274" t="s">
        <v>1714</v>
      </c>
      <c r="J1266" s="247" t="s">
        <v>1698</v>
      </c>
      <c r="K1266" s="206">
        <f>70300*60%</f>
        <v>42180</v>
      </c>
      <c r="L1266" s="174" t="s">
        <v>166</v>
      </c>
      <c r="M1266" s="175" t="s">
        <v>1715</v>
      </c>
      <c r="AV1266" s="138"/>
      <c r="AW1266" s="138"/>
      <c r="AX1266" s="138"/>
      <c r="AY1266" s="138"/>
      <c r="AZ1266" s="138"/>
      <c r="BA1266" s="138"/>
      <c r="BB1266" s="138"/>
      <c r="BC1266" s="138"/>
      <c r="BD1266" s="138"/>
      <c r="BE1266" s="138"/>
      <c r="BF1266" s="138"/>
      <c r="BG1266" s="138"/>
      <c r="BH1266" s="138"/>
      <c r="BI1266" s="138"/>
      <c r="BJ1266" s="138"/>
      <c r="BK1266" s="138"/>
      <c r="BL1266" s="138"/>
      <c r="BM1266" s="138"/>
      <c r="BN1266" s="138"/>
      <c r="BO1266" s="138"/>
    </row>
    <row r="1267" spans="1:67" x14ac:dyDescent="0.2">
      <c r="A1267" s="177"/>
      <c r="B1267" s="178"/>
      <c r="C1267" s="179"/>
      <c r="D1267" s="180"/>
      <c r="E1267" s="180"/>
      <c r="F1267" s="180"/>
      <c r="G1267" s="180"/>
      <c r="H1267" s="180"/>
      <c r="I1267" s="188" t="s">
        <v>1716</v>
      </c>
      <c r="J1267" s="207" t="s">
        <v>1527</v>
      </c>
      <c r="K1267" s="208">
        <f>70300*15%</f>
        <v>10545</v>
      </c>
      <c r="L1267" s="184"/>
      <c r="M1267" s="185"/>
      <c r="AV1267" s="138"/>
      <c r="AW1267" s="138"/>
      <c r="AX1267" s="138"/>
      <c r="AY1267" s="138"/>
      <c r="AZ1267" s="138"/>
      <c r="BA1267" s="138"/>
      <c r="BB1267" s="138"/>
      <c r="BC1267" s="138"/>
      <c r="BD1267" s="138"/>
      <c r="BE1267" s="138"/>
      <c r="BF1267" s="138"/>
      <c r="BG1267" s="138"/>
      <c r="BH1267" s="138"/>
      <c r="BI1267" s="138"/>
      <c r="BJ1267" s="138"/>
      <c r="BK1267" s="138"/>
      <c r="BL1267" s="138"/>
      <c r="BM1267" s="138"/>
      <c r="BN1267" s="138"/>
      <c r="BO1267" s="138"/>
    </row>
    <row r="1268" spans="1:67" x14ac:dyDescent="0.2">
      <c r="A1268" s="177"/>
      <c r="B1268" s="178"/>
      <c r="C1268" s="179"/>
      <c r="D1268" s="180"/>
      <c r="E1268" s="180"/>
      <c r="F1268" s="180"/>
      <c r="G1268" s="180"/>
      <c r="H1268" s="180"/>
      <c r="I1268" s="188" t="s">
        <v>1717</v>
      </c>
      <c r="J1268" s="207" t="s">
        <v>636</v>
      </c>
      <c r="K1268" s="208">
        <f>70300*15%</f>
        <v>10545</v>
      </c>
      <c r="L1268" s="184"/>
      <c r="M1268" s="185"/>
      <c r="AV1268" s="138"/>
      <c r="AW1268" s="138"/>
      <c r="AX1268" s="138"/>
      <c r="AY1268" s="138"/>
      <c r="AZ1268" s="138"/>
      <c r="BA1268" s="138"/>
      <c r="BB1268" s="138"/>
      <c r="BC1268" s="138"/>
      <c r="BD1268" s="138"/>
      <c r="BE1268" s="138"/>
      <c r="BF1268" s="138"/>
      <c r="BG1268" s="138"/>
      <c r="BH1268" s="138"/>
      <c r="BI1268" s="138"/>
      <c r="BJ1268" s="138"/>
      <c r="BK1268" s="138"/>
      <c r="BL1268" s="138"/>
      <c r="BM1268" s="138"/>
      <c r="BN1268" s="138"/>
      <c r="BO1268" s="138"/>
    </row>
    <row r="1269" spans="1:67" x14ac:dyDescent="0.2">
      <c r="A1269" s="177"/>
      <c r="B1269" s="178"/>
      <c r="C1269" s="179"/>
      <c r="D1269" s="180"/>
      <c r="E1269" s="180"/>
      <c r="F1269" s="180"/>
      <c r="G1269" s="180"/>
      <c r="H1269" s="180"/>
      <c r="I1269" s="188" t="s">
        <v>1718</v>
      </c>
      <c r="J1269" s="207" t="s">
        <v>636</v>
      </c>
      <c r="K1269" s="208">
        <f>70300*10%</f>
        <v>7030</v>
      </c>
      <c r="L1269" s="184"/>
      <c r="M1269" s="185"/>
      <c r="AV1269" s="138"/>
      <c r="AW1269" s="138"/>
      <c r="AX1269" s="138"/>
      <c r="AY1269" s="138"/>
      <c r="AZ1269" s="138"/>
      <c r="BA1269" s="138"/>
      <c r="BB1269" s="138"/>
      <c r="BC1269" s="138"/>
      <c r="BD1269" s="138"/>
      <c r="BE1269" s="138"/>
      <c r="BF1269" s="138"/>
      <c r="BG1269" s="138"/>
      <c r="BH1269" s="138"/>
      <c r="BI1269" s="138"/>
      <c r="BJ1269" s="138"/>
      <c r="BK1269" s="138"/>
      <c r="BL1269" s="138"/>
      <c r="BM1269" s="138"/>
      <c r="BN1269" s="138"/>
      <c r="BO1269" s="138"/>
    </row>
    <row r="1270" spans="1:67" x14ac:dyDescent="0.2">
      <c r="A1270" s="189"/>
      <c r="B1270" s="190"/>
      <c r="C1270" s="191"/>
      <c r="D1270" s="192"/>
      <c r="E1270" s="192"/>
      <c r="F1270" s="192"/>
      <c r="G1270" s="192"/>
      <c r="H1270" s="192"/>
      <c r="I1270" s="203"/>
      <c r="J1270" s="204"/>
      <c r="K1270" s="195">
        <f>SUM(K1266:K1269)</f>
        <v>70300</v>
      </c>
      <c r="L1270" s="196"/>
      <c r="M1270" s="197"/>
      <c r="AV1270" s="138"/>
      <c r="AW1270" s="138"/>
      <c r="AX1270" s="138"/>
      <c r="AY1270" s="138"/>
      <c r="AZ1270" s="138"/>
      <c r="BA1270" s="138"/>
      <c r="BB1270" s="138"/>
      <c r="BC1270" s="138"/>
      <c r="BD1270" s="138"/>
      <c r="BE1270" s="138"/>
      <c r="BF1270" s="138"/>
      <c r="BG1270" s="138"/>
      <c r="BH1270" s="138"/>
      <c r="BI1270" s="138"/>
      <c r="BJ1270" s="138"/>
      <c r="BK1270" s="138"/>
      <c r="BL1270" s="138"/>
      <c r="BM1270" s="138"/>
      <c r="BN1270" s="138"/>
      <c r="BO1270" s="138"/>
    </row>
    <row r="1271" spans="1:67" ht="24" customHeight="1" x14ac:dyDescent="0.2">
      <c r="A1271" s="167">
        <v>317</v>
      </c>
      <c r="B1271" s="168" t="s">
        <v>1719</v>
      </c>
      <c r="C1271" s="169"/>
      <c r="D1271" s="170" t="s">
        <v>163</v>
      </c>
      <c r="E1271" s="170"/>
      <c r="F1271" s="170"/>
      <c r="G1271" s="170"/>
      <c r="H1271" s="170"/>
      <c r="I1271" s="274" t="s">
        <v>1720</v>
      </c>
      <c r="J1271" s="247" t="s">
        <v>980</v>
      </c>
      <c r="K1271" s="206">
        <f>251223*70%</f>
        <v>175856.09999999998</v>
      </c>
      <c r="L1271" s="174" t="s">
        <v>166</v>
      </c>
      <c r="M1271" s="175" t="s">
        <v>1721</v>
      </c>
      <c r="AV1271" s="138"/>
      <c r="AW1271" s="138"/>
      <c r="AX1271" s="138"/>
      <c r="AY1271" s="138"/>
      <c r="AZ1271" s="138"/>
      <c r="BA1271" s="138"/>
      <c r="BB1271" s="138"/>
      <c r="BC1271" s="138"/>
      <c r="BD1271" s="138"/>
      <c r="BE1271" s="138"/>
      <c r="BF1271" s="138"/>
      <c r="BG1271" s="138"/>
      <c r="BH1271" s="138"/>
      <c r="BI1271" s="138"/>
      <c r="BJ1271" s="138"/>
      <c r="BK1271" s="138"/>
      <c r="BL1271" s="138"/>
      <c r="BM1271" s="138"/>
      <c r="BN1271" s="138"/>
      <c r="BO1271" s="138"/>
    </row>
    <row r="1272" spans="1:67" x14ac:dyDescent="0.2">
      <c r="A1272" s="177"/>
      <c r="B1272" s="178"/>
      <c r="C1272" s="179"/>
      <c r="D1272" s="180"/>
      <c r="E1272" s="180"/>
      <c r="F1272" s="180"/>
      <c r="G1272" s="180"/>
      <c r="H1272" s="180"/>
      <c r="I1272" s="188" t="s">
        <v>1722</v>
      </c>
      <c r="J1272" s="207" t="s">
        <v>636</v>
      </c>
      <c r="K1272" s="208">
        <f t="shared" ref="K1272:K1277" si="24">251223*5%</f>
        <v>12561.150000000001</v>
      </c>
      <c r="L1272" s="184"/>
      <c r="M1272" s="185"/>
      <c r="AV1272" s="138"/>
      <c r="AW1272" s="138"/>
      <c r="AX1272" s="138"/>
      <c r="AY1272" s="138"/>
      <c r="AZ1272" s="138"/>
      <c r="BA1272" s="138"/>
      <c r="BB1272" s="138"/>
      <c r="BC1272" s="138"/>
      <c r="BD1272" s="138"/>
      <c r="BE1272" s="138"/>
      <c r="BF1272" s="138"/>
      <c r="BG1272" s="138"/>
      <c r="BH1272" s="138"/>
      <c r="BI1272" s="138"/>
      <c r="BJ1272" s="138"/>
      <c r="BK1272" s="138"/>
      <c r="BL1272" s="138"/>
      <c r="BM1272" s="138"/>
      <c r="BN1272" s="138"/>
      <c r="BO1272" s="138"/>
    </row>
    <row r="1273" spans="1:67" x14ac:dyDescent="0.2">
      <c r="A1273" s="177"/>
      <c r="B1273" s="178"/>
      <c r="C1273" s="179"/>
      <c r="D1273" s="180"/>
      <c r="E1273" s="180"/>
      <c r="F1273" s="180"/>
      <c r="G1273" s="180"/>
      <c r="H1273" s="180"/>
      <c r="I1273" s="188" t="s">
        <v>1723</v>
      </c>
      <c r="J1273" s="207" t="s">
        <v>636</v>
      </c>
      <c r="K1273" s="208">
        <f t="shared" si="24"/>
        <v>12561.150000000001</v>
      </c>
      <c r="L1273" s="184"/>
      <c r="M1273" s="185"/>
      <c r="AV1273" s="138"/>
      <c r="AW1273" s="138"/>
      <c r="AX1273" s="138"/>
      <c r="AY1273" s="138"/>
      <c r="AZ1273" s="138"/>
      <c r="BA1273" s="138"/>
      <c r="BB1273" s="138"/>
      <c r="BC1273" s="138"/>
      <c r="BD1273" s="138"/>
      <c r="BE1273" s="138"/>
      <c r="BF1273" s="138"/>
      <c r="BG1273" s="138"/>
      <c r="BH1273" s="138"/>
      <c r="BI1273" s="138"/>
      <c r="BJ1273" s="138"/>
      <c r="BK1273" s="138"/>
      <c r="BL1273" s="138"/>
      <c r="BM1273" s="138"/>
      <c r="BN1273" s="138"/>
      <c r="BO1273" s="138"/>
    </row>
    <row r="1274" spans="1:67" x14ac:dyDescent="0.2">
      <c r="A1274" s="177"/>
      <c r="B1274" s="178"/>
      <c r="C1274" s="179"/>
      <c r="D1274" s="180"/>
      <c r="E1274" s="180"/>
      <c r="F1274" s="180"/>
      <c r="G1274" s="180"/>
      <c r="H1274" s="180"/>
      <c r="I1274" s="188" t="s">
        <v>1724</v>
      </c>
      <c r="J1274" s="207" t="s">
        <v>636</v>
      </c>
      <c r="K1274" s="208">
        <f t="shared" si="24"/>
        <v>12561.150000000001</v>
      </c>
      <c r="L1274" s="184"/>
      <c r="M1274" s="185"/>
      <c r="AV1274" s="138"/>
      <c r="AW1274" s="138"/>
      <c r="AX1274" s="138"/>
      <c r="AY1274" s="138"/>
      <c r="AZ1274" s="138"/>
      <c r="BA1274" s="138"/>
      <c r="BB1274" s="138"/>
      <c r="BC1274" s="138"/>
      <c r="BD1274" s="138"/>
      <c r="BE1274" s="138"/>
      <c r="BF1274" s="138"/>
      <c r="BG1274" s="138"/>
      <c r="BH1274" s="138"/>
      <c r="BI1274" s="138"/>
      <c r="BJ1274" s="138"/>
      <c r="BK1274" s="138"/>
      <c r="BL1274" s="138"/>
      <c r="BM1274" s="138"/>
      <c r="BN1274" s="138"/>
      <c r="BO1274" s="138"/>
    </row>
    <row r="1275" spans="1:67" x14ac:dyDescent="0.2">
      <c r="A1275" s="177"/>
      <c r="B1275" s="178"/>
      <c r="C1275" s="179"/>
      <c r="D1275" s="180"/>
      <c r="E1275" s="180"/>
      <c r="F1275" s="180"/>
      <c r="G1275" s="180"/>
      <c r="H1275" s="180"/>
      <c r="I1275" s="188" t="s">
        <v>1725</v>
      </c>
      <c r="J1275" s="207" t="s">
        <v>636</v>
      </c>
      <c r="K1275" s="208">
        <f t="shared" si="24"/>
        <v>12561.150000000001</v>
      </c>
      <c r="L1275" s="184"/>
      <c r="M1275" s="185"/>
      <c r="AV1275" s="138"/>
      <c r="AW1275" s="138"/>
      <c r="AX1275" s="138"/>
      <c r="AY1275" s="138"/>
      <c r="AZ1275" s="138"/>
      <c r="BA1275" s="138"/>
      <c r="BB1275" s="138"/>
      <c r="BC1275" s="138"/>
      <c r="BD1275" s="138"/>
      <c r="BE1275" s="138"/>
      <c r="BF1275" s="138"/>
      <c r="BG1275" s="138"/>
      <c r="BH1275" s="138"/>
      <c r="BI1275" s="138"/>
      <c r="BJ1275" s="138"/>
      <c r="BK1275" s="138"/>
      <c r="BL1275" s="138"/>
      <c r="BM1275" s="138"/>
      <c r="BN1275" s="138"/>
      <c r="BO1275" s="138"/>
    </row>
    <row r="1276" spans="1:67" x14ac:dyDescent="0.2">
      <c r="A1276" s="177"/>
      <c r="B1276" s="178"/>
      <c r="C1276" s="179"/>
      <c r="D1276" s="180"/>
      <c r="E1276" s="180"/>
      <c r="F1276" s="180"/>
      <c r="G1276" s="180"/>
      <c r="H1276" s="180"/>
      <c r="I1276" s="188" t="s">
        <v>1726</v>
      </c>
      <c r="J1276" s="207" t="s">
        <v>390</v>
      </c>
      <c r="K1276" s="208">
        <f t="shared" si="24"/>
        <v>12561.150000000001</v>
      </c>
      <c r="L1276" s="184"/>
      <c r="M1276" s="185"/>
      <c r="AV1276" s="138"/>
      <c r="AW1276" s="138"/>
      <c r="AX1276" s="138"/>
      <c r="AY1276" s="138"/>
      <c r="AZ1276" s="138"/>
      <c r="BA1276" s="138"/>
      <c r="BB1276" s="138"/>
      <c r="BC1276" s="138"/>
      <c r="BD1276" s="138"/>
      <c r="BE1276" s="138"/>
      <c r="BF1276" s="138"/>
      <c r="BG1276" s="138"/>
      <c r="BH1276" s="138"/>
      <c r="BI1276" s="138"/>
      <c r="BJ1276" s="138"/>
      <c r="BK1276" s="138"/>
      <c r="BL1276" s="138"/>
      <c r="BM1276" s="138"/>
      <c r="BN1276" s="138"/>
      <c r="BO1276" s="138"/>
    </row>
    <row r="1277" spans="1:67" x14ac:dyDescent="0.2">
      <c r="A1277" s="177"/>
      <c r="B1277" s="178"/>
      <c r="C1277" s="179"/>
      <c r="D1277" s="180"/>
      <c r="E1277" s="180"/>
      <c r="F1277" s="180"/>
      <c r="G1277" s="180"/>
      <c r="H1277" s="180"/>
      <c r="I1277" s="188" t="s">
        <v>1727</v>
      </c>
      <c r="J1277" s="207" t="s">
        <v>636</v>
      </c>
      <c r="K1277" s="208">
        <f t="shared" si="24"/>
        <v>12561.150000000001</v>
      </c>
      <c r="L1277" s="184"/>
      <c r="M1277" s="185"/>
      <c r="AV1277" s="138"/>
      <c r="AW1277" s="138"/>
      <c r="AX1277" s="138"/>
      <c r="AY1277" s="138"/>
      <c r="AZ1277" s="138"/>
      <c r="BA1277" s="138"/>
      <c r="BB1277" s="138"/>
      <c r="BC1277" s="138"/>
      <c r="BD1277" s="138"/>
      <c r="BE1277" s="138"/>
      <c r="BF1277" s="138"/>
      <c r="BG1277" s="138"/>
      <c r="BH1277" s="138"/>
      <c r="BI1277" s="138"/>
      <c r="BJ1277" s="138"/>
      <c r="BK1277" s="138"/>
      <c r="BL1277" s="138"/>
      <c r="BM1277" s="138"/>
      <c r="BN1277" s="138"/>
      <c r="BO1277" s="138"/>
    </row>
    <row r="1278" spans="1:67" x14ac:dyDescent="0.2">
      <c r="A1278" s="189"/>
      <c r="B1278" s="190"/>
      <c r="C1278" s="191"/>
      <c r="D1278" s="192"/>
      <c r="E1278" s="192"/>
      <c r="F1278" s="192"/>
      <c r="G1278" s="192"/>
      <c r="H1278" s="192"/>
      <c r="I1278" s="203"/>
      <c r="J1278" s="204"/>
      <c r="K1278" s="195">
        <f>SUM(K1271:K1277)</f>
        <v>251222.99999999994</v>
      </c>
      <c r="L1278" s="196"/>
      <c r="M1278" s="197"/>
      <c r="AV1278" s="138"/>
      <c r="AW1278" s="138"/>
      <c r="AX1278" s="138"/>
      <c r="AY1278" s="138"/>
      <c r="AZ1278" s="138"/>
      <c r="BA1278" s="138"/>
      <c r="BB1278" s="138"/>
      <c r="BC1278" s="138"/>
      <c r="BD1278" s="138"/>
      <c r="BE1278" s="138"/>
      <c r="BF1278" s="138"/>
      <c r="BG1278" s="138"/>
      <c r="BH1278" s="138"/>
      <c r="BI1278" s="138"/>
      <c r="BJ1278" s="138"/>
      <c r="BK1278" s="138"/>
      <c r="BL1278" s="138"/>
      <c r="BM1278" s="138"/>
      <c r="BN1278" s="138"/>
      <c r="BO1278" s="138"/>
    </row>
    <row r="1279" spans="1:67" ht="24" customHeight="1" x14ac:dyDescent="0.2">
      <c r="A1279" s="167">
        <v>318</v>
      </c>
      <c r="B1279" s="168" t="s">
        <v>1728</v>
      </c>
      <c r="C1279" s="169"/>
      <c r="D1279" s="170" t="s">
        <v>163</v>
      </c>
      <c r="E1279" s="170"/>
      <c r="F1279" s="170"/>
      <c r="G1279" s="170"/>
      <c r="H1279" s="170" t="s">
        <v>964</v>
      </c>
      <c r="I1279" s="274" t="s">
        <v>1729</v>
      </c>
      <c r="J1279" s="247" t="s">
        <v>980</v>
      </c>
      <c r="K1279" s="206">
        <f>20800*70%</f>
        <v>14559.999999999998</v>
      </c>
      <c r="L1279" s="174" t="s">
        <v>166</v>
      </c>
      <c r="M1279" s="175" t="s">
        <v>1730</v>
      </c>
      <c r="AV1279" s="138"/>
      <c r="AW1279" s="138"/>
      <c r="AX1279" s="138"/>
      <c r="AY1279" s="138"/>
      <c r="AZ1279" s="138"/>
      <c r="BA1279" s="138"/>
      <c r="BB1279" s="138"/>
      <c r="BC1279" s="138"/>
      <c r="BD1279" s="138"/>
      <c r="BE1279" s="138"/>
      <c r="BF1279" s="138"/>
      <c r="BG1279" s="138"/>
      <c r="BH1279" s="138"/>
      <c r="BI1279" s="138"/>
      <c r="BJ1279" s="138"/>
      <c r="BK1279" s="138"/>
      <c r="BL1279" s="138"/>
      <c r="BM1279" s="138"/>
      <c r="BN1279" s="138"/>
      <c r="BO1279" s="138"/>
    </row>
    <row r="1280" spans="1:67" x14ac:dyDescent="0.2">
      <c r="A1280" s="177"/>
      <c r="B1280" s="178"/>
      <c r="C1280" s="179"/>
      <c r="D1280" s="180"/>
      <c r="E1280" s="180"/>
      <c r="F1280" s="180"/>
      <c r="G1280" s="180"/>
      <c r="H1280" s="180"/>
      <c r="I1280" s="188" t="s">
        <v>1731</v>
      </c>
      <c r="J1280" s="207" t="s">
        <v>594</v>
      </c>
      <c r="K1280" s="208">
        <f>20800*10%</f>
        <v>2080</v>
      </c>
      <c r="L1280" s="184"/>
      <c r="M1280" s="185"/>
      <c r="AV1280" s="138"/>
      <c r="AW1280" s="138"/>
      <c r="AX1280" s="138"/>
      <c r="AY1280" s="138"/>
      <c r="AZ1280" s="138"/>
      <c r="BA1280" s="138"/>
      <c r="BB1280" s="138"/>
      <c r="BC1280" s="138"/>
      <c r="BD1280" s="138"/>
      <c r="BE1280" s="138"/>
      <c r="BF1280" s="138"/>
      <c r="BG1280" s="138"/>
      <c r="BH1280" s="138"/>
      <c r="BI1280" s="138"/>
      <c r="BJ1280" s="138"/>
      <c r="BK1280" s="138"/>
      <c r="BL1280" s="138"/>
      <c r="BM1280" s="138"/>
      <c r="BN1280" s="138"/>
      <c r="BO1280" s="138"/>
    </row>
    <row r="1281" spans="1:67" x14ac:dyDescent="0.2">
      <c r="A1281" s="177"/>
      <c r="B1281" s="178"/>
      <c r="C1281" s="179"/>
      <c r="D1281" s="180"/>
      <c r="E1281" s="180"/>
      <c r="F1281" s="180"/>
      <c r="G1281" s="180"/>
      <c r="H1281" s="180"/>
      <c r="I1281" s="188" t="s">
        <v>1732</v>
      </c>
      <c r="J1281" s="207" t="s">
        <v>636</v>
      </c>
      <c r="K1281" s="208">
        <f>20800*10%</f>
        <v>2080</v>
      </c>
      <c r="L1281" s="184"/>
      <c r="M1281" s="185"/>
      <c r="AV1281" s="138"/>
      <c r="AW1281" s="138"/>
      <c r="AX1281" s="138"/>
      <c r="AY1281" s="138"/>
      <c r="AZ1281" s="138"/>
      <c r="BA1281" s="138"/>
      <c r="BB1281" s="138"/>
      <c r="BC1281" s="138"/>
      <c r="BD1281" s="138"/>
      <c r="BE1281" s="138"/>
      <c r="BF1281" s="138"/>
      <c r="BG1281" s="138"/>
      <c r="BH1281" s="138"/>
      <c r="BI1281" s="138"/>
      <c r="BJ1281" s="138"/>
      <c r="BK1281" s="138"/>
      <c r="BL1281" s="138"/>
      <c r="BM1281" s="138"/>
      <c r="BN1281" s="138"/>
      <c r="BO1281" s="138"/>
    </row>
    <row r="1282" spans="1:67" x14ac:dyDescent="0.2">
      <c r="A1282" s="177"/>
      <c r="B1282" s="178"/>
      <c r="C1282" s="179"/>
      <c r="D1282" s="180"/>
      <c r="E1282" s="180"/>
      <c r="F1282" s="180"/>
      <c r="G1282" s="180"/>
      <c r="H1282" s="180"/>
      <c r="I1282" s="188" t="s">
        <v>1733</v>
      </c>
      <c r="J1282" s="207" t="s">
        <v>274</v>
      </c>
      <c r="K1282" s="208">
        <f>20800*5%</f>
        <v>1040</v>
      </c>
      <c r="L1282" s="184"/>
      <c r="M1282" s="185"/>
      <c r="AV1282" s="138"/>
      <c r="AW1282" s="138"/>
      <c r="AX1282" s="138"/>
      <c r="AY1282" s="138"/>
      <c r="AZ1282" s="138"/>
      <c r="BA1282" s="138"/>
      <c r="BB1282" s="138"/>
      <c r="BC1282" s="138"/>
      <c r="BD1282" s="138"/>
      <c r="BE1282" s="138"/>
      <c r="BF1282" s="138"/>
      <c r="BG1282" s="138"/>
      <c r="BH1282" s="138"/>
      <c r="BI1282" s="138"/>
      <c r="BJ1282" s="138"/>
      <c r="BK1282" s="138"/>
      <c r="BL1282" s="138"/>
      <c r="BM1282" s="138"/>
      <c r="BN1282" s="138"/>
      <c r="BO1282" s="138"/>
    </row>
    <row r="1283" spans="1:67" x14ac:dyDescent="0.2">
      <c r="A1283" s="177"/>
      <c r="B1283" s="178"/>
      <c r="C1283" s="179"/>
      <c r="D1283" s="180"/>
      <c r="E1283" s="180"/>
      <c r="F1283" s="180"/>
      <c r="G1283" s="180"/>
      <c r="H1283" s="180"/>
      <c r="I1283" s="188" t="s">
        <v>694</v>
      </c>
      <c r="J1283" s="207" t="s">
        <v>274</v>
      </c>
      <c r="K1283" s="208">
        <f>20800*5%</f>
        <v>1040</v>
      </c>
      <c r="L1283" s="184"/>
      <c r="M1283" s="185"/>
      <c r="AV1283" s="138"/>
      <c r="AW1283" s="138"/>
      <c r="AX1283" s="138"/>
      <c r="AY1283" s="138"/>
      <c r="AZ1283" s="138"/>
      <c r="BA1283" s="138"/>
      <c r="BB1283" s="138"/>
      <c r="BC1283" s="138"/>
      <c r="BD1283" s="138"/>
      <c r="BE1283" s="138"/>
      <c r="BF1283" s="138"/>
      <c r="BG1283" s="138"/>
      <c r="BH1283" s="138"/>
      <c r="BI1283" s="138"/>
      <c r="BJ1283" s="138"/>
      <c r="BK1283" s="138"/>
      <c r="BL1283" s="138"/>
      <c r="BM1283" s="138"/>
      <c r="BN1283" s="138"/>
      <c r="BO1283" s="138"/>
    </row>
    <row r="1284" spans="1:67" x14ac:dyDescent="0.2">
      <c r="A1284" s="189"/>
      <c r="B1284" s="190"/>
      <c r="C1284" s="191"/>
      <c r="D1284" s="192"/>
      <c r="E1284" s="192"/>
      <c r="F1284" s="192"/>
      <c r="G1284" s="192"/>
      <c r="H1284" s="192"/>
      <c r="I1284" s="203"/>
      <c r="J1284" s="204"/>
      <c r="K1284" s="195">
        <f>SUM(K1279:K1283)</f>
        <v>20800</v>
      </c>
      <c r="L1284" s="196"/>
      <c r="M1284" s="197"/>
      <c r="AV1284" s="138"/>
      <c r="AW1284" s="138"/>
      <c r="AX1284" s="138"/>
      <c r="AY1284" s="138"/>
      <c r="AZ1284" s="138"/>
      <c r="BA1284" s="138"/>
      <c r="BB1284" s="138"/>
      <c r="BC1284" s="138"/>
      <c r="BD1284" s="138"/>
      <c r="BE1284" s="138"/>
      <c r="BF1284" s="138"/>
      <c r="BG1284" s="138"/>
      <c r="BH1284" s="138"/>
      <c r="BI1284" s="138"/>
      <c r="BJ1284" s="138"/>
      <c r="BK1284" s="138"/>
      <c r="BL1284" s="138"/>
      <c r="BM1284" s="138"/>
      <c r="BN1284" s="138"/>
      <c r="BO1284" s="138"/>
    </row>
    <row r="1285" spans="1:67" ht="20.25" customHeight="1" x14ac:dyDescent="0.2">
      <c r="A1285" s="167">
        <v>319</v>
      </c>
      <c r="B1285" s="168" t="s">
        <v>1734</v>
      </c>
      <c r="C1285" s="169"/>
      <c r="D1285" s="170" t="s">
        <v>163</v>
      </c>
      <c r="E1285" s="170"/>
      <c r="F1285" s="170"/>
      <c r="G1285" s="170"/>
      <c r="H1285" s="170"/>
      <c r="I1285" s="274" t="s">
        <v>1735</v>
      </c>
      <c r="J1285" s="247" t="s">
        <v>980</v>
      </c>
      <c r="K1285" s="213">
        <f>80500*70%</f>
        <v>56350</v>
      </c>
      <c r="L1285" s="175" t="s">
        <v>166</v>
      </c>
      <c r="M1285" s="175" t="s">
        <v>1736</v>
      </c>
      <c r="AV1285" s="138"/>
      <c r="AW1285" s="138"/>
      <c r="AX1285" s="138"/>
      <c r="AY1285" s="138"/>
      <c r="AZ1285" s="138"/>
      <c r="BA1285" s="138"/>
      <c r="BB1285" s="138"/>
      <c r="BC1285" s="138"/>
      <c r="BD1285" s="138"/>
      <c r="BE1285" s="138"/>
      <c r="BF1285" s="138"/>
      <c r="BG1285" s="138"/>
      <c r="BH1285" s="138"/>
      <c r="BI1285" s="138"/>
      <c r="BJ1285" s="138"/>
      <c r="BK1285" s="138"/>
      <c r="BL1285" s="138"/>
      <c r="BM1285" s="138"/>
      <c r="BN1285" s="138"/>
      <c r="BO1285" s="138"/>
    </row>
    <row r="1286" spans="1:67" ht="20.25" customHeight="1" x14ac:dyDescent="0.2">
      <c r="A1286" s="177"/>
      <c r="B1286" s="178"/>
      <c r="C1286" s="179"/>
      <c r="D1286" s="180"/>
      <c r="E1286" s="180"/>
      <c r="F1286" s="180"/>
      <c r="G1286" s="180"/>
      <c r="H1286" s="180"/>
      <c r="I1286" s="188" t="s">
        <v>1737</v>
      </c>
      <c r="J1286" s="207" t="s">
        <v>636</v>
      </c>
      <c r="K1286" s="201">
        <f>80500*15%</f>
        <v>12075</v>
      </c>
      <c r="L1286" s="185"/>
      <c r="M1286" s="185"/>
      <c r="AV1286" s="138"/>
      <c r="AW1286" s="138"/>
      <c r="AX1286" s="138"/>
      <c r="AY1286" s="138"/>
      <c r="AZ1286" s="138"/>
      <c r="BA1286" s="138"/>
      <c r="BB1286" s="138"/>
      <c r="BC1286" s="138"/>
      <c r="BD1286" s="138"/>
      <c r="BE1286" s="138"/>
      <c r="BF1286" s="138"/>
      <c r="BG1286" s="138"/>
      <c r="BH1286" s="138"/>
      <c r="BI1286" s="138"/>
      <c r="BJ1286" s="138"/>
      <c r="BK1286" s="138"/>
      <c r="BL1286" s="138"/>
      <c r="BM1286" s="138"/>
      <c r="BN1286" s="138"/>
      <c r="BO1286" s="138"/>
    </row>
    <row r="1287" spans="1:67" ht="20.25" customHeight="1" x14ac:dyDescent="0.2">
      <c r="A1287" s="177"/>
      <c r="B1287" s="178"/>
      <c r="C1287" s="179"/>
      <c r="D1287" s="180"/>
      <c r="E1287" s="180"/>
      <c r="F1287" s="180"/>
      <c r="G1287" s="180"/>
      <c r="H1287" s="180"/>
      <c r="I1287" s="188" t="s">
        <v>1738</v>
      </c>
      <c r="J1287" s="207" t="s">
        <v>594</v>
      </c>
      <c r="K1287" s="201">
        <f>80500*15%</f>
        <v>12075</v>
      </c>
      <c r="L1287" s="185"/>
      <c r="M1287" s="185"/>
      <c r="AV1287" s="138"/>
      <c r="AW1287" s="138"/>
      <c r="AX1287" s="138"/>
      <c r="AY1287" s="138"/>
      <c r="AZ1287" s="138"/>
      <c r="BA1287" s="138"/>
      <c r="BB1287" s="138"/>
      <c r="BC1287" s="138"/>
      <c r="BD1287" s="138"/>
      <c r="BE1287" s="138"/>
      <c r="BF1287" s="138"/>
      <c r="BG1287" s="138"/>
      <c r="BH1287" s="138"/>
      <c r="BI1287" s="138"/>
      <c r="BJ1287" s="138"/>
      <c r="BK1287" s="138"/>
      <c r="BL1287" s="138"/>
      <c r="BM1287" s="138"/>
      <c r="BN1287" s="138"/>
      <c r="BO1287" s="138"/>
    </row>
    <row r="1288" spans="1:67" ht="20.25" customHeight="1" x14ac:dyDescent="0.2">
      <c r="A1288" s="189"/>
      <c r="B1288" s="190"/>
      <c r="C1288" s="191"/>
      <c r="D1288" s="192"/>
      <c r="E1288" s="192"/>
      <c r="F1288" s="192"/>
      <c r="G1288" s="192"/>
      <c r="H1288" s="192"/>
      <c r="I1288" s="203"/>
      <c r="J1288" s="204"/>
      <c r="K1288" s="211">
        <f>SUM(K1285:K1287)</f>
        <v>80500</v>
      </c>
      <c r="L1288" s="197"/>
      <c r="M1288" s="197"/>
      <c r="AV1288" s="138"/>
      <c r="AW1288" s="138"/>
      <c r="AX1288" s="138"/>
      <c r="AY1288" s="138"/>
      <c r="AZ1288" s="138"/>
      <c r="BA1288" s="138"/>
      <c r="BB1288" s="138"/>
      <c r="BC1288" s="138"/>
      <c r="BD1288" s="138"/>
      <c r="BE1288" s="138"/>
      <c r="BF1288" s="138"/>
      <c r="BG1288" s="138"/>
      <c r="BH1288" s="138"/>
      <c r="BI1288" s="138"/>
      <c r="BJ1288" s="138"/>
      <c r="BK1288" s="138"/>
      <c r="BL1288" s="138"/>
      <c r="BM1288" s="138"/>
      <c r="BN1288" s="138"/>
      <c r="BO1288" s="138"/>
    </row>
    <row r="1289" spans="1:67" ht="22.5" customHeight="1" x14ac:dyDescent="0.2">
      <c r="A1289" s="167">
        <v>320</v>
      </c>
      <c r="B1289" s="168" t="s">
        <v>1739</v>
      </c>
      <c r="C1289" s="169"/>
      <c r="D1289" s="170" t="s">
        <v>163</v>
      </c>
      <c r="E1289" s="170"/>
      <c r="F1289" s="170"/>
      <c r="G1289" s="170"/>
      <c r="H1289" s="170" t="s">
        <v>137</v>
      </c>
      <c r="I1289" s="274" t="s">
        <v>1729</v>
      </c>
      <c r="J1289" s="247" t="s">
        <v>980</v>
      </c>
      <c r="K1289" s="213">
        <f>501000*70%</f>
        <v>350700</v>
      </c>
      <c r="L1289" s="175" t="s">
        <v>166</v>
      </c>
      <c r="M1289" s="175" t="s">
        <v>1740</v>
      </c>
      <c r="AV1289" s="138"/>
      <c r="AW1289" s="138"/>
      <c r="AX1289" s="138"/>
      <c r="AY1289" s="138"/>
      <c r="AZ1289" s="138"/>
      <c r="BA1289" s="138"/>
      <c r="BB1289" s="138"/>
      <c r="BC1289" s="138"/>
      <c r="BD1289" s="138"/>
      <c r="BE1289" s="138"/>
      <c r="BF1289" s="138"/>
      <c r="BG1289" s="138"/>
      <c r="BH1289" s="138"/>
      <c r="BI1289" s="138"/>
      <c r="BJ1289" s="138"/>
      <c r="BK1289" s="138"/>
      <c r="BL1289" s="138"/>
      <c r="BM1289" s="138"/>
      <c r="BN1289" s="138"/>
      <c r="BO1289" s="138"/>
    </row>
    <row r="1290" spans="1:67" x14ac:dyDescent="0.2">
      <c r="A1290" s="177"/>
      <c r="B1290" s="178"/>
      <c r="C1290" s="179"/>
      <c r="D1290" s="180"/>
      <c r="E1290" s="180"/>
      <c r="F1290" s="180"/>
      <c r="G1290" s="180"/>
      <c r="H1290" s="180"/>
      <c r="I1290" s="188" t="s">
        <v>1738</v>
      </c>
      <c r="J1290" s="207" t="s">
        <v>594</v>
      </c>
      <c r="K1290" s="201">
        <f>501000*15%</f>
        <v>75150</v>
      </c>
      <c r="L1290" s="185"/>
      <c r="M1290" s="185"/>
      <c r="AV1290" s="138"/>
      <c r="AW1290" s="138"/>
      <c r="AX1290" s="138"/>
      <c r="AY1290" s="138"/>
      <c r="AZ1290" s="138"/>
      <c r="BA1290" s="138"/>
      <c r="BB1290" s="138"/>
      <c r="BC1290" s="138"/>
      <c r="BD1290" s="138"/>
      <c r="BE1290" s="138"/>
      <c r="BF1290" s="138"/>
      <c r="BG1290" s="138"/>
      <c r="BH1290" s="138"/>
      <c r="BI1290" s="138"/>
      <c r="BJ1290" s="138"/>
      <c r="BK1290" s="138"/>
      <c r="BL1290" s="138"/>
      <c r="BM1290" s="138"/>
      <c r="BN1290" s="138"/>
      <c r="BO1290" s="138"/>
    </row>
    <row r="1291" spans="1:67" x14ac:dyDescent="0.2">
      <c r="A1291" s="177"/>
      <c r="B1291" s="178"/>
      <c r="C1291" s="179"/>
      <c r="D1291" s="180"/>
      <c r="E1291" s="180"/>
      <c r="F1291" s="180"/>
      <c r="G1291" s="180"/>
      <c r="H1291" s="180"/>
      <c r="I1291" s="188" t="s">
        <v>1741</v>
      </c>
      <c r="J1291" s="207" t="s">
        <v>636</v>
      </c>
      <c r="K1291" s="201">
        <f>501000*15%</f>
        <v>75150</v>
      </c>
      <c r="L1291" s="185"/>
      <c r="M1291" s="185"/>
      <c r="AV1291" s="138"/>
      <c r="AW1291" s="138"/>
      <c r="AX1291" s="138"/>
      <c r="AY1291" s="138"/>
      <c r="AZ1291" s="138"/>
      <c r="BA1291" s="138"/>
      <c r="BB1291" s="138"/>
      <c r="BC1291" s="138"/>
      <c r="BD1291" s="138"/>
      <c r="BE1291" s="138"/>
      <c r="BF1291" s="138"/>
      <c r="BG1291" s="138"/>
      <c r="BH1291" s="138"/>
      <c r="BI1291" s="138"/>
      <c r="BJ1291" s="138"/>
      <c r="BK1291" s="138"/>
      <c r="BL1291" s="138"/>
      <c r="BM1291" s="138"/>
      <c r="BN1291" s="138"/>
      <c r="BO1291" s="138"/>
    </row>
    <row r="1292" spans="1:67" x14ac:dyDescent="0.2">
      <c r="A1292" s="189"/>
      <c r="B1292" s="190"/>
      <c r="C1292" s="191"/>
      <c r="D1292" s="192"/>
      <c r="E1292" s="192"/>
      <c r="F1292" s="192"/>
      <c r="G1292" s="192"/>
      <c r="H1292" s="192"/>
      <c r="I1292" s="203"/>
      <c r="J1292" s="204"/>
      <c r="K1292" s="211">
        <f>SUM(K1289:K1291)</f>
        <v>501000</v>
      </c>
      <c r="L1292" s="197"/>
      <c r="M1292" s="197"/>
      <c r="AV1292" s="138"/>
      <c r="AW1292" s="138"/>
      <c r="AX1292" s="138"/>
      <c r="AY1292" s="138"/>
      <c r="AZ1292" s="138"/>
      <c r="BA1292" s="138"/>
      <c r="BB1292" s="138"/>
      <c r="BC1292" s="138"/>
      <c r="BD1292" s="138"/>
      <c r="BE1292" s="138"/>
      <c r="BF1292" s="138"/>
      <c r="BG1292" s="138"/>
      <c r="BH1292" s="138"/>
      <c r="BI1292" s="138"/>
      <c r="BJ1292" s="138"/>
      <c r="BK1292" s="138"/>
      <c r="BL1292" s="138"/>
      <c r="BM1292" s="138"/>
      <c r="BN1292" s="138"/>
      <c r="BO1292" s="138"/>
    </row>
    <row r="1293" spans="1:67" ht="24" customHeight="1" x14ac:dyDescent="0.2">
      <c r="A1293" s="167">
        <v>321</v>
      </c>
      <c r="B1293" s="168" t="s">
        <v>1742</v>
      </c>
      <c r="C1293" s="169"/>
      <c r="D1293" s="170" t="s">
        <v>163</v>
      </c>
      <c r="E1293" s="170"/>
      <c r="F1293" s="170"/>
      <c r="G1293" s="170"/>
      <c r="H1293" s="170" t="s">
        <v>1374</v>
      </c>
      <c r="I1293" s="274" t="s">
        <v>1743</v>
      </c>
      <c r="J1293" s="247" t="s">
        <v>980</v>
      </c>
      <c r="K1293" s="206">
        <f>179400*50%</f>
        <v>89700</v>
      </c>
      <c r="L1293" s="174" t="s">
        <v>166</v>
      </c>
      <c r="M1293" s="175" t="s">
        <v>1744</v>
      </c>
      <c r="AV1293" s="138"/>
      <c r="AW1293" s="138"/>
      <c r="AX1293" s="138"/>
      <c r="AY1293" s="138"/>
      <c r="AZ1293" s="138"/>
      <c r="BA1293" s="138"/>
      <c r="BB1293" s="138"/>
      <c r="BC1293" s="138"/>
      <c r="BD1293" s="138"/>
      <c r="BE1293" s="138"/>
      <c r="BF1293" s="138"/>
      <c r="BG1293" s="138"/>
      <c r="BH1293" s="138"/>
      <c r="BI1293" s="138"/>
      <c r="BJ1293" s="138"/>
      <c r="BK1293" s="138"/>
      <c r="BL1293" s="138"/>
      <c r="BM1293" s="138"/>
      <c r="BN1293" s="138"/>
      <c r="BO1293" s="138"/>
    </row>
    <row r="1294" spans="1:67" ht="21" customHeight="1" x14ac:dyDescent="0.2">
      <c r="A1294" s="177"/>
      <c r="B1294" s="178"/>
      <c r="C1294" s="179"/>
      <c r="D1294" s="180"/>
      <c r="E1294" s="180"/>
      <c r="F1294" s="180"/>
      <c r="G1294" s="180"/>
      <c r="H1294" s="180"/>
      <c r="I1294" s="188" t="s">
        <v>1745</v>
      </c>
      <c r="J1294" s="207" t="s">
        <v>636</v>
      </c>
      <c r="K1294" s="208">
        <f>179400*10%</f>
        <v>17940</v>
      </c>
      <c r="L1294" s="184"/>
      <c r="M1294" s="185"/>
      <c r="AV1294" s="138"/>
      <c r="AW1294" s="138"/>
      <c r="AX1294" s="138"/>
      <c r="AY1294" s="138"/>
      <c r="AZ1294" s="138"/>
      <c r="BA1294" s="138"/>
      <c r="BB1294" s="138"/>
      <c r="BC1294" s="138"/>
      <c r="BD1294" s="138"/>
      <c r="BE1294" s="138"/>
      <c r="BF1294" s="138"/>
      <c r="BG1294" s="138"/>
      <c r="BH1294" s="138"/>
      <c r="BI1294" s="138"/>
      <c r="BJ1294" s="138"/>
      <c r="BK1294" s="138"/>
      <c r="BL1294" s="138"/>
      <c r="BM1294" s="138"/>
      <c r="BN1294" s="138"/>
      <c r="BO1294" s="138"/>
    </row>
    <row r="1295" spans="1:67" x14ac:dyDescent="0.2">
      <c r="A1295" s="177"/>
      <c r="B1295" s="178"/>
      <c r="C1295" s="179"/>
      <c r="D1295" s="180"/>
      <c r="E1295" s="180"/>
      <c r="F1295" s="180"/>
      <c r="G1295" s="180"/>
      <c r="H1295" s="180"/>
      <c r="I1295" s="188" t="s">
        <v>1746</v>
      </c>
      <c r="J1295" s="207" t="s">
        <v>636</v>
      </c>
      <c r="K1295" s="208">
        <f>179400*10%</f>
        <v>17940</v>
      </c>
      <c r="L1295" s="184"/>
      <c r="M1295" s="185"/>
      <c r="AV1295" s="138"/>
      <c r="AW1295" s="138"/>
      <c r="AX1295" s="138"/>
      <c r="AY1295" s="138"/>
      <c r="AZ1295" s="138"/>
      <c r="BA1295" s="138"/>
      <c r="BB1295" s="138"/>
      <c r="BC1295" s="138"/>
      <c r="BD1295" s="138"/>
      <c r="BE1295" s="138"/>
      <c r="BF1295" s="138"/>
      <c r="BG1295" s="138"/>
      <c r="BH1295" s="138"/>
      <c r="BI1295" s="138"/>
      <c r="BJ1295" s="138"/>
      <c r="BK1295" s="138"/>
      <c r="BL1295" s="138"/>
      <c r="BM1295" s="138"/>
      <c r="BN1295" s="138"/>
      <c r="BO1295" s="138"/>
    </row>
    <row r="1296" spans="1:67" x14ac:dyDescent="0.2">
      <c r="A1296" s="177"/>
      <c r="B1296" s="178"/>
      <c r="C1296" s="179"/>
      <c r="D1296" s="180"/>
      <c r="E1296" s="180"/>
      <c r="F1296" s="180"/>
      <c r="G1296" s="180"/>
      <c r="H1296" s="180"/>
      <c r="I1296" s="188" t="s">
        <v>1747</v>
      </c>
      <c r="J1296" s="207" t="s">
        <v>636</v>
      </c>
      <c r="K1296" s="208">
        <f>179400*5%</f>
        <v>8970</v>
      </c>
      <c r="L1296" s="184"/>
      <c r="M1296" s="185"/>
      <c r="AV1296" s="138"/>
      <c r="AW1296" s="138"/>
      <c r="AX1296" s="138"/>
      <c r="AY1296" s="138"/>
      <c r="AZ1296" s="138"/>
      <c r="BA1296" s="138"/>
      <c r="BB1296" s="138"/>
      <c r="BC1296" s="138"/>
      <c r="BD1296" s="138"/>
      <c r="BE1296" s="138"/>
      <c r="BF1296" s="138"/>
      <c r="BG1296" s="138"/>
      <c r="BH1296" s="138"/>
      <c r="BI1296" s="138"/>
      <c r="BJ1296" s="138"/>
      <c r="BK1296" s="138"/>
      <c r="BL1296" s="138"/>
      <c r="BM1296" s="138"/>
      <c r="BN1296" s="138"/>
      <c r="BO1296" s="138"/>
    </row>
    <row r="1297" spans="1:67" x14ac:dyDescent="0.2">
      <c r="A1297" s="177"/>
      <c r="B1297" s="178"/>
      <c r="C1297" s="179"/>
      <c r="D1297" s="180"/>
      <c r="E1297" s="180"/>
      <c r="F1297" s="180"/>
      <c r="G1297" s="180"/>
      <c r="H1297" s="180"/>
      <c r="I1297" s="188" t="s">
        <v>1748</v>
      </c>
      <c r="J1297" s="207" t="s">
        <v>636</v>
      </c>
      <c r="K1297" s="208">
        <f>179400*5%</f>
        <v>8970</v>
      </c>
      <c r="L1297" s="184"/>
      <c r="M1297" s="185"/>
      <c r="AV1297" s="138"/>
      <c r="AW1297" s="138"/>
      <c r="AX1297" s="138"/>
      <c r="AY1297" s="138"/>
      <c r="AZ1297" s="138"/>
      <c r="BA1297" s="138"/>
      <c r="BB1297" s="138"/>
      <c r="BC1297" s="138"/>
      <c r="BD1297" s="138"/>
      <c r="BE1297" s="138"/>
      <c r="BF1297" s="138"/>
      <c r="BG1297" s="138"/>
      <c r="BH1297" s="138"/>
      <c r="BI1297" s="138"/>
      <c r="BJ1297" s="138"/>
      <c r="BK1297" s="138"/>
      <c r="BL1297" s="138"/>
      <c r="BM1297" s="138"/>
      <c r="BN1297" s="138"/>
      <c r="BO1297" s="138"/>
    </row>
    <row r="1298" spans="1:67" x14ac:dyDescent="0.2">
      <c r="A1298" s="177"/>
      <c r="B1298" s="178"/>
      <c r="C1298" s="179"/>
      <c r="D1298" s="180"/>
      <c r="E1298" s="180"/>
      <c r="F1298" s="180"/>
      <c r="G1298" s="180"/>
      <c r="H1298" s="180"/>
      <c r="I1298" s="188" t="s">
        <v>1749</v>
      </c>
      <c r="J1298" s="207" t="s">
        <v>636</v>
      </c>
      <c r="K1298" s="208">
        <f>179400*10%</f>
        <v>17940</v>
      </c>
      <c r="L1298" s="184"/>
      <c r="M1298" s="185"/>
      <c r="AV1298" s="138"/>
      <c r="AW1298" s="138"/>
      <c r="AX1298" s="138"/>
      <c r="AY1298" s="138"/>
      <c r="AZ1298" s="138"/>
      <c r="BA1298" s="138"/>
      <c r="BB1298" s="138"/>
      <c r="BC1298" s="138"/>
      <c r="BD1298" s="138"/>
      <c r="BE1298" s="138"/>
      <c r="BF1298" s="138"/>
      <c r="BG1298" s="138"/>
      <c r="BH1298" s="138"/>
      <c r="BI1298" s="138"/>
      <c r="BJ1298" s="138"/>
      <c r="BK1298" s="138"/>
      <c r="BL1298" s="138"/>
      <c r="BM1298" s="138"/>
      <c r="BN1298" s="138"/>
      <c r="BO1298" s="138"/>
    </row>
    <row r="1299" spans="1:67" x14ac:dyDescent="0.2">
      <c r="A1299" s="177"/>
      <c r="B1299" s="178"/>
      <c r="C1299" s="179"/>
      <c r="D1299" s="180"/>
      <c r="E1299" s="180"/>
      <c r="F1299" s="180"/>
      <c r="G1299" s="180"/>
      <c r="H1299" s="180"/>
      <c r="I1299" s="188" t="s">
        <v>1750</v>
      </c>
      <c r="J1299" s="207" t="s">
        <v>636</v>
      </c>
      <c r="K1299" s="208">
        <f>179400*5%</f>
        <v>8970</v>
      </c>
      <c r="L1299" s="184"/>
      <c r="M1299" s="185"/>
      <c r="AV1299" s="138"/>
      <c r="AW1299" s="138"/>
      <c r="AX1299" s="138"/>
      <c r="AY1299" s="138"/>
      <c r="AZ1299" s="138"/>
      <c r="BA1299" s="138"/>
      <c r="BB1299" s="138"/>
      <c r="BC1299" s="138"/>
      <c r="BD1299" s="138"/>
      <c r="BE1299" s="138"/>
      <c r="BF1299" s="138"/>
      <c r="BG1299" s="138"/>
      <c r="BH1299" s="138"/>
      <c r="BI1299" s="138"/>
      <c r="BJ1299" s="138"/>
      <c r="BK1299" s="138"/>
      <c r="BL1299" s="138"/>
      <c r="BM1299" s="138"/>
      <c r="BN1299" s="138"/>
      <c r="BO1299" s="138"/>
    </row>
    <row r="1300" spans="1:67" x14ac:dyDescent="0.2">
      <c r="A1300" s="177"/>
      <c r="B1300" s="178"/>
      <c r="C1300" s="179"/>
      <c r="D1300" s="180"/>
      <c r="E1300" s="180"/>
      <c r="F1300" s="180"/>
      <c r="G1300" s="180"/>
      <c r="H1300" s="180"/>
      <c r="I1300" s="188" t="s">
        <v>1751</v>
      </c>
      <c r="J1300" s="207" t="s">
        <v>636</v>
      </c>
      <c r="K1300" s="208">
        <f>179400*5%</f>
        <v>8970</v>
      </c>
      <c r="L1300" s="184"/>
      <c r="M1300" s="185"/>
      <c r="AV1300" s="138"/>
      <c r="AW1300" s="138"/>
      <c r="AX1300" s="138"/>
      <c r="AY1300" s="138"/>
      <c r="AZ1300" s="138"/>
      <c r="BA1300" s="138"/>
      <c r="BB1300" s="138"/>
      <c r="BC1300" s="138"/>
      <c r="BD1300" s="138"/>
      <c r="BE1300" s="138"/>
      <c r="BF1300" s="138"/>
      <c r="BG1300" s="138"/>
      <c r="BH1300" s="138"/>
      <c r="BI1300" s="138"/>
      <c r="BJ1300" s="138"/>
      <c r="BK1300" s="138"/>
      <c r="BL1300" s="138"/>
      <c r="BM1300" s="138"/>
      <c r="BN1300" s="138"/>
      <c r="BO1300" s="138"/>
    </row>
    <row r="1301" spans="1:67" x14ac:dyDescent="0.2">
      <c r="A1301" s="189"/>
      <c r="B1301" s="190"/>
      <c r="C1301" s="191"/>
      <c r="D1301" s="192"/>
      <c r="E1301" s="192"/>
      <c r="F1301" s="192"/>
      <c r="G1301" s="192"/>
      <c r="H1301" s="192"/>
      <c r="I1301" s="203"/>
      <c r="J1301" s="204"/>
      <c r="K1301" s="195">
        <f>SUM(K1293:K1300)</f>
        <v>179400</v>
      </c>
      <c r="L1301" s="196"/>
      <c r="M1301" s="197"/>
      <c r="AV1301" s="138"/>
      <c r="AW1301" s="138"/>
      <c r="AX1301" s="138"/>
      <c r="AY1301" s="138"/>
      <c r="AZ1301" s="138"/>
      <c r="BA1301" s="138"/>
      <c r="BB1301" s="138"/>
      <c r="BC1301" s="138"/>
      <c r="BD1301" s="138"/>
      <c r="BE1301" s="138"/>
      <c r="BF1301" s="138"/>
      <c r="BG1301" s="138"/>
      <c r="BH1301" s="138"/>
      <c r="BI1301" s="138"/>
      <c r="BJ1301" s="138"/>
      <c r="BK1301" s="138"/>
      <c r="BL1301" s="138"/>
      <c r="BM1301" s="138"/>
      <c r="BN1301" s="138"/>
      <c r="BO1301" s="138"/>
    </row>
    <row r="1302" spans="1:67" ht="21" customHeight="1" x14ac:dyDescent="0.2">
      <c r="A1302" s="167">
        <v>322</v>
      </c>
      <c r="B1302" s="168" t="s">
        <v>1752</v>
      </c>
      <c r="C1302" s="169"/>
      <c r="D1302" s="170" t="s">
        <v>163</v>
      </c>
      <c r="E1302" s="170"/>
      <c r="F1302" s="170"/>
      <c r="G1302" s="170"/>
      <c r="H1302" s="170"/>
      <c r="I1302" s="274" t="s">
        <v>1753</v>
      </c>
      <c r="J1302" s="247" t="s">
        <v>980</v>
      </c>
      <c r="K1302" s="213">
        <f>194900*65%</f>
        <v>126685</v>
      </c>
      <c r="L1302" s="175" t="s">
        <v>166</v>
      </c>
      <c r="M1302" s="175" t="s">
        <v>1754</v>
      </c>
      <c r="AV1302" s="138"/>
      <c r="AW1302" s="138"/>
      <c r="AX1302" s="138"/>
      <c r="AY1302" s="138"/>
      <c r="AZ1302" s="138"/>
      <c r="BA1302" s="138"/>
      <c r="BB1302" s="138"/>
      <c r="BC1302" s="138"/>
      <c r="BD1302" s="138"/>
      <c r="BE1302" s="138"/>
      <c r="BF1302" s="138"/>
      <c r="BG1302" s="138"/>
      <c r="BH1302" s="138"/>
      <c r="BI1302" s="138"/>
      <c r="BJ1302" s="138"/>
      <c r="BK1302" s="138"/>
      <c r="BL1302" s="138"/>
      <c r="BM1302" s="138"/>
      <c r="BN1302" s="138"/>
      <c r="BO1302" s="138"/>
    </row>
    <row r="1303" spans="1:67" x14ac:dyDescent="0.2">
      <c r="A1303" s="177"/>
      <c r="B1303" s="178"/>
      <c r="C1303" s="179"/>
      <c r="D1303" s="180"/>
      <c r="E1303" s="180"/>
      <c r="F1303" s="180"/>
      <c r="G1303" s="180"/>
      <c r="H1303" s="180"/>
      <c r="I1303" s="188" t="s">
        <v>1755</v>
      </c>
      <c r="J1303" s="207" t="s">
        <v>636</v>
      </c>
      <c r="K1303" s="201">
        <f t="shared" ref="K1303:K1309" si="25">194900*5%</f>
        <v>9745</v>
      </c>
      <c r="L1303" s="185"/>
      <c r="M1303" s="185"/>
      <c r="AV1303" s="138"/>
      <c r="AW1303" s="138"/>
      <c r="AX1303" s="138"/>
      <c r="AY1303" s="138"/>
      <c r="AZ1303" s="138"/>
      <c r="BA1303" s="138"/>
      <c r="BB1303" s="138"/>
      <c r="BC1303" s="138"/>
      <c r="BD1303" s="138"/>
      <c r="BE1303" s="138"/>
      <c r="BF1303" s="138"/>
      <c r="BG1303" s="138"/>
      <c r="BH1303" s="138"/>
      <c r="BI1303" s="138"/>
      <c r="BJ1303" s="138"/>
      <c r="BK1303" s="138"/>
      <c r="BL1303" s="138"/>
      <c r="BM1303" s="138"/>
      <c r="BN1303" s="138"/>
      <c r="BO1303" s="138"/>
    </row>
    <row r="1304" spans="1:67" x14ac:dyDescent="0.2">
      <c r="A1304" s="177"/>
      <c r="B1304" s="178"/>
      <c r="C1304" s="179"/>
      <c r="D1304" s="180"/>
      <c r="E1304" s="180"/>
      <c r="F1304" s="180"/>
      <c r="G1304" s="180"/>
      <c r="H1304" s="180"/>
      <c r="I1304" s="188" t="s">
        <v>1756</v>
      </c>
      <c r="J1304" s="207" t="s">
        <v>1387</v>
      </c>
      <c r="K1304" s="201">
        <f t="shared" si="25"/>
        <v>9745</v>
      </c>
      <c r="L1304" s="185"/>
      <c r="M1304" s="185"/>
      <c r="AV1304" s="138"/>
      <c r="AW1304" s="138"/>
      <c r="AX1304" s="138"/>
      <c r="AY1304" s="138"/>
      <c r="AZ1304" s="138"/>
      <c r="BA1304" s="138"/>
      <c r="BB1304" s="138"/>
      <c r="BC1304" s="138"/>
      <c r="BD1304" s="138"/>
      <c r="BE1304" s="138"/>
      <c r="BF1304" s="138"/>
      <c r="BG1304" s="138"/>
      <c r="BH1304" s="138"/>
      <c r="BI1304" s="138"/>
      <c r="BJ1304" s="138"/>
      <c r="BK1304" s="138"/>
      <c r="BL1304" s="138"/>
      <c r="BM1304" s="138"/>
      <c r="BN1304" s="138"/>
      <c r="BO1304" s="138"/>
    </row>
    <row r="1305" spans="1:67" x14ac:dyDescent="0.2">
      <c r="A1305" s="177"/>
      <c r="B1305" s="178"/>
      <c r="C1305" s="179"/>
      <c r="D1305" s="180"/>
      <c r="E1305" s="180"/>
      <c r="F1305" s="180"/>
      <c r="G1305" s="180"/>
      <c r="H1305" s="180"/>
      <c r="I1305" s="188" t="s">
        <v>1757</v>
      </c>
      <c r="J1305" s="207" t="s">
        <v>636</v>
      </c>
      <c r="K1305" s="201">
        <f t="shared" si="25"/>
        <v>9745</v>
      </c>
      <c r="L1305" s="185"/>
      <c r="M1305" s="185"/>
      <c r="AV1305" s="138"/>
      <c r="AW1305" s="138"/>
      <c r="AX1305" s="138"/>
      <c r="AY1305" s="138"/>
      <c r="AZ1305" s="138"/>
      <c r="BA1305" s="138"/>
      <c r="BB1305" s="138"/>
      <c r="BC1305" s="138"/>
      <c r="BD1305" s="138"/>
      <c r="BE1305" s="138"/>
      <c r="BF1305" s="138"/>
      <c r="BG1305" s="138"/>
      <c r="BH1305" s="138"/>
      <c r="BI1305" s="138"/>
      <c r="BJ1305" s="138"/>
      <c r="BK1305" s="138"/>
      <c r="BL1305" s="138"/>
      <c r="BM1305" s="138"/>
      <c r="BN1305" s="138"/>
      <c r="BO1305" s="138"/>
    </row>
    <row r="1306" spans="1:67" x14ac:dyDescent="0.2">
      <c r="A1306" s="177"/>
      <c r="B1306" s="178"/>
      <c r="C1306" s="179"/>
      <c r="D1306" s="180"/>
      <c r="E1306" s="180"/>
      <c r="F1306" s="180"/>
      <c r="G1306" s="180"/>
      <c r="H1306" s="180"/>
      <c r="I1306" s="188" t="s">
        <v>1758</v>
      </c>
      <c r="J1306" s="207" t="s">
        <v>594</v>
      </c>
      <c r="K1306" s="201">
        <f t="shared" si="25"/>
        <v>9745</v>
      </c>
      <c r="L1306" s="185"/>
      <c r="M1306" s="185"/>
      <c r="AV1306" s="138"/>
      <c r="AW1306" s="138"/>
      <c r="AX1306" s="138"/>
      <c r="AY1306" s="138"/>
      <c r="AZ1306" s="138"/>
      <c r="BA1306" s="138"/>
      <c r="BB1306" s="138"/>
      <c r="BC1306" s="138"/>
      <c r="BD1306" s="138"/>
      <c r="BE1306" s="138"/>
      <c r="BF1306" s="138"/>
      <c r="BG1306" s="138"/>
      <c r="BH1306" s="138"/>
      <c r="BI1306" s="138"/>
      <c r="BJ1306" s="138"/>
      <c r="BK1306" s="138"/>
      <c r="BL1306" s="138"/>
      <c r="BM1306" s="138"/>
      <c r="BN1306" s="138"/>
      <c r="BO1306" s="138"/>
    </row>
    <row r="1307" spans="1:67" x14ac:dyDescent="0.2">
      <c r="A1307" s="177"/>
      <c r="B1307" s="178"/>
      <c r="C1307" s="179"/>
      <c r="D1307" s="180"/>
      <c r="E1307" s="180"/>
      <c r="F1307" s="180"/>
      <c r="G1307" s="180"/>
      <c r="H1307" s="180"/>
      <c r="I1307" s="188" t="s">
        <v>744</v>
      </c>
      <c r="J1307" s="207" t="s">
        <v>664</v>
      </c>
      <c r="K1307" s="201">
        <f t="shared" si="25"/>
        <v>9745</v>
      </c>
      <c r="L1307" s="185"/>
      <c r="M1307" s="185"/>
      <c r="AV1307" s="138"/>
      <c r="AW1307" s="138"/>
      <c r="AX1307" s="138"/>
      <c r="AY1307" s="138"/>
      <c r="AZ1307" s="138"/>
      <c r="BA1307" s="138"/>
      <c r="BB1307" s="138"/>
      <c r="BC1307" s="138"/>
      <c r="BD1307" s="138"/>
      <c r="BE1307" s="138"/>
      <c r="BF1307" s="138"/>
      <c r="BG1307" s="138"/>
      <c r="BH1307" s="138"/>
      <c r="BI1307" s="138"/>
      <c r="BJ1307" s="138"/>
      <c r="BK1307" s="138"/>
      <c r="BL1307" s="138"/>
      <c r="BM1307" s="138"/>
      <c r="BN1307" s="138"/>
      <c r="BO1307" s="138"/>
    </row>
    <row r="1308" spans="1:67" x14ac:dyDescent="0.2">
      <c r="A1308" s="177"/>
      <c r="B1308" s="178"/>
      <c r="C1308" s="179"/>
      <c r="D1308" s="180"/>
      <c r="E1308" s="180"/>
      <c r="F1308" s="180"/>
      <c r="G1308" s="180"/>
      <c r="H1308" s="180"/>
      <c r="I1308" s="188" t="s">
        <v>1759</v>
      </c>
      <c r="J1308" s="207" t="s">
        <v>636</v>
      </c>
      <c r="K1308" s="201">
        <f t="shared" si="25"/>
        <v>9745</v>
      </c>
      <c r="L1308" s="185"/>
      <c r="M1308" s="185"/>
      <c r="AV1308" s="138"/>
      <c r="AW1308" s="138"/>
      <c r="AX1308" s="138"/>
      <c r="AY1308" s="138"/>
      <c r="AZ1308" s="138"/>
      <c r="BA1308" s="138"/>
      <c r="BB1308" s="138"/>
      <c r="BC1308" s="138"/>
      <c r="BD1308" s="138"/>
      <c r="BE1308" s="138"/>
      <c r="BF1308" s="138"/>
      <c r="BG1308" s="138"/>
      <c r="BH1308" s="138"/>
      <c r="BI1308" s="138"/>
      <c r="BJ1308" s="138"/>
      <c r="BK1308" s="138"/>
      <c r="BL1308" s="138"/>
      <c r="BM1308" s="138"/>
      <c r="BN1308" s="138"/>
      <c r="BO1308" s="138"/>
    </row>
    <row r="1309" spans="1:67" x14ac:dyDescent="0.2">
      <c r="A1309" s="177"/>
      <c r="B1309" s="178"/>
      <c r="C1309" s="179"/>
      <c r="D1309" s="180"/>
      <c r="E1309" s="180"/>
      <c r="F1309" s="180"/>
      <c r="G1309" s="180"/>
      <c r="H1309" s="180"/>
      <c r="I1309" s="188" t="s">
        <v>1760</v>
      </c>
      <c r="J1309" s="207" t="s">
        <v>664</v>
      </c>
      <c r="K1309" s="201">
        <f t="shared" si="25"/>
        <v>9745</v>
      </c>
      <c r="L1309" s="185"/>
      <c r="M1309" s="185"/>
      <c r="AV1309" s="138"/>
      <c r="AW1309" s="138"/>
      <c r="AX1309" s="138"/>
      <c r="AY1309" s="138"/>
      <c r="AZ1309" s="138"/>
      <c r="BA1309" s="138"/>
      <c r="BB1309" s="138"/>
      <c r="BC1309" s="138"/>
      <c r="BD1309" s="138"/>
      <c r="BE1309" s="138"/>
      <c r="BF1309" s="138"/>
      <c r="BG1309" s="138"/>
      <c r="BH1309" s="138"/>
      <c r="BI1309" s="138"/>
      <c r="BJ1309" s="138"/>
      <c r="BK1309" s="138"/>
      <c r="BL1309" s="138"/>
      <c r="BM1309" s="138"/>
      <c r="BN1309" s="138"/>
      <c r="BO1309" s="138"/>
    </row>
    <row r="1310" spans="1:67" x14ac:dyDescent="0.2">
      <c r="A1310" s="189"/>
      <c r="B1310" s="190"/>
      <c r="C1310" s="191"/>
      <c r="D1310" s="192"/>
      <c r="E1310" s="192"/>
      <c r="F1310" s="192"/>
      <c r="G1310" s="192"/>
      <c r="H1310" s="192"/>
      <c r="I1310" s="181"/>
      <c r="J1310" s="226"/>
      <c r="K1310" s="200">
        <f>SUM(K1302:K1309)</f>
        <v>194900</v>
      </c>
      <c r="L1310" s="197"/>
      <c r="M1310" s="197"/>
      <c r="AV1310" s="138"/>
      <c r="AW1310" s="138"/>
      <c r="AX1310" s="138"/>
      <c r="AY1310" s="138"/>
      <c r="AZ1310" s="138"/>
      <c r="BA1310" s="138"/>
      <c r="BB1310" s="138"/>
      <c r="BC1310" s="138"/>
      <c r="BD1310" s="138"/>
      <c r="BE1310" s="138"/>
      <c r="BF1310" s="138"/>
      <c r="BG1310" s="138"/>
      <c r="BH1310" s="138"/>
      <c r="BI1310" s="138"/>
      <c r="BJ1310" s="138"/>
      <c r="BK1310" s="138"/>
      <c r="BL1310" s="138"/>
      <c r="BM1310" s="138"/>
      <c r="BN1310" s="138"/>
      <c r="BO1310" s="138"/>
    </row>
    <row r="1311" spans="1:67" ht="23.25" customHeight="1" x14ac:dyDescent="0.2">
      <c r="A1311" s="167">
        <v>323</v>
      </c>
      <c r="B1311" s="168" t="s">
        <v>1761</v>
      </c>
      <c r="C1311" s="169"/>
      <c r="D1311" s="170" t="s">
        <v>163</v>
      </c>
      <c r="E1311" s="170"/>
      <c r="F1311" s="170"/>
      <c r="G1311" s="170"/>
      <c r="H1311" s="170" t="s">
        <v>164</v>
      </c>
      <c r="I1311" s="217" t="s">
        <v>1762</v>
      </c>
      <c r="J1311" s="223" t="s">
        <v>980</v>
      </c>
      <c r="K1311" s="266">
        <f>120000*60%</f>
        <v>72000</v>
      </c>
      <c r="L1311" s="175" t="s">
        <v>166</v>
      </c>
      <c r="M1311" s="175" t="s">
        <v>1763</v>
      </c>
      <c r="AV1311" s="138"/>
      <c r="AW1311" s="138"/>
      <c r="AX1311" s="138"/>
      <c r="AY1311" s="138"/>
      <c r="AZ1311" s="138"/>
      <c r="BA1311" s="138"/>
      <c r="BB1311" s="138"/>
      <c r="BC1311" s="138"/>
      <c r="BD1311" s="138"/>
      <c r="BE1311" s="138"/>
      <c r="BF1311" s="138"/>
      <c r="BG1311" s="138"/>
      <c r="BH1311" s="138"/>
      <c r="BI1311" s="138"/>
      <c r="BJ1311" s="138"/>
      <c r="BK1311" s="138"/>
      <c r="BL1311" s="138"/>
      <c r="BM1311" s="138"/>
      <c r="BN1311" s="138"/>
      <c r="BO1311" s="138"/>
    </row>
    <row r="1312" spans="1:67" x14ac:dyDescent="0.2">
      <c r="A1312" s="177"/>
      <c r="B1312" s="178"/>
      <c r="C1312" s="179"/>
      <c r="D1312" s="180"/>
      <c r="E1312" s="180"/>
      <c r="F1312" s="180"/>
      <c r="G1312" s="180"/>
      <c r="H1312" s="180"/>
      <c r="I1312" s="188" t="s">
        <v>1764</v>
      </c>
      <c r="J1312" s="207" t="s">
        <v>636</v>
      </c>
      <c r="K1312" s="214">
        <f>120000*40%</f>
        <v>48000</v>
      </c>
      <c r="L1312" s="185"/>
      <c r="M1312" s="185"/>
      <c r="AV1312" s="138"/>
      <c r="AW1312" s="138"/>
      <c r="AX1312" s="138"/>
      <c r="AY1312" s="138"/>
      <c r="AZ1312" s="138"/>
      <c r="BA1312" s="138"/>
      <c r="BB1312" s="138"/>
      <c r="BC1312" s="138"/>
      <c r="BD1312" s="138"/>
      <c r="BE1312" s="138"/>
      <c r="BF1312" s="138"/>
      <c r="BG1312" s="138"/>
      <c r="BH1312" s="138"/>
      <c r="BI1312" s="138"/>
      <c r="BJ1312" s="138"/>
      <c r="BK1312" s="138"/>
      <c r="BL1312" s="138"/>
      <c r="BM1312" s="138"/>
      <c r="BN1312" s="138"/>
      <c r="BO1312" s="138"/>
    </row>
    <row r="1313" spans="1:67" x14ac:dyDescent="0.2">
      <c r="A1313" s="189"/>
      <c r="B1313" s="190"/>
      <c r="C1313" s="191"/>
      <c r="D1313" s="192"/>
      <c r="E1313" s="192"/>
      <c r="F1313" s="192"/>
      <c r="G1313" s="192"/>
      <c r="H1313" s="192"/>
      <c r="I1313" s="203"/>
      <c r="J1313" s="204"/>
      <c r="K1313" s="245">
        <f>SUM(K1311:K1312)</f>
        <v>120000</v>
      </c>
      <c r="L1313" s="197"/>
      <c r="M1313" s="197"/>
      <c r="AV1313" s="138"/>
      <c r="AW1313" s="138"/>
      <c r="AX1313" s="138"/>
      <c r="AY1313" s="138"/>
      <c r="AZ1313" s="138"/>
      <c r="BA1313" s="138"/>
      <c r="BB1313" s="138"/>
      <c r="BC1313" s="138"/>
      <c r="BD1313" s="138"/>
      <c r="BE1313" s="138"/>
      <c r="BF1313" s="138"/>
      <c r="BG1313" s="138"/>
      <c r="BH1313" s="138"/>
      <c r="BI1313" s="138"/>
      <c r="BJ1313" s="138"/>
      <c r="BK1313" s="138"/>
      <c r="BL1313" s="138"/>
      <c r="BM1313" s="138"/>
      <c r="BN1313" s="138"/>
      <c r="BO1313" s="138"/>
    </row>
    <row r="1314" spans="1:67" ht="22.5" customHeight="1" x14ac:dyDescent="0.2">
      <c r="A1314" s="167">
        <v>324</v>
      </c>
      <c r="B1314" s="168" t="s">
        <v>1765</v>
      </c>
      <c r="C1314" s="169"/>
      <c r="D1314" s="170" t="s">
        <v>163</v>
      </c>
      <c r="E1314" s="170"/>
      <c r="F1314" s="170"/>
      <c r="G1314" s="170"/>
      <c r="H1314" s="170"/>
      <c r="I1314" s="217" t="s">
        <v>1762</v>
      </c>
      <c r="J1314" s="223" t="s">
        <v>980</v>
      </c>
      <c r="K1314" s="432">
        <f>809800*60%</f>
        <v>485880</v>
      </c>
      <c r="L1314" s="174" t="s">
        <v>166</v>
      </c>
      <c r="M1314" s="175" t="s">
        <v>1766</v>
      </c>
      <c r="AV1314" s="138"/>
      <c r="AW1314" s="138"/>
      <c r="AX1314" s="138"/>
      <c r="AY1314" s="138"/>
      <c r="AZ1314" s="138"/>
      <c r="BA1314" s="138"/>
      <c r="BB1314" s="138"/>
      <c r="BC1314" s="138"/>
      <c r="BD1314" s="138"/>
      <c r="BE1314" s="138"/>
      <c r="BF1314" s="138"/>
      <c r="BG1314" s="138"/>
      <c r="BH1314" s="138"/>
      <c r="BI1314" s="138"/>
      <c r="BJ1314" s="138"/>
      <c r="BK1314" s="138"/>
      <c r="BL1314" s="138"/>
      <c r="BM1314" s="138"/>
      <c r="BN1314" s="138"/>
      <c r="BO1314" s="138"/>
    </row>
    <row r="1315" spans="1:67" x14ac:dyDescent="0.2">
      <c r="A1315" s="177"/>
      <c r="B1315" s="178"/>
      <c r="C1315" s="179"/>
      <c r="D1315" s="180"/>
      <c r="E1315" s="180"/>
      <c r="F1315" s="180"/>
      <c r="G1315" s="180"/>
      <c r="H1315" s="180"/>
      <c r="I1315" s="188" t="s">
        <v>1764</v>
      </c>
      <c r="J1315" s="207" t="s">
        <v>636</v>
      </c>
      <c r="K1315" s="208">
        <f>809800*40%</f>
        <v>323920</v>
      </c>
      <c r="L1315" s="184"/>
      <c r="M1315" s="185"/>
      <c r="AV1315" s="138"/>
      <c r="AW1315" s="138"/>
      <c r="AX1315" s="138"/>
      <c r="AY1315" s="138"/>
      <c r="AZ1315" s="138"/>
      <c r="BA1315" s="138"/>
      <c r="BB1315" s="138"/>
      <c r="BC1315" s="138"/>
      <c r="BD1315" s="138"/>
      <c r="BE1315" s="138"/>
      <c r="BF1315" s="138"/>
      <c r="BG1315" s="138"/>
      <c r="BH1315" s="138"/>
      <c r="BI1315" s="138"/>
      <c r="BJ1315" s="138"/>
      <c r="BK1315" s="138"/>
      <c r="BL1315" s="138"/>
      <c r="BM1315" s="138"/>
      <c r="BN1315" s="138"/>
      <c r="BO1315" s="138"/>
    </row>
    <row r="1316" spans="1:67" x14ac:dyDescent="0.2">
      <c r="A1316" s="189"/>
      <c r="B1316" s="190"/>
      <c r="C1316" s="191"/>
      <c r="D1316" s="192"/>
      <c r="E1316" s="192"/>
      <c r="F1316" s="192"/>
      <c r="G1316" s="192"/>
      <c r="H1316" s="192"/>
      <c r="I1316" s="203"/>
      <c r="J1316" s="204"/>
      <c r="K1316" s="195">
        <f>SUM(K1314:K1315)</f>
        <v>809800</v>
      </c>
      <c r="L1316" s="196"/>
      <c r="M1316" s="197"/>
      <c r="AV1316" s="138"/>
      <c r="AW1316" s="138"/>
      <c r="AX1316" s="138"/>
      <c r="AY1316" s="138"/>
      <c r="AZ1316" s="138"/>
      <c r="BA1316" s="138"/>
      <c r="BB1316" s="138"/>
      <c r="BC1316" s="138"/>
      <c r="BD1316" s="138"/>
      <c r="BE1316" s="138"/>
      <c r="BF1316" s="138"/>
      <c r="BG1316" s="138"/>
      <c r="BH1316" s="138"/>
      <c r="BI1316" s="138"/>
      <c r="BJ1316" s="138"/>
      <c r="BK1316" s="138"/>
      <c r="BL1316" s="138"/>
      <c r="BM1316" s="138"/>
      <c r="BN1316" s="138"/>
      <c r="BO1316" s="138"/>
    </row>
    <row r="1317" spans="1:67" ht="18.75" customHeight="1" x14ac:dyDescent="0.2">
      <c r="A1317" s="167">
        <v>325</v>
      </c>
      <c r="B1317" s="168" t="s">
        <v>1767</v>
      </c>
      <c r="C1317" s="169"/>
      <c r="D1317" s="170" t="s">
        <v>163</v>
      </c>
      <c r="E1317" s="170"/>
      <c r="F1317" s="170"/>
      <c r="G1317" s="170"/>
      <c r="H1317" s="170" t="s">
        <v>164</v>
      </c>
      <c r="I1317" s="274" t="s">
        <v>1768</v>
      </c>
      <c r="J1317" s="247" t="s">
        <v>980</v>
      </c>
      <c r="K1317" s="206">
        <f>949800*60%</f>
        <v>569880</v>
      </c>
      <c r="L1317" s="174" t="s">
        <v>166</v>
      </c>
      <c r="M1317" s="175" t="s">
        <v>1769</v>
      </c>
      <c r="AV1317" s="138"/>
      <c r="AW1317" s="138"/>
      <c r="AX1317" s="138"/>
      <c r="AY1317" s="138"/>
      <c r="AZ1317" s="138"/>
      <c r="BA1317" s="138"/>
      <c r="BB1317" s="138"/>
      <c r="BC1317" s="138"/>
      <c r="BD1317" s="138"/>
      <c r="BE1317" s="138"/>
      <c r="BF1317" s="138"/>
      <c r="BG1317" s="138"/>
      <c r="BH1317" s="138"/>
      <c r="BI1317" s="138"/>
      <c r="BJ1317" s="138"/>
      <c r="BK1317" s="138"/>
      <c r="BL1317" s="138"/>
      <c r="BM1317" s="138"/>
      <c r="BN1317" s="138"/>
      <c r="BO1317" s="138"/>
    </row>
    <row r="1318" spans="1:67" x14ac:dyDescent="0.2">
      <c r="A1318" s="177"/>
      <c r="B1318" s="178"/>
      <c r="C1318" s="179"/>
      <c r="D1318" s="180"/>
      <c r="E1318" s="180"/>
      <c r="F1318" s="180"/>
      <c r="G1318" s="180"/>
      <c r="H1318" s="180"/>
      <c r="I1318" s="188" t="s">
        <v>1770</v>
      </c>
      <c r="J1318" s="207" t="s">
        <v>636</v>
      </c>
      <c r="K1318" s="208">
        <f>949800*40%</f>
        <v>379920</v>
      </c>
      <c r="L1318" s="184"/>
      <c r="M1318" s="185"/>
      <c r="AV1318" s="138"/>
      <c r="AW1318" s="138"/>
      <c r="AX1318" s="138"/>
      <c r="AY1318" s="138"/>
      <c r="AZ1318" s="138"/>
      <c r="BA1318" s="138"/>
      <c r="BB1318" s="138"/>
      <c r="BC1318" s="138"/>
      <c r="BD1318" s="138"/>
      <c r="BE1318" s="138"/>
      <c r="BF1318" s="138"/>
      <c r="BG1318" s="138"/>
      <c r="BH1318" s="138"/>
      <c r="BI1318" s="138"/>
      <c r="BJ1318" s="138"/>
      <c r="BK1318" s="138"/>
      <c r="BL1318" s="138"/>
      <c r="BM1318" s="138"/>
      <c r="BN1318" s="138"/>
      <c r="BO1318" s="138"/>
    </row>
    <row r="1319" spans="1:67" x14ac:dyDescent="0.2">
      <c r="A1319" s="189"/>
      <c r="B1319" s="190"/>
      <c r="C1319" s="191"/>
      <c r="D1319" s="192"/>
      <c r="E1319" s="192"/>
      <c r="F1319" s="192"/>
      <c r="G1319" s="192"/>
      <c r="H1319" s="192"/>
      <c r="I1319" s="203"/>
      <c r="J1319" s="204"/>
      <c r="K1319" s="195">
        <f>SUM(K1317:K1318)</f>
        <v>949800</v>
      </c>
      <c r="L1319" s="196"/>
      <c r="M1319" s="197"/>
      <c r="AV1319" s="138"/>
      <c r="AW1319" s="138"/>
      <c r="AX1319" s="138"/>
      <c r="AY1319" s="138"/>
      <c r="AZ1319" s="138"/>
      <c r="BA1319" s="138"/>
      <c r="BB1319" s="138"/>
      <c r="BC1319" s="138"/>
      <c r="BD1319" s="138"/>
      <c r="BE1319" s="138"/>
      <c r="BF1319" s="138"/>
      <c r="BG1319" s="138"/>
      <c r="BH1319" s="138"/>
      <c r="BI1319" s="138"/>
      <c r="BJ1319" s="138"/>
      <c r="BK1319" s="138"/>
      <c r="BL1319" s="138"/>
      <c r="BM1319" s="138"/>
      <c r="BN1319" s="138"/>
      <c r="BO1319" s="138"/>
    </row>
    <row r="1320" spans="1:67" ht="48.75" customHeight="1" x14ac:dyDescent="0.2">
      <c r="A1320" s="292">
        <v>326</v>
      </c>
      <c r="B1320" s="168" t="s">
        <v>1771</v>
      </c>
      <c r="C1320" s="169"/>
      <c r="D1320" s="295" t="s">
        <v>163</v>
      </c>
      <c r="E1320" s="295"/>
      <c r="F1320" s="295"/>
      <c r="G1320" s="295"/>
      <c r="H1320" s="295" t="s">
        <v>164</v>
      </c>
      <c r="I1320" s="280" t="s">
        <v>1772</v>
      </c>
      <c r="J1320" s="307" t="s">
        <v>980</v>
      </c>
      <c r="K1320" s="213">
        <v>10900</v>
      </c>
      <c r="L1320" s="259" t="s">
        <v>166</v>
      </c>
      <c r="M1320" s="259" t="s">
        <v>1773</v>
      </c>
      <c r="AV1320" s="138"/>
      <c r="AW1320" s="138"/>
      <c r="AX1320" s="138"/>
      <c r="AY1320" s="138"/>
      <c r="AZ1320" s="138"/>
      <c r="BA1320" s="138"/>
      <c r="BB1320" s="138"/>
      <c r="BC1320" s="138"/>
      <c r="BD1320" s="138"/>
      <c r="BE1320" s="138"/>
      <c r="BF1320" s="138"/>
      <c r="BG1320" s="138"/>
      <c r="BH1320" s="138"/>
      <c r="BI1320" s="138"/>
      <c r="BJ1320" s="138"/>
      <c r="BK1320" s="138"/>
      <c r="BL1320" s="138"/>
      <c r="BM1320" s="138"/>
      <c r="BN1320" s="138"/>
      <c r="BO1320" s="138"/>
    </row>
    <row r="1321" spans="1:67" ht="50.25" customHeight="1" x14ac:dyDescent="0.2">
      <c r="A1321" s="292">
        <v>327</v>
      </c>
      <c r="B1321" s="168" t="s">
        <v>1774</v>
      </c>
      <c r="C1321" s="169"/>
      <c r="D1321" s="295" t="s">
        <v>163</v>
      </c>
      <c r="E1321" s="295"/>
      <c r="F1321" s="295"/>
      <c r="G1321" s="295"/>
      <c r="H1321" s="295" t="s">
        <v>164</v>
      </c>
      <c r="I1321" s="280" t="s">
        <v>1772</v>
      </c>
      <c r="J1321" s="318" t="s">
        <v>980</v>
      </c>
      <c r="K1321" s="206">
        <v>100000</v>
      </c>
      <c r="L1321" s="297" t="s">
        <v>166</v>
      </c>
      <c r="M1321" s="259" t="s">
        <v>1775</v>
      </c>
      <c r="AV1321" s="138"/>
      <c r="AW1321" s="138"/>
      <c r="AX1321" s="138"/>
      <c r="AY1321" s="138"/>
      <c r="AZ1321" s="138"/>
      <c r="BA1321" s="138"/>
      <c r="BB1321" s="138"/>
      <c r="BC1321" s="138"/>
      <c r="BD1321" s="138"/>
      <c r="BE1321" s="138"/>
      <c r="BF1321" s="138"/>
      <c r="BG1321" s="138"/>
      <c r="BH1321" s="138"/>
      <c r="BI1321" s="138"/>
      <c r="BJ1321" s="138"/>
      <c r="BK1321" s="138"/>
      <c r="BL1321" s="138"/>
      <c r="BM1321" s="138"/>
      <c r="BN1321" s="138"/>
      <c r="BO1321" s="138"/>
    </row>
    <row r="1322" spans="1:67" ht="24" customHeight="1" x14ac:dyDescent="0.2">
      <c r="A1322" s="167">
        <v>328</v>
      </c>
      <c r="B1322" s="168" t="s">
        <v>1776</v>
      </c>
      <c r="C1322" s="169"/>
      <c r="D1322" s="170" t="s">
        <v>163</v>
      </c>
      <c r="E1322" s="170"/>
      <c r="F1322" s="170"/>
      <c r="G1322" s="170"/>
      <c r="H1322" s="170" t="s">
        <v>164</v>
      </c>
      <c r="I1322" s="274" t="s">
        <v>1777</v>
      </c>
      <c r="J1322" s="247" t="s">
        <v>1704</v>
      </c>
      <c r="K1322" s="213">
        <f>100000*60%</f>
        <v>60000</v>
      </c>
      <c r="L1322" s="175" t="s">
        <v>166</v>
      </c>
      <c r="M1322" s="175" t="s">
        <v>1778</v>
      </c>
      <c r="AV1322" s="138"/>
      <c r="AW1322" s="138"/>
      <c r="AX1322" s="138"/>
      <c r="AY1322" s="138"/>
      <c r="AZ1322" s="138"/>
      <c r="BA1322" s="138"/>
      <c r="BB1322" s="138"/>
      <c r="BC1322" s="138"/>
      <c r="BD1322" s="138"/>
      <c r="BE1322" s="138"/>
      <c r="BF1322" s="138"/>
      <c r="BG1322" s="138"/>
      <c r="BH1322" s="138"/>
      <c r="BI1322" s="138"/>
      <c r="BJ1322" s="138"/>
      <c r="BK1322" s="138"/>
      <c r="BL1322" s="138"/>
      <c r="BM1322" s="138"/>
      <c r="BN1322" s="138"/>
      <c r="BO1322" s="138"/>
    </row>
    <row r="1323" spans="1:67" ht="48" x14ac:dyDescent="0.2">
      <c r="A1323" s="177"/>
      <c r="B1323" s="178"/>
      <c r="C1323" s="179"/>
      <c r="D1323" s="180"/>
      <c r="E1323" s="180"/>
      <c r="F1323" s="180"/>
      <c r="G1323" s="180"/>
      <c r="H1323" s="180"/>
      <c r="I1323" s="188" t="s">
        <v>1779</v>
      </c>
      <c r="J1323" s="207" t="s">
        <v>1527</v>
      </c>
      <c r="K1323" s="201">
        <f>100000*40%</f>
        <v>40000</v>
      </c>
      <c r="L1323" s="185"/>
      <c r="M1323" s="185"/>
      <c r="AV1323" s="138"/>
      <c r="AW1323" s="138"/>
      <c r="AX1323" s="138"/>
      <c r="AY1323" s="138"/>
      <c r="AZ1323" s="138"/>
      <c r="BA1323" s="138"/>
      <c r="BB1323" s="138"/>
      <c r="BC1323" s="138"/>
      <c r="BD1323" s="138"/>
      <c r="BE1323" s="138"/>
      <c r="BF1323" s="138"/>
      <c r="BG1323" s="138"/>
      <c r="BH1323" s="138"/>
      <c r="BI1323" s="138"/>
      <c r="BJ1323" s="138"/>
      <c r="BK1323" s="138"/>
      <c r="BL1323" s="138"/>
      <c r="BM1323" s="138"/>
      <c r="BN1323" s="138"/>
      <c r="BO1323" s="138"/>
    </row>
    <row r="1324" spans="1:67" x14ac:dyDescent="0.2">
      <c r="A1324" s="189"/>
      <c r="B1324" s="190"/>
      <c r="C1324" s="191"/>
      <c r="D1324" s="192"/>
      <c r="E1324" s="192"/>
      <c r="F1324" s="192"/>
      <c r="G1324" s="192"/>
      <c r="H1324" s="192"/>
      <c r="I1324" s="203"/>
      <c r="J1324" s="204"/>
      <c r="K1324" s="211">
        <f>SUM(K1322:K1323)</f>
        <v>100000</v>
      </c>
      <c r="L1324" s="197"/>
      <c r="M1324" s="197"/>
      <c r="AV1324" s="138"/>
      <c r="AW1324" s="138"/>
      <c r="AX1324" s="138"/>
      <c r="AY1324" s="138"/>
      <c r="AZ1324" s="138"/>
      <c r="BA1324" s="138"/>
      <c r="BB1324" s="138"/>
      <c r="BC1324" s="138"/>
      <c r="BD1324" s="138"/>
      <c r="BE1324" s="138"/>
      <c r="BF1324" s="138"/>
      <c r="BG1324" s="138"/>
      <c r="BH1324" s="138"/>
      <c r="BI1324" s="138"/>
      <c r="BJ1324" s="138"/>
      <c r="BK1324" s="138"/>
      <c r="BL1324" s="138"/>
      <c r="BM1324" s="138"/>
      <c r="BN1324" s="138"/>
      <c r="BO1324" s="138"/>
    </row>
    <row r="1325" spans="1:67" ht="23.25" customHeight="1" x14ac:dyDescent="0.2">
      <c r="A1325" s="167">
        <v>329</v>
      </c>
      <c r="B1325" s="168" t="s">
        <v>1780</v>
      </c>
      <c r="C1325" s="169"/>
      <c r="D1325" s="170" t="s">
        <v>163</v>
      </c>
      <c r="E1325" s="170"/>
      <c r="F1325" s="170"/>
      <c r="G1325" s="170"/>
      <c r="H1325" s="170" t="s">
        <v>164</v>
      </c>
      <c r="I1325" s="274" t="s">
        <v>1777</v>
      </c>
      <c r="J1325" s="247" t="s">
        <v>980</v>
      </c>
      <c r="K1325" s="206">
        <f>1100200*60%</f>
        <v>660120</v>
      </c>
      <c r="L1325" s="174" t="s">
        <v>166</v>
      </c>
      <c r="M1325" s="175" t="s">
        <v>1781</v>
      </c>
      <c r="AV1325" s="138"/>
      <c r="AW1325" s="138"/>
      <c r="AX1325" s="138"/>
      <c r="AY1325" s="138"/>
      <c r="AZ1325" s="138"/>
      <c r="BA1325" s="138"/>
      <c r="BB1325" s="138"/>
      <c r="BC1325" s="138"/>
      <c r="BD1325" s="138"/>
      <c r="BE1325" s="138"/>
      <c r="BF1325" s="138"/>
      <c r="BG1325" s="138"/>
      <c r="BH1325" s="138"/>
      <c r="BI1325" s="138"/>
      <c r="BJ1325" s="138"/>
      <c r="BK1325" s="138"/>
      <c r="BL1325" s="138"/>
      <c r="BM1325" s="138"/>
      <c r="BN1325" s="138"/>
      <c r="BO1325" s="138"/>
    </row>
    <row r="1326" spans="1:67" ht="23.25" customHeight="1" x14ac:dyDescent="0.2">
      <c r="A1326" s="177"/>
      <c r="B1326" s="178"/>
      <c r="C1326" s="179"/>
      <c r="D1326" s="180"/>
      <c r="E1326" s="180"/>
      <c r="F1326" s="180"/>
      <c r="G1326" s="180"/>
      <c r="H1326" s="180"/>
      <c r="I1326" s="188" t="s">
        <v>1779</v>
      </c>
      <c r="J1326" s="207" t="s">
        <v>636</v>
      </c>
      <c r="K1326" s="208">
        <f>1100200*40%</f>
        <v>440080</v>
      </c>
      <c r="L1326" s="184"/>
      <c r="M1326" s="185"/>
      <c r="AV1326" s="138"/>
      <c r="AW1326" s="138"/>
      <c r="AX1326" s="138"/>
      <c r="AY1326" s="138"/>
      <c r="AZ1326" s="138"/>
      <c r="BA1326" s="138"/>
      <c r="BB1326" s="138"/>
      <c r="BC1326" s="138"/>
      <c r="BD1326" s="138"/>
      <c r="BE1326" s="138"/>
      <c r="BF1326" s="138"/>
      <c r="BG1326" s="138"/>
      <c r="BH1326" s="138"/>
      <c r="BI1326" s="138"/>
      <c r="BJ1326" s="138"/>
      <c r="BK1326" s="138"/>
      <c r="BL1326" s="138"/>
      <c r="BM1326" s="138"/>
      <c r="BN1326" s="138"/>
      <c r="BO1326" s="138"/>
    </row>
    <row r="1327" spans="1:67" ht="23.25" customHeight="1" x14ac:dyDescent="0.2">
      <c r="A1327" s="189"/>
      <c r="B1327" s="190"/>
      <c r="C1327" s="191"/>
      <c r="D1327" s="192"/>
      <c r="E1327" s="192"/>
      <c r="F1327" s="192"/>
      <c r="G1327" s="192"/>
      <c r="H1327" s="192"/>
      <c r="I1327" s="203"/>
      <c r="J1327" s="204"/>
      <c r="K1327" s="195">
        <f>SUM(K1325:K1326)</f>
        <v>1100200</v>
      </c>
      <c r="L1327" s="196"/>
      <c r="M1327" s="197"/>
      <c r="AV1327" s="138"/>
      <c r="AW1327" s="138"/>
      <c r="AX1327" s="138"/>
      <c r="AY1327" s="138"/>
      <c r="AZ1327" s="138"/>
      <c r="BA1327" s="138"/>
      <c r="BB1327" s="138"/>
      <c r="BC1327" s="138"/>
      <c r="BD1327" s="138"/>
      <c r="BE1327" s="138"/>
      <c r="BF1327" s="138"/>
      <c r="BG1327" s="138"/>
      <c r="BH1327" s="138"/>
      <c r="BI1327" s="138"/>
      <c r="BJ1327" s="138"/>
      <c r="BK1327" s="138"/>
      <c r="BL1327" s="138"/>
      <c r="BM1327" s="138"/>
      <c r="BN1327" s="138"/>
      <c r="BO1327" s="138"/>
    </row>
    <row r="1328" spans="1:67" ht="23.25" customHeight="1" x14ac:dyDescent="0.2">
      <c r="A1328" s="167">
        <v>330</v>
      </c>
      <c r="B1328" s="168" t="s">
        <v>1782</v>
      </c>
      <c r="C1328" s="169"/>
      <c r="D1328" s="170" t="s">
        <v>163</v>
      </c>
      <c r="E1328" s="170"/>
      <c r="F1328" s="170"/>
      <c r="G1328" s="170"/>
      <c r="H1328" s="170" t="s">
        <v>164</v>
      </c>
      <c r="I1328" s="274" t="s">
        <v>1783</v>
      </c>
      <c r="J1328" s="247" t="s">
        <v>980</v>
      </c>
      <c r="K1328" s="206">
        <f>100000*60%</f>
        <v>60000</v>
      </c>
      <c r="L1328" s="174" t="s">
        <v>166</v>
      </c>
      <c r="M1328" s="175" t="s">
        <v>1784</v>
      </c>
      <c r="AV1328" s="138"/>
      <c r="AW1328" s="138"/>
      <c r="AX1328" s="138"/>
      <c r="AY1328" s="138"/>
      <c r="AZ1328" s="138"/>
      <c r="BA1328" s="138"/>
      <c r="BB1328" s="138"/>
      <c r="BC1328" s="138"/>
      <c r="BD1328" s="138"/>
      <c r="BE1328" s="138"/>
      <c r="BF1328" s="138"/>
      <c r="BG1328" s="138"/>
      <c r="BH1328" s="138"/>
      <c r="BI1328" s="138"/>
      <c r="BJ1328" s="138"/>
      <c r="BK1328" s="138"/>
      <c r="BL1328" s="138"/>
      <c r="BM1328" s="138"/>
      <c r="BN1328" s="138"/>
      <c r="BO1328" s="138"/>
    </row>
    <row r="1329" spans="1:67" ht="23.25" customHeight="1" x14ac:dyDescent="0.2">
      <c r="A1329" s="177"/>
      <c r="B1329" s="178"/>
      <c r="C1329" s="179"/>
      <c r="D1329" s="180"/>
      <c r="E1329" s="180"/>
      <c r="F1329" s="180"/>
      <c r="G1329" s="180"/>
      <c r="H1329" s="180"/>
      <c r="I1329" s="188" t="s">
        <v>1785</v>
      </c>
      <c r="J1329" s="207" t="s">
        <v>636</v>
      </c>
      <c r="K1329" s="208">
        <f>100000*40%</f>
        <v>40000</v>
      </c>
      <c r="L1329" s="184"/>
      <c r="M1329" s="185"/>
      <c r="AV1329" s="138"/>
      <c r="AW1329" s="138"/>
      <c r="AX1329" s="138"/>
      <c r="AY1329" s="138"/>
      <c r="AZ1329" s="138"/>
      <c r="BA1329" s="138"/>
      <c r="BB1329" s="138"/>
      <c r="BC1329" s="138"/>
      <c r="BD1329" s="138"/>
      <c r="BE1329" s="138"/>
      <c r="BF1329" s="138"/>
      <c r="BG1329" s="138"/>
      <c r="BH1329" s="138"/>
      <c r="BI1329" s="138"/>
      <c r="BJ1329" s="138"/>
      <c r="BK1329" s="138"/>
      <c r="BL1329" s="138"/>
      <c r="BM1329" s="138"/>
      <c r="BN1329" s="138"/>
      <c r="BO1329" s="138"/>
    </row>
    <row r="1330" spans="1:67" ht="23.25" customHeight="1" x14ac:dyDescent="0.2">
      <c r="A1330" s="189"/>
      <c r="B1330" s="190"/>
      <c r="C1330" s="191"/>
      <c r="D1330" s="192"/>
      <c r="E1330" s="192"/>
      <c r="F1330" s="192"/>
      <c r="G1330" s="192"/>
      <c r="H1330" s="192"/>
      <c r="I1330" s="203"/>
      <c r="J1330" s="204"/>
      <c r="K1330" s="195">
        <f>SUM(K1328:K1329)</f>
        <v>100000</v>
      </c>
      <c r="L1330" s="196"/>
      <c r="M1330" s="197"/>
      <c r="AV1330" s="138"/>
      <c r="AW1330" s="138"/>
      <c r="AX1330" s="138"/>
      <c r="AY1330" s="138"/>
      <c r="AZ1330" s="138"/>
      <c r="BA1330" s="138"/>
      <c r="BB1330" s="138"/>
      <c r="BC1330" s="138"/>
      <c r="BD1330" s="138"/>
      <c r="BE1330" s="138"/>
      <c r="BF1330" s="138"/>
      <c r="BG1330" s="138"/>
      <c r="BH1330" s="138"/>
      <c r="BI1330" s="138"/>
      <c r="BJ1330" s="138"/>
      <c r="BK1330" s="138"/>
      <c r="BL1330" s="138"/>
      <c r="BM1330" s="138"/>
      <c r="BN1330" s="138"/>
      <c r="BO1330" s="138"/>
    </row>
    <row r="1331" spans="1:67" ht="23.25" customHeight="1" x14ac:dyDescent="0.2">
      <c r="A1331" s="167">
        <v>331</v>
      </c>
      <c r="B1331" s="168" t="s">
        <v>1786</v>
      </c>
      <c r="C1331" s="169"/>
      <c r="D1331" s="170" t="s">
        <v>163</v>
      </c>
      <c r="E1331" s="170"/>
      <c r="F1331" s="170"/>
      <c r="G1331" s="170"/>
      <c r="H1331" s="170" t="s">
        <v>164</v>
      </c>
      <c r="I1331" s="274" t="s">
        <v>1783</v>
      </c>
      <c r="J1331" s="247" t="s">
        <v>980</v>
      </c>
      <c r="K1331" s="213">
        <f>1237200*60%</f>
        <v>742320</v>
      </c>
      <c r="L1331" s="175" t="s">
        <v>166</v>
      </c>
      <c r="M1331" s="175" t="s">
        <v>1787</v>
      </c>
      <c r="AV1331" s="138"/>
      <c r="AW1331" s="138"/>
      <c r="AX1331" s="138"/>
      <c r="AY1331" s="138"/>
      <c r="AZ1331" s="138"/>
      <c r="BA1331" s="138"/>
      <c r="BB1331" s="138"/>
      <c r="BC1331" s="138"/>
      <c r="BD1331" s="138"/>
      <c r="BE1331" s="138"/>
      <c r="BF1331" s="138"/>
      <c r="BG1331" s="138"/>
      <c r="BH1331" s="138"/>
      <c r="BI1331" s="138"/>
      <c r="BJ1331" s="138"/>
      <c r="BK1331" s="138"/>
      <c r="BL1331" s="138"/>
      <c r="BM1331" s="138"/>
      <c r="BN1331" s="138"/>
      <c r="BO1331" s="138"/>
    </row>
    <row r="1332" spans="1:67" ht="23.25" customHeight="1" x14ac:dyDescent="0.2">
      <c r="A1332" s="177"/>
      <c r="B1332" s="178"/>
      <c r="C1332" s="179"/>
      <c r="D1332" s="180"/>
      <c r="E1332" s="180"/>
      <c r="F1332" s="180"/>
      <c r="G1332" s="180"/>
      <c r="H1332" s="180"/>
      <c r="I1332" s="188" t="s">
        <v>1785</v>
      </c>
      <c r="J1332" s="207" t="s">
        <v>636</v>
      </c>
      <c r="K1332" s="201">
        <f>1237200*40%</f>
        <v>494880</v>
      </c>
      <c r="L1332" s="185"/>
      <c r="M1332" s="185"/>
      <c r="AV1332" s="138"/>
      <c r="AW1332" s="138"/>
      <c r="AX1332" s="138"/>
      <c r="AY1332" s="138"/>
      <c r="AZ1332" s="138"/>
      <c r="BA1332" s="138"/>
      <c r="BB1332" s="138"/>
      <c r="BC1332" s="138"/>
      <c r="BD1332" s="138"/>
      <c r="BE1332" s="138"/>
      <c r="BF1332" s="138"/>
      <c r="BG1332" s="138"/>
      <c r="BH1332" s="138"/>
      <c r="BI1332" s="138"/>
      <c r="BJ1332" s="138"/>
      <c r="BK1332" s="138"/>
      <c r="BL1332" s="138"/>
      <c r="BM1332" s="138"/>
      <c r="BN1332" s="138"/>
      <c r="BO1332" s="138"/>
    </row>
    <row r="1333" spans="1:67" ht="23.25" customHeight="1" x14ac:dyDescent="0.2">
      <c r="A1333" s="189"/>
      <c r="B1333" s="190"/>
      <c r="C1333" s="191"/>
      <c r="D1333" s="192"/>
      <c r="E1333" s="192"/>
      <c r="F1333" s="192"/>
      <c r="G1333" s="192"/>
      <c r="H1333" s="192"/>
      <c r="I1333" s="203"/>
      <c r="J1333" s="204"/>
      <c r="K1333" s="211">
        <f>SUM(K1331:K1332)</f>
        <v>1237200</v>
      </c>
      <c r="L1333" s="197"/>
      <c r="M1333" s="197"/>
      <c r="AV1333" s="138"/>
      <c r="AW1333" s="138"/>
      <c r="AX1333" s="138"/>
      <c r="AY1333" s="138"/>
      <c r="AZ1333" s="138"/>
      <c r="BA1333" s="138"/>
      <c r="BB1333" s="138"/>
      <c r="BC1333" s="138"/>
      <c r="BD1333" s="138"/>
      <c r="BE1333" s="138"/>
      <c r="BF1333" s="138"/>
      <c r="BG1333" s="138"/>
      <c r="BH1333" s="138"/>
      <c r="BI1333" s="138"/>
      <c r="BJ1333" s="138"/>
      <c r="BK1333" s="138"/>
      <c r="BL1333" s="138"/>
      <c r="BM1333" s="138"/>
      <c r="BN1333" s="138"/>
      <c r="BO1333" s="138"/>
    </row>
    <row r="1334" spans="1:67" ht="23.25" customHeight="1" x14ac:dyDescent="0.2">
      <c r="A1334" s="167">
        <v>332</v>
      </c>
      <c r="B1334" s="168" t="s">
        <v>1788</v>
      </c>
      <c r="C1334" s="169"/>
      <c r="D1334" s="250" t="s">
        <v>107</v>
      </c>
      <c r="E1334" s="170"/>
      <c r="F1334" s="170"/>
      <c r="G1334" s="170"/>
      <c r="H1334" s="170" t="s">
        <v>137</v>
      </c>
      <c r="I1334" s="171" t="s">
        <v>1789</v>
      </c>
      <c r="J1334" s="223" t="s">
        <v>980</v>
      </c>
      <c r="K1334" s="212">
        <f>K1337*80%</f>
        <v>2000</v>
      </c>
      <c r="L1334" s="174" t="s">
        <v>111</v>
      </c>
      <c r="M1334" s="175" t="s">
        <v>1790</v>
      </c>
      <c r="AV1334" s="138"/>
      <c r="AW1334" s="138"/>
      <c r="AX1334" s="138"/>
      <c r="AY1334" s="138"/>
      <c r="AZ1334" s="138"/>
      <c r="BA1334" s="138"/>
      <c r="BB1334" s="138"/>
      <c r="BC1334" s="138"/>
      <c r="BD1334" s="138"/>
      <c r="BE1334" s="138"/>
      <c r="BF1334" s="138"/>
      <c r="BG1334" s="138"/>
      <c r="BH1334" s="138"/>
      <c r="BI1334" s="138"/>
      <c r="BJ1334" s="138"/>
      <c r="BK1334" s="138"/>
      <c r="BL1334" s="138"/>
      <c r="BM1334" s="138"/>
      <c r="BN1334" s="138"/>
      <c r="BO1334" s="138"/>
    </row>
    <row r="1335" spans="1:67" ht="23.25" customHeight="1" x14ac:dyDescent="0.2">
      <c r="A1335" s="177"/>
      <c r="B1335" s="178"/>
      <c r="C1335" s="179"/>
      <c r="D1335" s="243"/>
      <c r="E1335" s="180"/>
      <c r="F1335" s="180"/>
      <c r="G1335" s="180"/>
      <c r="H1335" s="180"/>
      <c r="I1335" s="188" t="s">
        <v>1791</v>
      </c>
      <c r="J1335" s="172" t="s">
        <v>980</v>
      </c>
      <c r="K1335" s="202">
        <f>K1337*10%</f>
        <v>250</v>
      </c>
      <c r="L1335" s="184"/>
      <c r="M1335" s="185"/>
      <c r="AV1335" s="138"/>
      <c r="AW1335" s="138"/>
      <c r="AX1335" s="138"/>
      <c r="AY1335" s="138"/>
      <c r="AZ1335" s="138"/>
      <c r="BA1335" s="138"/>
      <c r="BB1335" s="138"/>
      <c r="BC1335" s="138"/>
      <c r="BD1335" s="138"/>
      <c r="BE1335" s="138"/>
      <c r="BF1335" s="138"/>
      <c r="BG1335" s="138"/>
      <c r="BH1335" s="138"/>
      <c r="BI1335" s="138"/>
      <c r="BJ1335" s="138"/>
      <c r="BK1335" s="138"/>
      <c r="BL1335" s="138"/>
      <c r="BM1335" s="138"/>
      <c r="BN1335" s="138"/>
      <c r="BO1335" s="138"/>
    </row>
    <row r="1336" spans="1:67" ht="23.25" customHeight="1" x14ac:dyDescent="0.2">
      <c r="A1336" s="177"/>
      <c r="B1336" s="178"/>
      <c r="C1336" s="179"/>
      <c r="D1336" s="243"/>
      <c r="E1336" s="180"/>
      <c r="F1336" s="180"/>
      <c r="G1336" s="180"/>
      <c r="H1336" s="180"/>
      <c r="I1336" s="171" t="s">
        <v>1792</v>
      </c>
      <c r="J1336" s="182" t="s">
        <v>594</v>
      </c>
      <c r="K1336" s="183">
        <f>K1337*10%</f>
        <v>250</v>
      </c>
      <c r="L1336" s="184"/>
      <c r="M1336" s="185"/>
      <c r="AV1336" s="138"/>
      <c r="AW1336" s="138"/>
      <c r="AX1336" s="138"/>
      <c r="AY1336" s="138"/>
      <c r="AZ1336" s="138"/>
      <c r="BA1336" s="138"/>
      <c r="BB1336" s="138"/>
      <c r="BC1336" s="138"/>
      <c r="BD1336" s="138"/>
      <c r="BE1336" s="138"/>
      <c r="BF1336" s="138"/>
      <c r="BG1336" s="138"/>
      <c r="BH1336" s="138"/>
      <c r="BI1336" s="138"/>
      <c r="BJ1336" s="138"/>
      <c r="BK1336" s="138"/>
      <c r="BL1336" s="138"/>
      <c r="BM1336" s="138"/>
      <c r="BN1336" s="138"/>
      <c r="BO1336" s="138"/>
    </row>
    <row r="1337" spans="1:67" ht="23.25" customHeight="1" x14ac:dyDescent="0.2">
      <c r="A1337" s="189"/>
      <c r="B1337" s="190"/>
      <c r="C1337" s="191"/>
      <c r="D1337" s="244"/>
      <c r="E1337" s="192"/>
      <c r="F1337" s="192"/>
      <c r="G1337" s="192"/>
      <c r="H1337" s="192"/>
      <c r="I1337" s="203"/>
      <c r="J1337" s="215"/>
      <c r="K1337" s="216">
        <v>2500</v>
      </c>
      <c r="L1337" s="196"/>
      <c r="M1337" s="197"/>
      <c r="AV1337" s="138"/>
      <c r="AW1337" s="138"/>
      <c r="AX1337" s="138"/>
      <c r="AY1337" s="138"/>
      <c r="AZ1337" s="138"/>
      <c r="BA1337" s="138"/>
      <c r="BB1337" s="138"/>
      <c r="BC1337" s="138"/>
      <c r="BD1337" s="138"/>
      <c r="BE1337" s="138"/>
      <c r="BF1337" s="138"/>
      <c r="BG1337" s="138"/>
      <c r="BH1337" s="138"/>
      <c r="BI1337" s="138"/>
      <c r="BJ1337" s="138"/>
      <c r="BK1337" s="138"/>
      <c r="BL1337" s="138"/>
      <c r="BM1337" s="138"/>
      <c r="BN1337" s="138"/>
      <c r="BO1337" s="138"/>
    </row>
    <row r="1338" spans="1:67" ht="25.5" customHeight="1" x14ac:dyDescent="0.2">
      <c r="A1338" s="167">
        <v>333</v>
      </c>
      <c r="B1338" s="168" t="s">
        <v>1793</v>
      </c>
      <c r="C1338" s="169"/>
      <c r="D1338" s="250" t="s">
        <v>107</v>
      </c>
      <c r="E1338" s="170"/>
      <c r="F1338" s="170"/>
      <c r="G1338" s="170"/>
      <c r="H1338" s="170" t="s">
        <v>964</v>
      </c>
      <c r="I1338" s="171" t="s">
        <v>1794</v>
      </c>
      <c r="J1338" s="172" t="s">
        <v>980</v>
      </c>
      <c r="K1338" s="173">
        <f>K1343*80%</f>
        <v>5600</v>
      </c>
      <c r="L1338" s="174" t="s">
        <v>111</v>
      </c>
      <c r="M1338" s="175" t="s">
        <v>1795</v>
      </c>
      <c r="AV1338" s="138"/>
      <c r="AW1338" s="138"/>
      <c r="AX1338" s="138"/>
      <c r="AY1338" s="138"/>
      <c r="AZ1338" s="138"/>
      <c r="BA1338" s="138"/>
      <c r="BB1338" s="138"/>
      <c r="BC1338" s="138"/>
      <c r="BD1338" s="138"/>
      <c r="BE1338" s="138"/>
      <c r="BF1338" s="138"/>
      <c r="BG1338" s="138"/>
      <c r="BH1338" s="138"/>
      <c r="BI1338" s="138"/>
      <c r="BJ1338" s="138"/>
      <c r="BK1338" s="138"/>
      <c r="BL1338" s="138"/>
      <c r="BM1338" s="138"/>
      <c r="BN1338" s="138"/>
      <c r="BO1338" s="138"/>
    </row>
    <row r="1339" spans="1:67" ht="23.25" customHeight="1" x14ac:dyDescent="0.2">
      <c r="A1339" s="177"/>
      <c r="B1339" s="178"/>
      <c r="C1339" s="179"/>
      <c r="D1339" s="243"/>
      <c r="E1339" s="180"/>
      <c r="F1339" s="180"/>
      <c r="G1339" s="180"/>
      <c r="H1339" s="180"/>
      <c r="I1339" s="181" t="s">
        <v>1796</v>
      </c>
      <c r="J1339" s="182" t="s">
        <v>980</v>
      </c>
      <c r="K1339" s="183">
        <f>K1343*5%</f>
        <v>350</v>
      </c>
      <c r="L1339" s="184"/>
      <c r="M1339" s="185"/>
      <c r="AV1339" s="138"/>
      <c r="AW1339" s="138"/>
      <c r="AX1339" s="138"/>
      <c r="AY1339" s="138"/>
      <c r="AZ1339" s="138"/>
      <c r="BA1339" s="138"/>
      <c r="BB1339" s="138"/>
      <c r="BC1339" s="138"/>
      <c r="BD1339" s="138"/>
      <c r="BE1339" s="138"/>
      <c r="BF1339" s="138"/>
      <c r="BG1339" s="138"/>
      <c r="BH1339" s="138"/>
      <c r="BI1339" s="138"/>
      <c r="BJ1339" s="138"/>
      <c r="BK1339" s="138"/>
      <c r="BL1339" s="138"/>
      <c r="BM1339" s="138"/>
      <c r="BN1339" s="138"/>
      <c r="BO1339" s="138"/>
    </row>
    <row r="1340" spans="1:67" ht="23.25" customHeight="1" x14ac:dyDescent="0.2">
      <c r="A1340" s="177"/>
      <c r="B1340" s="178"/>
      <c r="C1340" s="179"/>
      <c r="D1340" s="243"/>
      <c r="E1340" s="180"/>
      <c r="F1340" s="180"/>
      <c r="G1340" s="180"/>
      <c r="H1340" s="180"/>
      <c r="I1340" s="188" t="s">
        <v>1797</v>
      </c>
      <c r="J1340" s="182" t="s">
        <v>980</v>
      </c>
      <c r="K1340" s="183">
        <f>K1343*5%</f>
        <v>350</v>
      </c>
      <c r="L1340" s="184"/>
      <c r="M1340" s="185"/>
      <c r="AV1340" s="138"/>
      <c r="AW1340" s="138"/>
      <c r="AX1340" s="138"/>
      <c r="AY1340" s="138"/>
      <c r="AZ1340" s="138"/>
      <c r="BA1340" s="138"/>
      <c r="BB1340" s="138"/>
      <c r="BC1340" s="138"/>
      <c r="BD1340" s="138"/>
      <c r="BE1340" s="138"/>
      <c r="BF1340" s="138"/>
      <c r="BG1340" s="138"/>
      <c r="BH1340" s="138"/>
      <c r="BI1340" s="138"/>
      <c r="BJ1340" s="138"/>
      <c r="BK1340" s="138"/>
      <c r="BL1340" s="138"/>
      <c r="BM1340" s="138"/>
      <c r="BN1340" s="138"/>
      <c r="BO1340" s="138"/>
    </row>
    <row r="1341" spans="1:67" ht="23.25" customHeight="1" x14ac:dyDescent="0.2">
      <c r="A1341" s="177"/>
      <c r="B1341" s="178"/>
      <c r="C1341" s="179"/>
      <c r="D1341" s="243"/>
      <c r="E1341" s="180"/>
      <c r="F1341" s="180"/>
      <c r="G1341" s="180"/>
      <c r="H1341" s="180"/>
      <c r="I1341" s="188" t="s">
        <v>1798</v>
      </c>
      <c r="J1341" s="182" t="s">
        <v>252</v>
      </c>
      <c r="K1341" s="208">
        <f>K1343*5%</f>
        <v>350</v>
      </c>
      <c r="L1341" s="184"/>
      <c r="M1341" s="185"/>
      <c r="AV1341" s="138"/>
      <c r="AW1341" s="138"/>
      <c r="AX1341" s="138"/>
      <c r="AY1341" s="138"/>
      <c r="AZ1341" s="138"/>
      <c r="BA1341" s="138"/>
      <c r="BB1341" s="138"/>
      <c r="BC1341" s="138"/>
      <c r="BD1341" s="138"/>
      <c r="BE1341" s="138"/>
      <c r="BF1341" s="138"/>
      <c r="BG1341" s="138"/>
      <c r="BH1341" s="138"/>
      <c r="BI1341" s="138"/>
      <c r="BJ1341" s="138"/>
      <c r="BK1341" s="138"/>
      <c r="BL1341" s="138"/>
      <c r="BM1341" s="138"/>
      <c r="BN1341" s="138"/>
      <c r="BO1341" s="138"/>
    </row>
    <row r="1342" spans="1:67" ht="23.25" customHeight="1" x14ac:dyDescent="0.2">
      <c r="A1342" s="177"/>
      <c r="B1342" s="178"/>
      <c r="C1342" s="179"/>
      <c r="D1342" s="243"/>
      <c r="E1342" s="180"/>
      <c r="F1342" s="180"/>
      <c r="G1342" s="180"/>
      <c r="H1342" s="180"/>
      <c r="I1342" s="171" t="s">
        <v>1799</v>
      </c>
      <c r="J1342" s="182" t="s">
        <v>636</v>
      </c>
      <c r="K1342" s="202">
        <f>K1343*5%</f>
        <v>350</v>
      </c>
      <c r="L1342" s="184"/>
      <c r="M1342" s="185"/>
      <c r="AV1342" s="138"/>
      <c r="AW1342" s="138"/>
      <c r="AX1342" s="138"/>
      <c r="AY1342" s="138"/>
      <c r="AZ1342" s="138"/>
      <c r="BA1342" s="138"/>
      <c r="BB1342" s="138"/>
      <c r="BC1342" s="138"/>
      <c r="BD1342" s="138"/>
      <c r="BE1342" s="138"/>
      <c r="BF1342" s="138"/>
      <c r="BG1342" s="138"/>
      <c r="BH1342" s="138"/>
      <c r="BI1342" s="138"/>
      <c r="BJ1342" s="138"/>
      <c r="BK1342" s="138"/>
      <c r="BL1342" s="138"/>
      <c r="BM1342" s="138"/>
      <c r="BN1342" s="138"/>
      <c r="BO1342" s="138"/>
    </row>
    <row r="1343" spans="1:67" ht="27" customHeight="1" x14ac:dyDescent="0.2">
      <c r="A1343" s="189"/>
      <c r="B1343" s="190"/>
      <c r="C1343" s="191"/>
      <c r="D1343" s="244"/>
      <c r="E1343" s="192"/>
      <c r="F1343" s="192"/>
      <c r="G1343" s="192"/>
      <c r="H1343" s="192"/>
      <c r="I1343" s="203"/>
      <c r="J1343" s="215"/>
      <c r="K1343" s="216">
        <v>7000</v>
      </c>
      <c r="L1343" s="196"/>
      <c r="M1343" s="197"/>
      <c r="AV1343" s="138"/>
      <c r="AW1343" s="138"/>
      <c r="AX1343" s="138"/>
      <c r="AY1343" s="138"/>
      <c r="AZ1343" s="138"/>
      <c r="BA1343" s="138"/>
      <c r="BB1343" s="138"/>
      <c r="BC1343" s="138"/>
      <c r="BD1343" s="138"/>
      <c r="BE1343" s="138"/>
      <c r="BF1343" s="138"/>
      <c r="BG1343" s="138"/>
      <c r="BH1343" s="138"/>
      <c r="BI1343" s="138"/>
      <c r="BJ1343" s="138"/>
      <c r="BK1343" s="138"/>
      <c r="BL1343" s="138"/>
      <c r="BM1343" s="138"/>
      <c r="BN1343" s="138"/>
      <c r="BO1343" s="138"/>
    </row>
    <row r="1344" spans="1:67" ht="22.5" customHeight="1" x14ac:dyDescent="0.2">
      <c r="A1344" s="167">
        <v>334</v>
      </c>
      <c r="B1344" s="168" t="s">
        <v>1800</v>
      </c>
      <c r="C1344" s="169"/>
      <c r="D1344" s="250" t="s">
        <v>107</v>
      </c>
      <c r="E1344" s="170"/>
      <c r="F1344" s="170"/>
      <c r="G1344" s="170"/>
      <c r="H1344" s="170" t="s">
        <v>1303</v>
      </c>
      <c r="I1344" s="171" t="s">
        <v>1801</v>
      </c>
      <c r="J1344" s="172" t="s">
        <v>980</v>
      </c>
      <c r="K1344" s="173">
        <f>K1350*20%</f>
        <v>1400</v>
      </c>
      <c r="L1344" s="174" t="s">
        <v>111</v>
      </c>
      <c r="M1344" s="175" t="s">
        <v>1802</v>
      </c>
      <c r="AV1344" s="138"/>
      <c r="AW1344" s="138"/>
      <c r="AX1344" s="138"/>
      <c r="AY1344" s="138"/>
      <c r="AZ1344" s="138"/>
      <c r="BA1344" s="138"/>
      <c r="BB1344" s="138"/>
      <c r="BC1344" s="138"/>
      <c r="BD1344" s="138"/>
      <c r="BE1344" s="138"/>
      <c r="BF1344" s="138"/>
      <c r="BG1344" s="138"/>
      <c r="BH1344" s="138"/>
      <c r="BI1344" s="138"/>
      <c r="BJ1344" s="138"/>
      <c r="BK1344" s="138"/>
      <c r="BL1344" s="138"/>
      <c r="BM1344" s="138"/>
      <c r="BN1344" s="138"/>
      <c r="BO1344" s="138"/>
    </row>
    <row r="1345" spans="1:67" ht="22.5" customHeight="1" x14ac:dyDescent="0.2">
      <c r="A1345" s="177"/>
      <c r="B1345" s="178"/>
      <c r="C1345" s="179"/>
      <c r="D1345" s="243"/>
      <c r="E1345" s="180"/>
      <c r="F1345" s="180"/>
      <c r="G1345" s="180"/>
      <c r="H1345" s="180"/>
      <c r="I1345" s="181" t="s">
        <v>1803</v>
      </c>
      <c r="J1345" s="182" t="s">
        <v>980</v>
      </c>
      <c r="K1345" s="183">
        <f>K1350*5%</f>
        <v>350</v>
      </c>
      <c r="L1345" s="184"/>
      <c r="M1345" s="185"/>
      <c r="AV1345" s="138"/>
      <c r="AW1345" s="138"/>
      <c r="AX1345" s="138"/>
      <c r="AY1345" s="138"/>
      <c r="AZ1345" s="138"/>
      <c r="BA1345" s="138"/>
      <c r="BB1345" s="138"/>
      <c r="BC1345" s="138"/>
      <c r="BD1345" s="138"/>
      <c r="BE1345" s="138"/>
      <c r="BF1345" s="138"/>
      <c r="BG1345" s="138"/>
      <c r="BH1345" s="138"/>
      <c r="BI1345" s="138"/>
      <c r="BJ1345" s="138"/>
      <c r="BK1345" s="138"/>
      <c r="BL1345" s="138"/>
      <c r="BM1345" s="138"/>
      <c r="BN1345" s="138"/>
      <c r="BO1345" s="138"/>
    </row>
    <row r="1346" spans="1:67" ht="22.5" customHeight="1" x14ac:dyDescent="0.2">
      <c r="A1346" s="177"/>
      <c r="B1346" s="178"/>
      <c r="C1346" s="179"/>
      <c r="D1346" s="243"/>
      <c r="E1346" s="180"/>
      <c r="F1346" s="180"/>
      <c r="G1346" s="180"/>
      <c r="H1346" s="180"/>
      <c r="I1346" s="181" t="s">
        <v>1798</v>
      </c>
      <c r="J1346" s="172" t="s">
        <v>252</v>
      </c>
      <c r="K1346" s="229">
        <f>K1350*5%</f>
        <v>350</v>
      </c>
      <c r="L1346" s="184"/>
      <c r="M1346" s="185"/>
      <c r="AV1346" s="138"/>
      <c r="AW1346" s="138"/>
      <c r="AX1346" s="138"/>
      <c r="AY1346" s="138"/>
      <c r="AZ1346" s="138"/>
      <c r="BA1346" s="138"/>
      <c r="BB1346" s="138"/>
      <c r="BC1346" s="138"/>
      <c r="BD1346" s="138"/>
      <c r="BE1346" s="138"/>
      <c r="BF1346" s="138"/>
      <c r="BG1346" s="138"/>
      <c r="BH1346" s="138"/>
      <c r="BI1346" s="138"/>
      <c r="BJ1346" s="138"/>
      <c r="BK1346" s="138"/>
      <c r="BL1346" s="138"/>
      <c r="BM1346" s="138"/>
      <c r="BN1346" s="138"/>
      <c r="BO1346" s="138"/>
    </row>
    <row r="1347" spans="1:67" ht="22.5" customHeight="1" x14ac:dyDescent="0.2">
      <c r="A1347" s="177"/>
      <c r="B1347" s="178"/>
      <c r="C1347" s="179"/>
      <c r="D1347" s="243"/>
      <c r="E1347" s="180"/>
      <c r="F1347" s="180"/>
      <c r="G1347" s="180"/>
      <c r="H1347" s="180"/>
      <c r="I1347" s="181" t="s">
        <v>1804</v>
      </c>
      <c r="J1347" s="182" t="s">
        <v>252</v>
      </c>
      <c r="K1347" s="202">
        <f>K1350*5%</f>
        <v>350</v>
      </c>
      <c r="L1347" s="184"/>
      <c r="M1347" s="185"/>
      <c r="AV1347" s="138"/>
      <c r="AW1347" s="138"/>
      <c r="AX1347" s="138"/>
      <c r="AY1347" s="138"/>
      <c r="AZ1347" s="138"/>
      <c r="BA1347" s="138"/>
      <c r="BB1347" s="138"/>
      <c r="BC1347" s="138"/>
      <c r="BD1347" s="138"/>
      <c r="BE1347" s="138"/>
      <c r="BF1347" s="138"/>
      <c r="BG1347" s="138"/>
      <c r="BH1347" s="138"/>
      <c r="BI1347" s="138"/>
      <c r="BJ1347" s="138"/>
      <c r="BK1347" s="138"/>
      <c r="BL1347" s="138"/>
      <c r="BM1347" s="138"/>
      <c r="BN1347" s="138"/>
      <c r="BO1347" s="138"/>
    </row>
    <row r="1348" spans="1:67" ht="22.5" customHeight="1" x14ac:dyDescent="0.2">
      <c r="A1348" s="177"/>
      <c r="B1348" s="178"/>
      <c r="C1348" s="179"/>
      <c r="D1348" s="243"/>
      <c r="E1348" s="180"/>
      <c r="F1348" s="180"/>
      <c r="G1348" s="180"/>
      <c r="H1348" s="180"/>
      <c r="I1348" s="188" t="s">
        <v>1805</v>
      </c>
      <c r="J1348" s="172" t="s">
        <v>980</v>
      </c>
      <c r="K1348" s="186">
        <f>K1350*60%</f>
        <v>4200</v>
      </c>
      <c r="L1348" s="184"/>
      <c r="M1348" s="185"/>
      <c r="AV1348" s="138"/>
      <c r="AW1348" s="138"/>
      <c r="AX1348" s="138"/>
      <c r="AY1348" s="138"/>
      <c r="AZ1348" s="138"/>
      <c r="BA1348" s="138"/>
      <c r="BB1348" s="138"/>
      <c r="BC1348" s="138"/>
      <c r="BD1348" s="138"/>
      <c r="BE1348" s="138"/>
      <c r="BF1348" s="138"/>
      <c r="BG1348" s="138"/>
      <c r="BH1348" s="138"/>
      <c r="BI1348" s="138"/>
      <c r="BJ1348" s="138"/>
      <c r="BK1348" s="138"/>
      <c r="BL1348" s="138"/>
      <c r="BM1348" s="138"/>
      <c r="BN1348" s="138"/>
      <c r="BO1348" s="138"/>
    </row>
    <row r="1349" spans="1:67" ht="22.5" customHeight="1" x14ac:dyDescent="0.2">
      <c r="A1349" s="177"/>
      <c r="B1349" s="178"/>
      <c r="C1349" s="179"/>
      <c r="D1349" s="243"/>
      <c r="E1349" s="180"/>
      <c r="F1349" s="180"/>
      <c r="G1349" s="180"/>
      <c r="H1349" s="180"/>
      <c r="I1349" s="171" t="s">
        <v>1806</v>
      </c>
      <c r="J1349" s="187" t="s">
        <v>636</v>
      </c>
      <c r="K1349" s="208">
        <f>K1350*5%</f>
        <v>350</v>
      </c>
      <c r="L1349" s="184"/>
      <c r="M1349" s="185"/>
      <c r="AV1349" s="138"/>
      <c r="AW1349" s="138"/>
      <c r="AX1349" s="138"/>
      <c r="AY1349" s="138"/>
      <c r="AZ1349" s="138"/>
      <c r="BA1349" s="138"/>
      <c r="BB1349" s="138"/>
      <c r="BC1349" s="138"/>
      <c r="BD1349" s="138"/>
      <c r="BE1349" s="138"/>
      <c r="BF1349" s="138"/>
      <c r="BG1349" s="138"/>
      <c r="BH1349" s="138"/>
      <c r="BI1349" s="138"/>
      <c r="BJ1349" s="138"/>
      <c r="BK1349" s="138"/>
      <c r="BL1349" s="138"/>
      <c r="BM1349" s="138"/>
      <c r="BN1349" s="138"/>
      <c r="BO1349" s="138"/>
    </row>
    <row r="1350" spans="1:67" ht="22.5" customHeight="1" x14ac:dyDescent="0.2">
      <c r="A1350" s="189"/>
      <c r="B1350" s="190"/>
      <c r="C1350" s="191"/>
      <c r="D1350" s="244"/>
      <c r="E1350" s="192"/>
      <c r="F1350" s="192"/>
      <c r="G1350" s="192"/>
      <c r="H1350" s="192"/>
      <c r="I1350" s="203"/>
      <c r="J1350" s="194"/>
      <c r="K1350" s="209">
        <v>7000</v>
      </c>
      <c r="L1350" s="196"/>
      <c r="M1350" s="197"/>
      <c r="AV1350" s="138"/>
      <c r="AW1350" s="138"/>
      <c r="AX1350" s="138"/>
      <c r="AY1350" s="138"/>
      <c r="AZ1350" s="138"/>
      <c r="BA1350" s="138"/>
      <c r="BB1350" s="138"/>
      <c r="BC1350" s="138"/>
      <c r="BD1350" s="138"/>
      <c r="BE1350" s="138"/>
      <c r="BF1350" s="138"/>
      <c r="BG1350" s="138"/>
      <c r="BH1350" s="138"/>
      <c r="BI1350" s="138"/>
      <c r="BJ1350" s="138"/>
      <c r="BK1350" s="138"/>
      <c r="BL1350" s="138"/>
      <c r="BM1350" s="138"/>
      <c r="BN1350" s="138"/>
      <c r="BO1350" s="138"/>
    </row>
    <row r="1351" spans="1:67" ht="23.25" customHeight="1" x14ac:dyDescent="0.2">
      <c r="A1351" s="167">
        <v>335</v>
      </c>
      <c r="B1351" s="168" t="s">
        <v>1807</v>
      </c>
      <c r="C1351" s="169"/>
      <c r="D1351" s="250" t="s">
        <v>107</v>
      </c>
      <c r="E1351" s="170"/>
      <c r="F1351" s="170"/>
      <c r="G1351" s="170"/>
      <c r="H1351" s="170" t="s">
        <v>108</v>
      </c>
      <c r="I1351" s="217" t="s">
        <v>1808</v>
      </c>
      <c r="J1351" s="172" t="s">
        <v>980</v>
      </c>
      <c r="K1351" s="173">
        <f>K1355*70%</f>
        <v>6300</v>
      </c>
      <c r="L1351" s="174" t="s">
        <v>111</v>
      </c>
      <c r="M1351" s="175" t="s">
        <v>1809</v>
      </c>
      <c r="AV1351" s="138"/>
      <c r="AW1351" s="138"/>
      <c r="AX1351" s="138"/>
      <c r="AY1351" s="138"/>
      <c r="AZ1351" s="138"/>
      <c r="BA1351" s="138"/>
      <c r="BB1351" s="138"/>
      <c r="BC1351" s="138"/>
      <c r="BD1351" s="138"/>
      <c r="BE1351" s="138"/>
      <c r="BF1351" s="138"/>
      <c r="BG1351" s="138"/>
      <c r="BH1351" s="138"/>
      <c r="BI1351" s="138"/>
      <c r="BJ1351" s="138"/>
      <c r="BK1351" s="138"/>
      <c r="BL1351" s="138"/>
      <c r="BM1351" s="138"/>
      <c r="BN1351" s="138"/>
      <c r="BO1351" s="138"/>
    </row>
    <row r="1352" spans="1:67" ht="23.25" customHeight="1" x14ac:dyDescent="0.2">
      <c r="A1352" s="177"/>
      <c r="B1352" s="178"/>
      <c r="C1352" s="179"/>
      <c r="D1352" s="243"/>
      <c r="E1352" s="180"/>
      <c r="F1352" s="180"/>
      <c r="G1352" s="180"/>
      <c r="H1352" s="180"/>
      <c r="I1352" s="188" t="s">
        <v>1810</v>
      </c>
      <c r="J1352" s="182" t="s">
        <v>980</v>
      </c>
      <c r="K1352" s="208">
        <f>K1355*10%</f>
        <v>900</v>
      </c>
      <c r="L1352" s="184"/>
      <c r="M1352" s="185"/>
      <c r="AV1352" s="138"/>
      <c r="AW1352" s="138"/>
      <c r="AX1352" s="138"/>
      <c r="AY1352" s="138"/>
      <c r="AZ1352" s="138"/>
      <c r="BA1352" s="138"/>
      <c r="BB1352" s="138"/>
      <c r="BC1352" s="138"/>
      <c r="BD1352" s="138"/>
      <c r="BE1352" s="138"/>
      <c r="BF1352" s="138"/>
      <c r="BG1352" s="138"/>
      <c r="BH1352" s="138"/>
      <c r="BI1352" s="138"/>
      <c r="BJ1352" s="138"/>
      <c r="BK1352" s="138"/>
      <c r="BL1352" s="138"/>
      <c r="BM1352" s="138"/>
      <c r="BN1352" s="138"/>
      <c r="BO1352" s="138"/>
    </row>
    <row r="1353" spans="1:67" ht="23.25" customHeight="1" x14ac:dyDescent="0.2">
      <c r="A1353" s="177"/>
      <c r="B1353" s="178"/>
      <c r="C1353" s="179"/>
      <c r="D1353" s="243"/>
      <c r="E1353" s="180"/>
      <c r="F1353" s="180"/>
      <c r="G1353" s="180"/>
      <c r="H1353" s="180"/>
      <c r="I1353" s="188" t="s">
        <v>1811</v>
      </c>
      <c r="J1353" s="182" t="s">
        <v>980</v>
      </c>
      <c r="K1353" s="208">
        <f>K1355*10%</f>
        <v>900</v>
      </c>
      <c r="L1353" s="184"/>
      <c r="M1353" s="185"/>
      <c r="AV1353" s="138"/>
      <c r="AW1353" s="138"/>
      <c r="AX1353" s="138"/>
      <c r="AY1353" s="138"/>
      <c r="AZ1353" s="138"/>
      <c r="BA1353" s="138"/>
      <c r="BB1353" s="138"/>
      <c r="BC1353" s="138"/>
      <c r="BD1353" s="138"/>
      <c r="BE1353" s="138"/>
      <c r="BF1353" s="138"/>
      <c r="BG1353" s="138"/>
      <c r="BH1353" s="138"/>
      <c r="BI1353" s="138"/>
      <c r="BJ1353" s="138"/>
      <c r="BK1353" s="138"/>
      <c r="BL1353" s="138"/>
      <c r="BM1353" s="138"/>
      <c r="BN1353" s="138"/>
      <c r="BO1353" s="138"/>
    </row>
    <row r="1354" spans="1:67" ht="23.25" customHeight="1" x14ac:dyDescent="0.2">
      <c r="A1354" s="177"/>
      <c r="B1354" s="178"/>
      <c r="C1354" s="179"/>
      <c r="D1354" s="243"/>
      <c r="E1354" s="180"/>
      <c r="F1354" s="180"/>
      <c r="G1354" s="180"/>
      <c r="H1354" s="180"/>
      <c r="I1354" s="171" t="s">
        <v>1812</v>
      </c>
      <c r="J1354" s="172" t="s">
        <v>636</v>
      </c>
      <c r="K1354" s="202">
        <f>K1355*10%</f>
        <v>900</v>
      </c>
      <c r="L1354" s="184"/>
      <c r="M1354" s="185"/>
      <c r="AV1354" s="138"/>
      <c r="AW1354" s="138"/>
      <c r="AX1354" s="138"/>
      <c r="AY1354" s="138"/>
      <c r="AZ1354" s="138"/>
      <c r="BA1354" s="138"/>
      <c r="BB1354" s="138"/>
      <c r="BC1354" s="138"/>
      <c r="BD1354" s="138"/>
      <c r="BE1354" s="138"/>
      <c r="BF1354" s="138"/>
      <c r="BG1354" s="138"/>
      <c r="BH1354" s="138"/>
      <c r="BI1354" s="138"/>
      <c r="BJ1354" s="138"/>
      <c r="BK1354" s="138"/>
      <c r="BL1354" s="138"/>
      <c r="BM1354" s="138"/>
      <c r="BN1354" s="138"/>
      <c r="BO1354" s="138"/>
    </row>
    <row r="1355" spans="1:67" ht="23.25" customHeight="1" x14ac:dyDescent="0.2">
      <c r="A1355" s="189"/>
      <c r="B1355" s="190"/>
      <c r="C1355" s="191"/>
      <c r="D1355" s="244"/>
      <c r="E1355" s="192"/>
      <c r="F1355" s="192"/>
      <c r="G1355" s="192"/>
      <c r="H1355" s="192"/>
      <c r="I1355" s="203"/>
      <c r="J1355" s="194"/>
      <c r="K1355" s="195">
        <v>9000</v>
      </c>
      <c r="L1355" s="196"/>
      <c r="M1355" s="197"/>
      <c r="AV1355" s="138"/>
      <c r="AW1355" s="138"/>
      <c r="AX1355" s="138"/>
      <c r="AY1355" s="138"/>
      <c r="AZ1355" s="138"/>
      <c r="BA1355" s="138"/>
      <c r="BB1355" s="138"/>
      <c r="BC1355" s="138"/>
      <c r="BD1355" s="138"/>
      <c r="BE1355" s="138"/>
      <c r="BF1355" s="138"/>
      <c r="BG1355" s="138"/>
      <c r="BH1355" s="138"/>
      <c r="BI1355" s="138"/>
      <c r="BJ1355" s="138"/>
      <c r="BK1355" s="138"/>
      <c r="BL1355" s="138"/>
      <c r="BM1355" s="138"/>
      <c r="BN1355" s="138"/>
      <c r="BO1355" s="138"/>
    </row>
    <row r="1356" spans="1:67" s="267" customFormat="1" ht="42" customHeight="1" x14ac:dyDescent="0.2">
      <c r="A1356" s="323">
        <v>336</v>
      </c>
      <c r="B1356" s="402" t="s">
        <v>1813</v>
      </c>
      <c r="C1356" s="403"/>
      <c r="D1356" s="295" t="s">
        <v>107</v>
      </c>
      <c r="E1356" s="295"/>
      <c r="F1356" s="295"/>
      <c r="G1356" s="295"/>
      <c r="H1356" s="295"/>
      <c r="I1356" s="280" t="s">
        <v>1687</v>
      </c>
      <c r="J1356" s="281" t="s">
        <v>636</v>
      </c>
      <c r="K1356" s="282">
        <v>60000</v>
      </c>
      <c r="L1356" s="293" t="s">
        <v>111</v>
      </c>
      <c r="M1356" s="259" t="s">
        <v>1814</v>
      </c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  <c r="Z1356" s="138"/>
      <c r="AA1356" s="138"/>
      <c r="AB1356" s="138"/>
      <c r="AC1356" s="138"/>
      <c r="AD1356" s="138"/>
      <c r="AE1356" s="138"/>
      <c r="AF1356" s="138"/>
      <c r="AG1356" s="138"/>
      <c r="AH1356" s="138"/>
      <c r="AI1356" s="138"/>
      <c r="AJ1356" s="138"/>
      <c r="AK1356" s="138"/>
      <c r="AL1356" s="138"/>
      <c r="AM1356" s="138"/>
      <c r="AN1356" s="138"/>
      <c r="AO1356" s="138"/>
      <c r="AP1356" s="138"/>
      <c r="AQ1356" s="138"/>
      <c r="AR1356" s="138"/>
      <c r="AS1356" s="138"/>
      <c r="AT1356" s="138"/>
      <c r="AU1356" s="138"/>
      <c r="AV1356" s="138"/>
      <c r="AW1356" s="138"/>
      <c r="AX1356" s="138"/>
      <c r="AY1356" s="138"/>
      <c r="AZ1356" s="138"/>
      <c r="BA1356" s="138"/>
      <c r="BB1356" s="138"/>
      <c r="BC1356" s="138"/>
      <c r="BD1356" s="138"/>
      <c r="BE1356" s="138"/>
      <c r="BF1356" s="138"/>
      <c r="BG1356" s="138"/>
      <c r="BH1356" s="138"/>
      <c r="BI1356" s="138"/>
      <c r="BJ1356" s="138"/>
      <c r="BK1356" s="138"/>
      <c r="BL1356" s="138"/>
      <c r="BM1356" s="138"/>
      <c r="BN1356" s="138"/>
      <c r="BO1356" s="138"/>
    </row>
    <row r="1357" spans="1:67" s="267" customFormat="1" ht="88.5" customHeight="1" x14ac:dyDescent="0.2">
      <c r="A1357" s="231">
        <v>337</v>
      </c>
      <c r="B1357" s="298" t="s">
        <v>1815</v>
      </c>
      <c r="C1357" s="299"/>
      <c r="D1357" s="295" t="s">
        <v>107</v>
      </c>
      <c r="E1357" s="295"/>
      <c r="F1357" s="295"/>
      <c r="G1357" s="295"/>
      <c r="H1357" s="295"/>
      <c r="I1357" s="280" t="s">
        <v>1816</v>
      </c>
      <c r="J1357" s="281" t="s">
        <v>636</v>
      </c>
      <c r="K1357" s="282">
        <v>30000</v>
      </c>
      <c r="L1357" s="293" t="s">
        <v>111</v>
      </c>
      <c r="M1357" s="259" t="s">
        <v>1817</v>
      </c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  <c r="Z1357" s="138"/>
      <c r="AA1357" s="138"/>
      <c r="AB1357" s="138"/>
      <c r="AC1357" s="138"/>
      <c r="AD1357" s="138"/>
      <c r="AE1357" s="138"/>
      <c r="AF1357" s="138"/>
      <c r="AG1357" s="138"/>
      <c r="AH1357" s="138"/>
      <c r="AI1357" s="138"/>
      <c r="AJ1357" s="138"/>
      <c r="AK1357" s="138"/>
      <c r="AL1357" s="138"/>
      <c r="AM1357" s="138"/>
      <c r="AN1357" s="138"/>
      <c r="AO1357" s="138"/>
      <c r="AP1357" s="138"/>
      <c r="AQ1357" s="138"/>
      <c r="AR1357" s="138"/>
      <c r="AS1357" s="138"/>
      <c r="AT1357" s="138"/>
      <c r="AU1357" s="138"/>
      <c r="AV1357" s="138"/>
      <c r="AW1357" s="138"/>
      <c r="AX1357" s="138"/>
      <c r="AY1357" s="138"/>
      <c r="AZ1357" s="138"/>
      <c r="BA1357" s="138"/>
      <c r="BB1357" s="138"/>
      <c r="BC1357" s="138"/>
      <c r="BD1357" s="138"/>
      <c r="BE1357" s="138"/>
      <c r="BF1357" s="138"/>
      <c r="BG1357" s="138"/>
      <c r="BH1357" s="138"/>
      <c r="BI1357" s="138"/>
      <c r="BJ1357" s="138"/>
      <c r="BK1357" s="138"/>
      <c r="BL1357" s="138"/>
      <c r="BM1357" s="138"/>
      <c r="BN1357" s="138"/>
      <c r="BO1357" s="138"/>
    </row>
    <row r="1358" spans="1:67" s="267" customFormat="1" ht="23.25" customHeight="1" x14ac:dyDescent="0.2">
      <c r="A1358" s="167">
        <v>338</v>
      </c>
      <c r="B1358" s="301" t="s">
        <v>1818</v>
      </c>
      <c r="C1358" s="302"/>
      <c r="D1358" s="170" t="s">
        <v>107</v>
      </c>
      <c r="E1358" s="170"/>
      <c r="F1358" s="170"/>
      <c r="G1358" s="170"/>
      <c r="H1358" s="170"/>
      <c r="I1358" s="274" t="s">
        <v>1819</v>
      </c>
      <c r="J1358" s="275" t="s">
        <v>636</v>
      </c>
      <c r="K1358" s="276">
        <f>60000*50%</f>
        <v>30000</v>
      </c>
      <c r="L1358" s="175" t="s">
        <v>111</v>
      </c>
      <c r="M1358" s="175" t="s">
        <v>1820</v>
      </c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  <c r="Z1358" s="138"/>
      <c r="AA1358" s="138"/>
      <c r="AB1358" s="138"/>
      <c r="AC1358" s="138"/>
      <c r="AD1358" s="138"/>
      <c r="AE1358" s="138"/>
      <c r="AF1358" s="138"/>
      <c r="AG1358" s="138"/>
      <c r="AH1358" s="138"/>
      <c r="AI1358" s="138"/>
      <c r="AJ1358" s="138"/>
      <c r="AK1358" s="138"/>
      <c r="AL1358" s="138"/>
      <c r="AM1358" s="138"/>
      <c r="AN1358" s="138"/>
      <c r="AO1358" s="138"/>
      <c r="AP1358" s="138"/>
      <c r="AQ1358" s="138"/>
      <c r="AR1358" s="138"/>
      <c r="AS1358" s="138"/>
      <c r="AT1358" s="138"/>
      <c r="AU1358" s="138"/>
      <c r="AV1358" s="138"/>
      <c r="AW1358" s="138"/>
      <c r="AX1358" s="138"/>
      <c r="AY1358" s="138"/>
      <c r="AZ1358" s="138"/>
      <c r="BA1358" s="138"/>
      <c r="BB1358" s="138"/>
      <c r="BC1358" s="138"/>
      <c r="BD1358" s="138"/>
      <c r="BE1358" s="138"/>
      <c r="BF1358" s="138"/>
      <c r="BG1358" s="138"/>
      <c r="BH1358" s="138"/>
      <c r="BI1358" s="138"/>
      <c r="BJ1358" s="138"/>
      <c r="BK1358" s="138"/>
      <c r="BL1358" s="138"/>
      <c r="BM1358" s="138"/>
      <c r="BN1358" s="138"/>
      <c r="BO1358" s="138"/>
    </row>
    <row r="1359" spans="1:67" s="267" customFormat="1" ht="23.25" customHeight="1" x14ac:dyDescent="0.2">
      <c r="A1359" s="177"/>
      <c r="B1359" s="286"/>
      <c r="C1359" s="287"/>
      <c r="D1359" s="180"/>
      <c r="E1359" s="180"/>
      <c r="F1359" s="180"/>
      <c r="G1359" s="180"/>
      <c r="H1359" s="180"/>
      <c r="I1359" s="188" t="s">
        <v>870</v>
      </c>
      <c r="J1359" s="270" t="s">
        <v>636</v>
      </c>
      <c r="K1359" s="214">
        <f>60000*30%</f>
        <v>18000</v>
      </c>
      <c r="L1359" s="185"/>
      <c r="M1359" s="185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  <c r="Z1359" s="138"/>
      <c r="AA1359" s="138"/>
      <c r="AB1359" s="138"/>
      <c r="AC1359" s="138"/>
      <c r="AD1359" s="138"/>
      <c r="AE1359" s="138"/>
      <c r="AF1359" s="138"/>
      <c r="AG1359" s="138"/>
      <c r="AH1359" s="138"/>
      <c r="AI1359" s="138"/>
      <c r="AJ1359" s="138"/>
      <c r="AK1359" s="138"/>
      <c r="AL1359" s="138"/>
      <c r="AM1359" s="138"/>
      <c r="AN1359" s="138"/>
      <c r="AO1359" s="138"/>
      <c r="AP1359" s="138"/>
      <c r="AQ1359" s="138"/>
      <c r="AR1359" s="138"/>
      <c r="AS1359" s="138"/>
      <c r="AT1359" s="138"/>
      <c r="AU1359" s="138"/>
      <c r="AV1359" s="138"/>
      <c r="AW1359" s="138"/>
      <c r="AX1359" s="138"/>
      <c r="AY1359" s="138"/>
      <c r="AZ1359" s="138"/>
      <c r="BA1359" s="138"/>
      <c r="BB1359" s="138"/>
      <c r="BC1359" s="138"/>
      <c r="BD1359" s="138"/>
      <c r="BE1359" s="138"/>
      <c r="BF1359" s="138"/>
      <c r="BG1359" s="138"/>
      <c r="BH1359" s="138"/>
      <c r="BI1359" s="138"/>
      <c r="BJ1359" s="138"/>
      <c r="BK1359" s="138"/>
      <c r="BL1359" s="138"/>
      <c r="BM1359" s="138"/>
      <c r="BN1359" s="138"/>
      <c r="BO1359" s="138"/>
    </row>
    <row r="1360" spans="1:67" s="267" customFormat="1" ht="23.25" customHeight="1" x14ac:dyDescent="0.2">
      <c r="A1360" s="177"/>
      <c r="B1360" s="286"/>
      <c r="C1360" s="287"/>
      <c r="D1360" s="180"/>
      <c r="E1360" s="180"/>
      <c r="F1360" s="180"/>
      <c r="G1360" s="180"/>
      <c r="H1360" s="180"/>
      <c r="I1360" s="188" t="s">
        <v>1812</v>
      </c>
      <c r="J1360" s="270" t="s">
        <v>636</v>
      </c>
      <c r="K1360" s="214">
        <f>60000*10%</f>
        <v>6000</v>
      </c>
      <c r="L1360" s="185"/>
      <c r="M1360" s="185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  <c r="Z1360" s="138"/>
      <c r="AA1360" s="138"/>
      <c r="AB1360" s="138"/>
      <c r="AC1360" s="138"/>
      <c r="AD1360" s="138"/>
      <c r="AE1360" s="138"/>
      <c r="AF1360" s="138"/>
      <c r="AG1360" s="138"/>
      <c r="AH1360" s="138"/>
      <c r="AI1360" s="138"/>
      <c r="AJ1360" s="138"/>
      <c r="AK1360" s="138"/>
      <c r="AL1360" s="138"/>
      <c r="AM1360" s="138"/>
      <c r="AN1360" s="138"/>
      <c r="AO1360" s="138"/>
      <c r="AP1360" s="138"/>
      <c r="AQ1360" s="138"/>
      <c r="AR1360" s="138"/>
      <c r="AS1360" s="138"/>
      <c r="AT1360" s="138"/>
      <c r="AU1360" s="138"/>
      <c r="AV1360" s="138"/>
      <c r="AW1360" s="138"/>
      <c r="AX1360" s="138"/>
      <c r="AY1360" s="138"/>
      <c r="AZ1360" s="138"/>
      <c r="BA1360" s="138"/>
      <c r="BB1360" s="138"/>
      <c r="BC1360" s="138"/>
      <c r="BD1360" s="138"/>
      <c r="BE1360" s="138"/>
      <c r="BF1360" s="138"/>
      <c r="BG1360" s="138"/>
      <c r="BH1360" s="138"/>
      <c r="BI1360" s="138"/>
      <c r="BJ1360" s="138"/>
      <c r="BK1360" s="138"/>
      <c r="BL1360" s="138"/>
      <c r="BM1360" s="138"/>
      <c r="BN1360" s="138"/>
      <c r="BO1360" s="138"/>
    </row>
    <row r="1361" spans="1:67" s="267" customFormat="1" ht="23.25" customHeight="1" x14ac:dyDescent="0.2">
      <c r="A1361" s="177"/>
      <c r="B1361" s="286"/>
      <c r="C1361" s="287"/>
      <c r="D1361" s="180"/>
      <c r="E1361" s="180"/>
      <c r="F1361" s="180"/>
      <c r="G1361" s="180"/>
      <c r="H1361" s="180"/>
      <c r="I1361" s="188" t="s">
        <v>1821</v>
      </c>
      <c r="J1361" s="270" t="s">
        <v>636</v>
      </c>
      <c r="K1361" s="214">
        <f>60000*10%</f>
        <v>6000</v>
      </c>
      <c r="L1361" s="185"/>
      <c r="M1361" s="185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  <c r="Z1361" s="138"/>
      <c r="AA1361" s="138"/>
      <c r="AB1361" s="138"/>
      <c r="AC1361" s="138"/>
      <c r="AD1361" s="138"/>
      <c r="AE1361" s="138"/>
      <c r="AF1361" s="138"/>
      <c r="AG1361" s="138"/>
      <c r="AH1361" s="138"/>
      <c r="AI1361" s="138"/>
      <c r="AJ1361" s="138"/>
      <c r="AK1361" s="138"/>
      <c r="AL1361" s="138"/>
      <c r="AM1361" s="138"/>
      <c r="AN1361" s="138"/>
      <c r="AO1361" s="138"/>
      <c r="AP1361" s="138"/>
      <c r="AQ1361" s="138"/>
      <c r="AR1361" s="138"/>
      <c r="AS1361" s="138"/>
      <c r="AT1361" s="138"/>
      <c r="AU1361" s="138"/>
      <c r="AV1361" s="138"/>
      <c r="AW1361" s="138"/>
      <c r="AX1361" s="138"/>
      <c r="AY1361" s="138"/>
      <c r="AZ1361" s="138"/>
      <c r="BA1361" s="138"/>
      <c r="BB1361" s="138"/>
      <c r="BC1361" s="138"/>
      <c r="BD1361" s="138"/>
      <c r="BE1361" s="138"/>
      <c r="BF1361" s="138"/>
      <c r="BG1361" s="138"/>
      <c r="BH1361" s="138"/>
      <c r="BI1361" s="138"/>
      <c r="BJ1361" s="138"/>
      <c r="BK1361" s="138"/>
      <c r="BL1361" s="138"/>
      <c r="BM1361" s="138"/>
      <c r="BN1361" s="138"/>
      <c r="BO1361" s="138"/>
    </row>
    <row r="1362" spans="1:67" s="267" customFormat="1" ht="23.25" customHeight="1" x14ac:dyDescent="0.2">
      <c r="A1362" s="189"/>
      <c r="B1362" s="303"/>
      <c r="C1362" s="304"/>
      <c r="D1362" s="192"/>
      <c r="E1362" s="192"/>
      <c r="F1362" s="192"/>
      <c r="G1362" s="192"/>
      <c r="H1362" s="192"/>
      <c r="I1362" s="181"/>
      <c r="J1362" s="305"/>
      <c r="K1362" s="199">
        <f>SUM(K1358:K1361)</f>
        <v>60000</v>
      </c>
      <c r="L1362" s="197"/>
      <c r="M1362" s="197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  <c r="Z1362" s="138"/>
      <c r="AA1362" s="138"/>
      <c r="AB1362" s="138"/>
      <c r="AC1362" s="138"/>
      <c r="AD1362" s="138"/>
      <c r="AE1362" s="138"/>
      <c r="AF1362" s="138"/>
      <c r="AG1362" s="138"/>
      <c r="AH1362" s="138"/>
      <c r="AI1362" s="138"/>
      <c r="AJ1362" s="138"/>
      <c r="AK1362" s="138"/>
      <c r="AL1362" s="138"/>
      <c r="AM1362" s="138"/>
      <c r="AN1362" s="138"/>
      <c r="AO1362" s="138"/>
      <c r="AP1362" s="138"/>
      <c r="AQ1362" s="138"/>
      <c r="AR1362" s="138"/>
      <c r="AS1362" s="138"/>
      <c r="AT1362" s="138"/>
      <c r="AU1362" s="138"/>
      <c r="AV1362" s="138"/>
      <c r="AW1362" s="138"/>
      <c r="AX1362" s="138"/>
      <c r="AY1362" s="138"/>
      <c r="AZ1362" s="138"/>
      <c r="BA1362" s="138"/>
      <c r="BB1362" s="138"/>
      <c r="BC1362" s="138"/>
      <c r="BD1362" s="138"/>
      <c r="BE1362" s="138"/>
      <c r="BF1362" s="138"/>
      <c r="BG1362" s="138"/>
      <c r="BH1362" s="138"/>
      <c r="BI1362" s="138"/>
      <c r="BJ1362" s="138"/>
      <c r="BK1362" s="138"/>
      <c r="BL1362" s="138"/>
      <c r="BM1362" s="138"/>
      <c r="BN1362" s="138"/>
      <c r="BO1362" s="138"/>
    </row>
    <row r="1363" spans="1:67" s="267" customFormat="1" ht="23.25" customHeight="1" x14ac:dyDescent="0.2">
      <c r="A1363" s="167">
        <v>339</v>
      </c>
      <c r="B1363" s="263" t="s">
        <v>1822</v>
      </c>
      <c r="C1363" s="264"/>
      <c r="D1363" s="170" t="s">
        <v>107</v>
      </c>
      <c r="E1363" s="170"/>
      <c r="F1363" s="170"/>
      <c r="G1363" s="170"/>
      <c r="H1363" s="170"/>
      <c r="I1363" s="217" t="s">
        <v>1823</v>
      </c>
      <c r="J1363" s="265" t="s">
        <v>636</v>
      </c>
      <c r="K1363" s="266">
        <f>7000*70%</f>
        <v>4900</v>
      </c>
      <c r="L1363" s="175" t="s">
        <v>111</v>
      </c>
      <c r="M1363" s="175" t="s">
        <v>1824</v>
      </c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  <c r="Z1363" s="138"/>
      <c r="AA1363" s="138"/>
      <c r="AB1363" s="138"/>
      <c r="AC1363" s="138"/>
      <c r="AD1363" s="138"/>
      <c r="AE1363" s="138"/>
      <c r="AF1363" s="138"/>
      <c r="AG1363" s="138"/>
      <c r="AH1363" s="138"/>
      <c r="AI1363" s="138"/>
      <c r="AJ1363" s="138"/>
      <c r="AK1363" s="138"/>
      <c r="AL1363" s="138"/>
      <c r="AM1363" s="138"/>
      <c r="AN1363" s="138"/>
      <c r="AO1363" s="138"/>
      <c r="AP1363" s="138"/>
      <c r="AQ1363" s="138"/>
      <c r="AR1363" s="138"/>
      <c r="AS1363" s="138"/>
      <c r="AT1363" s="138"/>
      <c r="AU1363" s="138"/>
      <c r="AV1363" s="138"/>
      <c r="AW1363" s="138"/>
      <c r="AX1363" s="138"/>
      <c r="AY1363" s="138"/>
      <c r="AZ1363" s="138"/>
      <c r="BA1363" s="138"/>
      <c r="BB1363" s="138"/>
      <c r="BC1363" s="138"/>
      <c r="BD1363" s="138"/>
      <c r="BE1363" s="138"/>
      <c r="BF1363" s="138"/>
      <c r="BG1363" s="138"/>
      <c r="BH1363" s="138"/>
      <c r="BI1363" s="138"/>
      <c r="BJ1363" s="138"/>
      <c r="BK1363" s="138"/>
      <c r="BL1363" s="138"/>
      <c r="BM1363" s="138"/>
      <c r="BN1363" s="138"/>
      <c r="BO1363" s="138"/>
    </row>
    <row r="1364" spans="1:67" s="267" customFormat="1" ht="23.25" customHeight="1" x14ac:dyDescent="0.2">
      <c r="A1364" s="177"/>
      <c r="B1364" s="268"/>
      <c r="C1364" s="269"/>
      <c r="D1364" s="180"/>
      <c r="E1364" s="180"/>
      <c r="F1364" s="180"/>
      <c r="G1364" s="180"/>
      <c r="H1364" s="180"/>
      <c r="I1364" s="188" t="s">
        <v>1825</v>
      </c>
      <c r="J1364" s="270" t="s">
        <v>636</v>
      </c>
      <c r="K1364" s="214">
        <f>7000*10%</f>
        <v>700</v>
      </c>
      <c r="L1364" s="185"/>
      <c r="M1364" s="185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  <c r="Z1364" s="138"/>
      <c r="AA1364" s="138"/>
      <c r="AB1364" s="138"/>
      <c r="AC1364" s="138"/>
      <c r="AD1364" s="138"/>
      <c r="AE1364" s="138"/>
      <c r="AF1364" s="138"/>
      <c r="AG1364" s="138"/>
      <c r="AH1364" s="138"/>
      <c r="AI1364" s="138"/>
      <c r="AJ1364" s="138"/>
      <c r="AK1364" s="138"/>
      <c r="AL1364" s="138"/>
      <c r="AM1364" s="138"/>
      <c r="AN1364" s="138"/>
      <c r="AO1364" s="138"/>
      <c r="AP1364" s="138"/>
      <c r="AQ1364" s="138"/>
      <c r="AR1364" s="138"/>
      <c r="AS1364" s="138"/>
      <c r="AT1364" s="138"/>
      <c r="AU1364" s="138"/>
      <c r="AV1364" s="138"/>
      <c r="AW1364" s="138"/>
      <c r="AX1364" s="138"/>
      <c r="AY1364" s="138"/>
      <c r="AZ1364" s="138"/>
      <c r="BA1364" s="138"/>
      <c r="BB1364" s="138"/>
      <c r="BC1364" s="138"/>
      <c r="BD1364" s="138"/>
      <c r="BE1364" s="138"/>
      <c r="BF1364" s="138"/>
      <c r="BG1364" s="138"/>
      <c r="BH1364" s="138"/>
      <c r="BI1364" s="138"/>
      <c r="BJ1364" s="138"/>
      <c r="BK1364" s="138"/>
      <c r="BL1364" s="138"/>
      <c r="BM1364" s="138"/>
      <c r="BN1364" s="138"/>
      <c r="BO1364" s="138"/>
    </row>
    <row r="1365" spans="1:67" s="267" customFormat="1" ht="23.25" customHeight="1" x14ac:dyDescent="0.2">
      <c r="A1365" s="177"/>
      <c r="B1365" s="268"/>
      <c r="C1365" s="269"/>
      <c r="D1365" s="180"/>
      <c r="E1365" s="180"/>
      <c r="F1365" s="180"/>
      <c r="G1365" s="180"/>
      <c r="H1365" s="180"/>
      <c r="I1365" s="188" t="s">
        <v>1826</v>
      </c>
      <c r="J1365" s="270" t="s">
        <v>636</v>
      </c>
      <c r="K1365" s="214">
        <f t="shared" ref="K1365:K1366" si="26">7000*10%</f>
        <v>700</v>
      </c>
      <c r="L1365" s="185"/>
      <c r="M1365" s="185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  <c r="Z1365" s="138"/>
      <c r="AA1365" s="138"/>
      <c r="AB1365" s="138"/>
      <c r="AC1365" s="138"/>
      <c r="AD1365" s="138"/>
      <c r="AE1365" s="138"/>
      <c r="AF1365" s="138"/>
      <c r="AG1365" s="138"/>
      <c r="AH1365" s="138"/>
      <c r="AI1365" s="138"/>
      <c r="AJ1365" s="138"/>
      <c r="AK1365" s="138"/>
      <c r="AL1365" s="138"/>
      <c r="AM1365" s="138"/>
      <c r="AN1365" s="138"/>
      <c r="AO1365" s="138"/>
      <c r="AP1365" s="138"/>
      <c r="AQ1365" s="138"/>
      <c r="AR1365" s="138"/>
      <c r="AS1365" s="138"/>
      <c r="AT1365" s="138"/>
      <c r="AU1365" s="138"/>
      <c r="AV1365" s="138"/>
      <c r="AW1365" s="138"/>
      <c r="AX1365" s="138"/>
      <c r="AY1365" s="138"/>
      <c r="AZ1365" s="138"/>
      <c r="BA1365" s="138"/>
      <c r="BB1365" s="138"/>
      <c r="BC1365" s="138"/>
      <c r="BD1365" s="138"/>
      <c r="BE1365" s="138"/>
      <c r="BF1365" s="138"/>
      <c r="BG1365" s="138"/>
      <c r="BH1365" s="138"/>
      <c r="BI1365" s="138"/>
      <c r="BJ1365" s="138"/>
      <c r="BK1365" s="138"/>
      <c r="BL1365" s="138"/>
      <c r="BM1365" s="138"/>
      <c r="BN1365" s="138"/>
      <c r="BO1365" s="138"/>
    </row>
    <row r="1366" spans="1:67" s="267" customFormat="1" ht="23.25" customHeight="1" x14ac:dyDescent="0.2">
      <c r="A1366" s="177"/>
      <c r="B1366" s="268"/>
      <c r="C1366" s="269"/>
      <c r="D1366" s="180"/>
      <c r="E1366" s="180"/>
      <c r="F1366" s="180"/>
      <c r="G1366" s="180"/>
      <c r="H1366" s="180"/>
      <c r="I1366" s="188" t="s">
        <v>1827</v>
      </c>
      <c r="J1366" s="270" t="s">
        <v>636</v>
      </c>
      <c r="K1366" s="214">
        <f t="shared" si="26"/>
        <v>700</v>
      </c>
      <c r="L1366" s="185"/>
      <c r="M1366" s="185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  <c r="Z1366" s="138"/>
      <c r="AA1366" s="138"/>
      <c r="AB1366" s="138"/>
      <c r="AC1366" s="138"/>
      <c r="AD1366" s="138"/>
      <c r="AE1366" s="138"/>
      <c r="AF1366" s="138"/>
      <c r="AG1366" s="138"/>
      <c r="AH1366" s="138"/>
      <c r="AI1366" s="138"/>
      <c r="AJ1366" s="138"/>
      <c r="AK1366" s="138"/>
      <c r="AL1366" s="138"/>
      <c r="AM1366" s="138"/>
      <c r="AN1366" s="138"/>
      <c r="AO1366" s="138"/>
      <c r="AP1366" s="138"/>
      <c r="AQ1366" s="138"/>
      <c r="AR1366" s="138"/>
      <c r="AS1366" s="138"/>
      <c r="AT1366" s="138"/>
      <c r="AU1366" s="138"/>
      <c r="AV1366" s="138"/>
      <c r="AW1366" s="138"/>
      <c r="AX1366" s="138"/>
      <c r="AY1366" s="138"/>
      <c r="AZ1366" s="138"/>
      <c r="BA1366" s="138"/>
      <c r="BB1366" s="138"/>
      <c r="BC1366" s="138"/>
      <c r="BD1366" s="138"/>
      <c r="BE1366" s="138"/>
      <c r="BF1366" s="138"/>
      <c r="BG1366" s="138"/>
      <c r="BH1366" s="138"/>
      <c r="BI1366" s="138"/>
      <c r="BJ1366" s="138"/>
      <c r="BK1366" s="138"/>
      <c r="BL1366" s="138"/>
      <c r="BM1366" s="138"/>
      <c r="BN1366" s="138"/>
      <c r="BO1366" s="138"/>
    </row>
    <row r="1367" spans="1:67" s="267" customFormat="1" ht="23.25" customHeight="1" x14ac:dyDescent="0.2">
      <c r="A1367" s="189"/>
      <c r="B1367" s="271"/>
      <c r="C1367" s="272"/>
      <c r="D1367" s="192"/>
      <c r="E1367" s="192"/>
      <c r="F1367" s="192"/>
      <c r="G1367" s="192"/>
      <c r="H1367" s="192"/>
      <c r="I1367" s="203"/>
      <c r="J1367" s="273"/>
      <c r="K1367" s="245">
        <f>SUM(K1363:K1366)</f>
        <v>7000</v>
      </c>
      <c r="L1367" s="197"/>
      <c r="M1367" s="197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  <c r="Z1367" s="138"/>
      <c r="AA1367" s="138"/>
      <c r="AB1367" s="138"/>
      <c r="AC1367" s="138"/>
      <c r="AD1367" s="138"/>
      <c r="AE1367" s="138"/>
      <c r="AF1367" s="138"/>
      <c r="AG1367" s="138"/>
      <c r="AH1367" s="138"/>
      <c r="AI1367" s="138"/>
      <c r="AJ1367" s="138"/>
      <c r="AK1367" s="138"/>
      <c r="AL1367" s="138"/>
      <c r="AM1367" s="138"/>
      <c r="AN1367" s="138"/>
      <c r="AO1367" s="138"/>
      <c r="AP1367" s="138"/>
      <c r="AQ1367" s="138"/>
      <c r="AR1367" s="138"/>
      <c r="AS1367" s="138"/>
      <c r="AT1367" s="138"/>
      <c r="AU1367" s="138"/>
      <c r="AV1367" s="138"/>
      <c r="AW1367" s="138"/>
      <c r="AX1367" s="138"/>
      <c r="AY1367" s="138"/>
      <c r="AZ1367" s="138"/>
      <c r="BA1367" s="138"/>
      <c r="BB1367" s="138"/>
      <c r="BC1367" s="138"/>
      <c r="BD1367" s="138"/>
      <c r="BE1367" s="138"/>
      <c r="BF1367" s="138"/>
      <c r="BG1367" s="138"/>
      <c r="BH1367" s="138"/>
      <c r="BI1367" s="138"/>
      <c r="BJ1367" s="138"/>
      <c r="BK1367" s="138"/>
      <c r="BL1367" s="138"/>
      <c r="BM1367" s="138"/>
      <c r="BN1367" s="138"/>
      <c r="BO1367" s="138"/>
    </row>
    <row r="1368" spans="1:67" s="267" customFormat="1" ht="23.25" customHeight="1" x14ac:dyDescent="0.2">
      <c r="A1368" s="167">
        <v>340</v>
      </c>
      <c r="B1368" s="263" t="s">
        <v>1828</v>
      </c>
      <c r="C1368" s="264"/>
      <c r="D1368" s="170" t="s">
        <v>107</v>
      </c>
      <c r="E1368" s="170"/>
      <c r="F1368" s="170"/>
      <c r="G1368" s="170"/>
      <c r="H1368" s="170"/>
      <c r="I1368" s="274" t="s">
        <v>1829</v>
      </c>
      <c r="J1368" s="275" t="s">
        <v>636</v>
      </c>
      <c r="K1368" s="276">
        <f>9000*70%</f>
        <v>6300</v>
      </c>
      <c r="L1368" s="175" t="s">
        <v>111</v>
      </c>
      <c r="M1368" s="175" t="s">
        <v>1830</v>
      </c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  <c r="Z1368" s="138"/>
      <c r="AA1368" s="138"/>
      <c r="AB1368" s="138"/>
      <c r="AC1368" s="138"/>
      <c r="AD1368" s="138"/>
      <c r="AE1368" s="138"/>
      <c r="AF1368" s="138"/>
      <c r="AG1368" s="138"/>
      <c r="AH1368" s="138"/>
      <c r="AI1368" s="138"/>
      <c r="AJ1368" s="138"/>
      <c r="AK1368" s="138"/>
      <c r="AL1368" s="138"/>
      <c r="AM1368" s="138"/>
      <c r="AN1368" s="138"/>
      <c r="AO1368" s="138"/>
      <c r="AP1368" s="138"/>
      <c r="AQ1368" s="138"/>
      <c r="AR1368" s="138"/>
      <c r="AS1368" s="138"/>
      <c r="AT1368" s="138"/>
      <c r="AU1368" s="138"/>
      <c r="AV1368" s="138"/>
      <c r="AW1368" s="138"/>
      <c r="AX1368" s="138"/>
      <c r="AY1368" s="138"/>
      <c r="AZ1368" s="138"/>
      <c r="BA1368" s="138"/>
      <c r="BB1368" s="138"/>
      <c r="BC1368" s="138"/>
      <c r="BD1368" s="138"/>
      <c r="BE1368" s="138"/>
      <c r="BF1368" s="138"/>
      <c r="BG1368" s="138"/>
      <c r="BH1368" s="138"/>
      <c r="BI1368" s="138"/>
      <c r="BJ1368" s="138"/>
      <c r="BK1368" s="138"/>
      <c r="BL1368" s="138"/>
      <c r="BM1368" s="138"/>
      <c r="BN1368" s="138"/>
      <c r="BO1368" s="138"/>
    </row>
    <row r="1369" spans="1:67" s="267" customFormat="1" ht="23.25" customHeight="1" x14ac:dyDescent="0.2">
      <c r="A1369" s="177"/>
      <c r="B1369" s="268"/>
      <c r="C1369" s="269"/>
      <c r="D1369" s="180"/>
      <c r="E1369" s="180"/>
      <c r="F1369" s="180"/>
      <c r="G1369" s="180"/>
      <c r="H1369" s="180"/>
      <c r="I1369" s="188" t="s">
        <v>1831</v>
      </c>
      <c r="J1369" s="270" t="s">
        <v>636</v>
      </c>
      <c r="K1369" s="214">
        <f>9000*10%</f>
        <v>900</v>
      </c>
      <c r="L1369" s="185"/>
      <c r="M1369" s="185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  <c r="Z1369" s="138"/>
      <c r="AA1369" s="138"/>
      <c r="AB1369" s="138"/>
      <c r="AC1369" s="138"/>
      <c r="AD1369" s="138"/>
      <c r="AE1369" s="138"/>
      <c r="AF1369" s="138"/>
      <c r="AG1369" s="138"/>
      <c r="AH1369" s="138"/>
      <c r="AI1369" s="138"/>
      <c r="AJ1369" s="138"/>
      <c r="AK1369" s="138"/>
      <c r="AL1369" s="138"/>
      <c r="AM1369" s="138"/>
      <c r="AN1369" s="138"/>
      <c r="AO1369" s="138"/>
      <c r="AP1369" s="138"/>
      <c r="AQ1369" s="138"/>
      <c r="AR1369" s="138"/>
      <c r="AS1369" s="138"/>
      <c r="AT1369" s="138"/>
      <c r="AU1369" s="138"/>
      <c r="AV1369" s="138"/>
      <c r="AW1369" s="138"/>
      <c r="AX1369" s="138"/>
      <c r="AY1369" s="138"/>
      <c r="AZ1369" s="138"/>
      <c r="BA1369" s="138"/>
      <c r="BB1369" s="138"/>
      <c r="BC1369" s="138"/>
      <c r="BD1369" s="138"/>
      <c r="BE1369" s="138"/>
      <c r="BF1369" s="138"/>
      <c r="BG1369" s="138"/>
      <c r="BH1369" s="138"/>
      <c r="BI1369" s="138"/>
      <c r="BJ1369" s="138"/>
      <c r="BK1369" s="138"/>
      <c r="BL1369" s="138"/>
      <c r="BM1369" s="138"/>
      <c r="BN1369" s="138"/>
      <c r="BO1369" s="138"/>
    </row>
    <row r="1370" spans="1:67" s="267" customFormat="1" ht="23.25" customHeight="1" x14ac:dyDescent="0.2">
      <c r="A1370" s="177"/>
      <c r="B1370" s="268"/>
      <c r="C1370" s="269"/>
      <c r="D1370" s="180"/>
      <c r="E1370" s="180"/>
      <c r="F1370" s="180"/>
      <c r="G1370" s="180"/>
      <c r="H1370" s="180"/>
      <c r="I1370" s="188" t="s">
        <v>1825</v>
      </c>
      <c r="J1370" s="270" t="s">
        <v>636</v>
      </c>
      <c r="K1370" s="214">
        <f t="shared" ref="K1370:K1371" si="27">9000*10%</f>
        <v>900</v>
      </c>
      <c r="L1370" s="185"/>
      <c r="M1370" s="185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  <c r="Z1370" s="138"/>
      <c r="AA1370" s="138"/>
      <c r="AB1370" s="138"/>
      <c r="AC1370" s="138"/>
      <c r="AD1370" s="138"/>
      <c r="AE1370" s="138"/>
      <c r="AF1370" s="138"/>
      <c r="AG1370" s="138"/>
      <c r="AH1370" s="138"/>
      <c r="AI1370" s="138"/>
      <c r="AJ1370" s="138"/>
      <c r="AK1370" s="138"/>
      <c r="AL1370" s="138"/>
      <c r="AM1370" s="138"/>
      <c r="AN1370" s="138"/>
      <c r="AO1370" s="138"/>
      <c r="AP1370" s="138"/>
      <c r="AQ1370" s="138"/>
      <c r="AR1370" s="138"/>
      <c r="AS1370" s="138"/>
      <c r="AT1370" s="138"/>
      <c r="AU1370" s="138"/>
      <c r="AV1370" s="138"/>
      <c r="AW1370" s="138"/>
      <c r="AX1370" s="138"/>
      <c r="AY1370" s="138"/>
      <c r="AZ1370" s="138"/>
      <c r="BA1370" s="138"/>
      <c r="BB1370" s="138"/>
      <c r="BC1370" s="138"/>
      <c r="BD1370" s="138"/>
      <c r="BE1370" s="138"/>
      <c r="BF1370" s="138"/>
      <c r="BG1370" s="138"/>
      <c r="BH1370" s="138"/>
      <c r="BI1370" s="138"/>
      <c r="BJ1370" s="138"/>
      <c r="BK1370" s="138"/>
      <c r="BL1370" s="138"/>
      <c r="BM1370" s="138"/>
      <c r="BN1370" s="138"/>
      <c r="BO1370" s="138"/>
    </row>
    <row r="1371" spans="1:67" s="267" customFormat="1" ht="23.25" customHeight="1" x14ac:dyDescent="0.2">
      <c r="A1371" s="177"/>
      <c r="B1371" s="268"/>
      <c r="C1371" s="269"/>
      <c r="D1371" s="180"/>
      <c r="E1371" s="180"/>
      <c r="F1371" s="180"/>
      <c r="G1371" s="180"/>
      <c r="H1371" s="180"/>
      <c r="I1371" s="188" t="s">
        <v>1832</v>
      </c>
      <c r="J1371" s="270" t="s">
        <v>636</v>
      </c>
      <c r="K1371" s="214">
        <f t="shared" si="27"/>
        <v>900</v>
      </c>
      <c r="L1371" s="185"/>
      <c r="M1371" s="185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  <c r="Z1371" s="138"/>
      <c r="AA1371" s="138"/>
      <c r="AB1371" s="138"/>
      <c r="AC1371" s="138"/>
      <c r="AD1371" s="138"/>
      <c r="AE1371" s="138"/>
      <c r="AF1371" s="138"/>
      <c r="AG1371" s="138"/>
      <c r="AH1371" s="138"/>
      <c r="AI1371" s="138"/>
      <c r="AJ1371" s="138"/>
      <c r="AK1371" s="138"/>
      <c r="AL1371" s="138"/>
      <c r="AM1371" s="138"/>
      <c r="AN1371" s="138"/>
      <c r="AO1371" s="138"/>
      <c r="AP1371" s="138"/>
      <c r="AQ1371" s="138"/>
      <c r="AR1371" s="138"/>
      <c r="AS1371" s="138"/>
      <c r="AT1371" s="138"/>
      <c r="AU1371" s="138"/>
      <c r="AV1371" s="138"/>
      <c r="AW1371" s="138"/>
      <c r="AX1371" s="138"/>
      <c r="AY1371" s="138"/>
      <c r="AZ1371" s="138"/>
      <c r="BA1371" s="138"/>
      <c r="BB1371" s="138"/>
      <c r="BC1371" s="138"/>
      <c r="BD1371" s="138"/>
      <c r="BE1371" s="138"/>
      <c r="BF1371" s="138"/>
      <c r="BG1371" s="138"/>
      <c r="BH1371" s="138"/>
      <c r="BI1371" s="138"/>
      <c r="BJ1371" s="138"/>
      <c r="BK1371" s="138"/>
      <c r="BL1371" s="138"/>
      <c r="BM1371" s="138"/>
      <c r="BN1371" s="138"/>
      <c r="BO1371" s="138"/>
    </row>
    <row r="1372" spans="1:67" s="267" customFormat="1" ht="23.25" customHeight="1" x14ac:dyDescent="0.2">
      <c r="A1372" s="189"/>
      <c r="B1372" s="271"/>
      <c r="C1372" s="272"/>
      <c r="D1372" s="192"/>
      <c r="E1372" s="192"/>
      <c r="F1372" s="192"/>
      <c r="G1372" s="192"/>
      <c r="H1372" s="192"/>
      <c r="I1372" s="181"/>
      <c r="J1372" s="305"/>
      <c r="K1372" s="199">
        <f>SUM(K1368:K1371)</f>
        <v>9000</v>
      </c>
      <c r="L1372" s="197"/>
      <c r="M1372" s="197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  <c r="Z1372" s="138"/>
      <c r="AA1372" s="138"/>
      <c r="AB1372" s="138"/>
      <c r="AC1372" s="138"/>
      <c r="AD1372" s="138"/>
      <c r="AE1372" s="138"/>
      <c r="AF1372" s="138"/>
      <c r="AG1372" s="138"/>
      <c r="AH1372" s="138"/>
      <c r="AI1372" s="138"/>
      <c r="AJ1372" s="138"/>
      <c r="AK1372" s="138"/>
      <c r="AL1372" s="138"/>
      <c r="AM1372" s="138"/>
      <c r="AN1372" s="138"/>
      <c r="AO1372" s="138"/>
      <c r="AP1372" s="138"/>
      <c r="AQ1372" s="138"/>
      <c r="AR1372" s="138"/>
      <c r="AS1372" s="138"/>
      <c r="AT1372" s="138"/>
      <c r="AU1372" s="138"/>
      <c r="AV1372" s="138"/>
      <c r="AW1372" s="138"/>
      <c r="AX1372" s="138"/>
      <c r="AY1372" s="138"/>
      <c r="AZ1372" s="138"/>
      <c r="BA1372" s="138"/>
      <c r="BB1372" s="138"/>
      <c r="BC1372" s="138"/>
      <c r="BD1372" s="138"/>
      <c r="BE1372" s="138"/>
      <c r="BF1372" s="138"/>
      <c r="BG1372" s="138"/>
      <c r="BH1372" s="138"/>
      <c r="BI1372" s="138"/>
      <c r="BJ1372" s="138"/>
      <c r="BK1372" s="138"/>
      <c r="BL1372" s="138"/>
      <c r="BM1372" s="138"/>
      <c r="BN1372" s="138"/>
      <c r="BO1372" s="138"/>
    </row>
    <row r="1373" spans="1:67" s="267" customFormat="1" ht="23.25" customHeight="1" x14ac:dyDescent="0.2">
      <c r="A1373" s="167">
        <v>341</v>
      </c>
      <c r="B1373" s="263" t="s">
        <v>1833</v>
      </c>
      <c r="C1373" s="264"/>
      <c r="D1373" s="170" t="s">
        <v>107</v>
      </c>
      <c r="E1373" s="170"/>
      <c r="F1373" s="170"/>
      <c r="G1373" s="170"/>
      <c r="H1373" s="170"/>
      <c r="I1373" s="217" t="s">
        <v>1834</v>
      </c>
      <c r="J1373" s="265" t="s">
        <v>636</v>
      </c>
      <c r="K1373" s="266">
        <f>10000*70%</f>
        <v>7000</v>
      </c>
      <c r="L1373" s="175" t="s">
        <v>111</v>
      </c>
      <c r="M1373" s="175" t="s">
        <v>1835</v>
      </c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  <c r="Z1373" s="138"/>
      <c r="AA1373" s="138"/>
      <c r="AB1373" s="138"/>
      <c r="AC1373" s="138"/>
      <c r="AD1373" s="138"/>
      <c r="AE1373" s="138"/>
      <c r="AF1373" s="138"/>
      <c r="AG1373" s="138"/>
      <c r="AH1373" s="138"/>
      <c r="AI1373" s="138"/>
      <c r="AJ1373" s="138"/>
      <c r="AK1373" s="138"/>
      <c r="AL1373" s="138"/>
      <c r="AM1373" s="138"/>
      <c r="AN1373" s="138"/>
      <c r="AO1373" s="138"/>
      <c r="AP1373" s="138"/>
      <c r="AQ1373" s="138"/>
      <c r="AR1373" s="138"/>
      <c r="AS1373" s="138"/>
      <c r="AT1373" s="138"/>
      <c r="AU1373" s="138"/>
      <c r="AV1373" s="138"/>
      <c r="AW1373" s="138"/>
      <c r="AX1373" s="138"/>
      <c r="AY1373" s="138"/>
      <c r="AZ1373" s="138"/>
      <c r="BA1373" s="138"/>
      <c r="BB1373" s="138"/>
      <c r="BC1373" s="138"/>
      <c r="BD1373" s="138"/>
      <c r="BE1373" s="138"/>
      <c r="BF1373" s="138"/>
      <c r="BG1373" s="138"/>
      <c r="BH1373" s="138"/>
      <c r="BI1373" s="138"/>
      <c r="BJ1373" s="138"/>
      <c r="BK1373" s="138"/>
      <c r="BL1373" s="138"/>
      <c r="BM1373" s="138"/>
      <c r="BN1373" s="138"/>
      <c r="BO1373" s="138"/>
    </row>
    <row r="1374" spans="1:67" s="267" customFormat="1" ht="23.25" customHeight="1" x14ac:dyDescent="0.2">
      <c r="A1374" s="177"/>
      <c r="B1374" s="268"/>
      <c r="C1374" s="269"/>
      <c r="D1374" s="180"/>
      <c r="E1374" s="180"/>
      <c r="F1374" s="180"/>
      <c r="G1374" s="180"/>
      <c r="H1374" s="180"/>
      <c r="I1374" s="188" t="s">
        <v>1832</v>
      </c>
      <c r="J1374" s="270" t="s">
        <v>636</v>
      </c>
      <c r="K1374" s="214">
        <f t="shared" ref="K1374:K1376" si="28">10000*10%</f>
        <v>1000</v>
      </c>
      <c r="L1374" s="185"/>
      <c r="M1374" s="185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  <c r="Z1374" s="138"/>
      <c r="AA1374" s="138"/>
      <c r="AB1374" s="138"/>
      <c r="AC1374" s="138"/>
      <c r="AD1374" s="138"/>
      <c r="AE1374" s="138"/>
      <c r="AF1374" s="138"/>
      <c r="AG1374" s="138"/>
      <c r="AH1374" s="138"/>
      <c r="AI1374" s="138"/>
      <c r="AJ1374" s="138"/>
      <c r="AK1374" s="138"/>
      <c r="AL1374" s="138"/>
      <c r="AM1374" s="138"/>
      <c r="AN1374" s="138"/>
      <c r="AO1374" s="138"/>
      <c r="AP1374" s="138"/>
      <c r="AQ1374" s="138"/>
      <c r="AR1374" s="138"/>
      <c r="AS1374" s="138"/>
      <c r="AT1374" s="138"/>
      <c r="AU1374" s="138"/>
      <c r="AV1374" s="138"/>
      <c r="AW1374" s="138"/>
      <c r="AX1374" s="138"/>
      <c r="AY1374" s="138"/>
      <c r="AZ1374" s="138"/>
      <c r="BA1374" s="138"/>
      <c r="BB1374" s="138"/>
      <c r="BC1374" s="138"/>
      <c r="BD1374" s="138"/>
      <c r="BE1374" s="138"/>
      <c r="BF1374" s="138"/>
      <c r="BG1374" s="138"/>
      <c r="BH1374" s="138"/>
      <c r="BI1374" s="138"/>
      <c r="BJ1374" s="138"/>
      <c r="BK1374" s="138"/>
      <c r="BL1374" s="138"/>
      <c r="BM1374" s="138"/>
      <c r="BN1374" s="138"/>
      <c r="BO1374" s="138"/>
    </row>
    <row r="1375" spans="1:67" s="267" customFormat="1" ht="23.25" customHeight="1" x14ac:dyDescent="0.2">
      <c r="A1375" s="177"/>
      <c r="B1375" s="268"/>
      <c r="C1375" s="269"/>
      <c r="D1375" s="180"/>
      <c r="E1375" s="180"/>
      <c r="F1375" s="180"/>
      <c r="G1375" s="180"/>
      <c r="H1375" s="180"/>
      <c r="I1375" s="188" t="s">
        <v>1825</v>
      </c>
      <c r="J1375" s="270" t="s">
        <v>636</v>
      </c>
      <c r="K1375" s="214">
        <f t="shared" si="28"/>
        <v>1000</v>
      </c>
      <c r="L1375" s="185"/>
      <c r="M1375" s="185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  <c r="Z1375" s="138"/>
      <c r="AA1375" s="138"/>
      <c r="AB1375" s="138"/>
      <c r="AC1375" s="138"/>
      <c r="AD1375" s="138"/>
      <c r="AE1375" s="138"/>
      <c r="AF1375" s="138"/>
      <c r="AG1375" s="138"/>
      <c r="AH1375" s="138"/>
      <c r="AI1375" s="138"/>
      <c r="AJ1375" s="138"/>
      <c r="AK1375" s="138"/>
      <c r="AL1375" s="138"/>
      <c r="AM1375" s="138"/>
      <c r="AN1375" s="138"/>
      <c r="AO1375" s="138"/>
      <c r="AP1375" s="138"/>
      <c r="AQ1375" s="138"/>
      <c r="AR1375" s="138"/>
      <c r="AS1375" s="138"/>
      <c r="AT1375" s="138"/>
      <c r="AU1375" s="138"/>
      <c r="AV1375" s="138"/>
      <c r="AW1375" s="138"/>
      <c r="AX1375" s="138"/>
      <c r="AY1375" s="138"/>
      <c r="AZ1375" s="138"/>
      <c r="BA1375" s="138"/>
      <c r="BB1375" s="138"/>
      <c r="BC1375" s="138"/>
      <c r="BD1375" s="138"/>
      <c r="BE1375" s="138"/>
      <c r="BF1375" s="138"/>
      <c r="BG1375" s="138"/>
      <c r="BH1375" s="138"/>
      <c r="BI1375" s="138"/>
      <c r="BJ1375" s="138"/>
      <c r="BK1375" s="138"/>
      <c r="BL1375" s="138"/>
      <c r="BM1375" s="138"/>
      <c r="BN1375" s="138"/>
      <c r="BO1375" s="138"/>
    </row>
    <row r="1376" spans="1:67" s="267" customFormat="1" ht="23.25" customHeight="1" x14ac:dyDescent="0.2">
      <c r="A1376" s="177"/>
      <c r="B1376" s="268"/>
      <c r="C1376" s="269"/>
      <c r="D1376" s="180"/>
      <c r="E1376" s="180"/>
      <c r="F1376" s="180"/>
      <c r="G1376" s="180"/>
      <c r="H1376" s="180"/>
      <c r="I1376" s="188" t="s">
        <v>1827</v>
      </c>
      <c r="J1376" s="270" t="s">
        <v>636</v>
      </c>
      <c r="K1376" s="214">
        <f t="shared" si="28"/>
        <v>1000</v>
      </c>
      <c r="L1376" s="185"/>
      <c r="M1376" s="185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  <c r="Z1376" s="138"/>
      <c r="AA1376" s="138"/>
      <c r="AB1376" s="138"/>
      <c r="AC1376" s="138"/>
      <c r="AD1376" s="138"/>
      <c r="AE1376" s="138"/>
      <c r="AF1376" s="138"/>
      <c r="AG1376" s="138"/>
      <c r="AH1376" s="138"/>
      <c r="AI1376" s="138"/>
      <c r="AJ1376" s="138"/>
      <c r="AK1376" s="138"/>
      <c r="AL1376" s="138"/>
      <c r="AM1376" s="138"/>
      <c r="AN1376" s="138"/>
      <c r="AO1376" s="138"/>
      <c r="AP1376" s="138"/>
      <c r="AQ1376" s="138"/>
      <c r="AR1376" s="138"/>
      <c r="AS1376" s="138"/>
      <c r="AT1376" s="138"/>
      <c r="AU1376" s="138"/>
      <c r="AV1376" s="138"/>
      <c r="AW1376" s="138"/>
      <c r="AX1376" s="138"/>
      <c r="AY1376" s="138"/>
      <c r="AZ1376" s="138"/>
      <c r="BA1376" s="138"/>
      <c r="BB1376" s="138"/>
      <c r="BC1376" s="138"/>
      <c r="BD1376" s="138"/>
      <c r="BE1376" s="138"/>
      <c r="BF1376" s="138"/>
      <c r="BG1376" s="138"/>
      <c r="BH1376" s="138"/>
      <c r="BI1376" s="138"/>
      <c r="BJ1376" s="138"/>
      <c r="BK1376" s="138"/>
      <c r="BL1376" s="138"/>
      <c r="BM1376" s="138"/>
      <c r="BN1376" s="138"/>
      <c r="BO1376" s="138"/>
    </row>
    <row r="1377" spans="1:67" s="267" customFormat="1" ht="23.25" customHeight="1" x14ac:dyDescent="0.2">
      <c r="A1377" s="189"/>
      <c r="B1377" s="271"/>
      <c r="C1377" s="272"/>
      <c r="D1377" s="192"/>
      <c r="E1377" s="192"/>
      <c r="F1377" s="192"/>
      <c r="G1377" s="192"/>
      <c r="H1377" s="192"/>
      <c r="I1377" s="203"/>
      <c r="J1377" s="273"/>
      <c r="K1377" s="245">
        <f>SUM(K1373:K1376)</f>
        <v>10000</v>
      </c>
      <c r="L1377" s="197"/>
      <c r="M1377" s="197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  <c r="Z1377" s="138"/>
      <c r="AA1377" s="138"/>
      <c r="AB1377" s="138"/>
      <c r="AC1377" s="138"/>
      <c r="AD1377" s="138"/>
      <c r="AE1377" s="138"/>
      <c r="AF1377" s="138"/>
      <c r="AG1377" s="138"/>
      <c r="AH1377" s="138"/>
      <c r="AI1377" s="138"/>
      <c r="AJ1377" s="138"/>
      <c r="AK1377" s="138"/>
      <c r="AL1377" s="138"/>
      <c r="AM1377" s="138"/>
      <c r="AN1377" s="138"/>
      <c r="AO1377" s="138"/>
      <c r="AP1377" s="138"/>
      <c r="AQ1377" s="138"/>
      <c r="AR1377" s="138"/>
      <c r="AS1377" s="138"/>
      <c r="AT1377" s="138"/>
      <c r="AU1377" s="138"/>
      <c r="AV1377" s="138"/>
      <c r="AW1377" s="138"/>
      <c r="AX1377" s="138"/>
      <c r="AY1377" s="138"/>
      <c r="AZ1377" s="138"/>
      <c r="BA1377" s="138"/>
      <c r="BB1377" s="138"/>
      <c r="BC1377" s="138"/>
      <c r="BD1377" s="138"/>
      <c r="BE1377" s="138"/>
      <c r="BF1377" s="138"/>
      <c r="BG1377" s="138"/>
      <c r="BH1377" s="138"/>
      <c r="BI1377" s="138"/>
      <c r="BJ1377" s="138"/>
      <c r="BK1377" s="138"/>
      <c r="BL1377" s="138"/>
      <c r="BM1377" s="138"/>
      <c r="BN1377" s="138"/>
      <c r="BO1377" s="138"/>
    </row>
    <row r="1378" spans="1:67" s="267" customFormat="1" ht="23.25" customHeight="1" x14ac:dyDescent="0.2">
      <c r="A1378" s="167">
        <v>342</v>
      </c>
      <c r="B1378" s="301" t="s">
        <v>1836</v>
      </c>
      <c r="C1378" s="302"/>
      <c r="D1378" s="170" t="s">
        <v>107</v>
      </c>
      <c r="E1378" s="170"/>
      <c r="F1378" s="170"/>
      <c r="G1378" s="170"/>
      <c r="H1378" s="170"/>
      <c r="I1378" s="274" t="s">
        <v>1837</v>
      </c>
      <c r="J1378" s="275" t="s">
        <v>636</v>
      </c>
      <c r="K1378" s="276">
        <f>18000*50%</f>
        <v>9000</v>
      </c>
      <c r="L1378" s="175" t="s">
        <v>111</v>
      </c>
      <c r="M1378" s="175" t="s">
        <v>1838</v>
      </c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  <c r="Z1378" s="138"/>
      <c r="AA1378" s="138"/>
      <c r="AB1378" s="138"/>
      <c r="AC1378" s="138"/>
      <c r="AD1378" s="138"/>
      <c r="AE1378" s="138"/>
      <c r="AF1378" s="138"/>
      <c r="AG1378" s="138"/>
      <c r="AH1378" s="138"/>
      <c r="AI1378" s="138"/>
      <c r="AJ1378" s="138"/>
      <c r="AK1378" s="138"/>
      <c r="AL1378" s="138"/>
      <c r="AM1378" s="138"/>
      <c r="AN1378" s="138"/>
      <c r="AO1378" s="138"/>
      <c r="AP1378" s="138"/>
      <c r="AQ1378" s="138"/>
      <c r="AR1378" s="138"/>
      <c r="AS1378" s="138"/>
      <c r="AT1378" s="138"/>
      <c r="AU1378" s="138"/>
      <c r="AV1378" s="138"/>
      <c r="AW1378" s="138"/>
      <c r="AX1378" s="138"/>
      <c r="AY1378" s="138"/>
      <c r="AZ1378" s="138"/>
      <c r="BA1378" s="138"/>
      <c r="BB1378" s="138"/>
      <c r="BC1378" s="138"/>
      <c r="BD1378" s="138"/>
      <c r="BE1378" s="138"/>
      <c r="BF1378" s="138"/>
      <c r="BG1378" s="138"/>
      <c r="BH1378" s="138"/>
      <c r="BI1378" s="138"/>
      <c r="BJ1378" s="138"/>
      <c r="BK1378" s="138"/>
      <c r="BL1378" s="138"/>
      <c r="BM1378" s="138"/>
      <c r="BN1378" s="138"/>
      <c r="BO1378" s="138"/>
    </row>
    <row r="1379" spans="1:67" s="267" customFormat="1" ht="23.25" customHeight="1" x14ac:dyDescent="0.2">
      <c r="A1379" s="177"/>
      <c r="B1379" s="286"/>
      <c r="C1379" s="287"/>
      <c r="D1379" s="180"/>
      <c r="E1379" s="180"/>
      <c r="F1379" s="180"/>
      <c r="G1379" s="180"/>
      <c r="H1379" s="180"/>
      <c r="I1379" s="188" t="s">
        <v>1839</v>
      </c>
      <c r="J1379" s="270" t="s">
        <v>636</v>
      </c>
      <c r="K1379" s="214">
        <f>18000*10%</f>
        <v>1800</v>
      </c>
      <c r="L1379" s="185"/>
      <c r="M1379" s="185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  <c r="Z1379" s="138"/>
      <c r="AA1379" s="138"/>
      <c r="AB1379" s="138"/>
      <c r="AC1379" s="138"/>
      <c r="AD1379" s="138"/>
      <c r="AE1379" s="138"/>
      <c r="AF1379" s="138"/>
      <c r="AG1379" s="138"/>
      <c r="AH1379" s="138"/>
      <c r="AI1379" s="138"/>
      <c r="AJ1379" s="138"/>
      <c r="AK1379" s="138"/>
      <c r="AL1379" s="138"/>
      <c r="AM1379" s="138"/>
      <c r="AN1379" s="138"/>
      <c r="AO1379" s="138"/>
      <c r="AP1379" s="138"/>
      <c r="AQ1379" s="138"/>
      <c r="AR1379" s="138"/>
      <c r="AS1379" s="138"/>
      <c r="AT1379" s="138"/>
      <c r="AU1379" s="138"/>
      <c r="AV1379" s="138"/>
      <c r="AW1379" s="138"/>
      <c r="AX1379" s="138"/>
      <c r="AY1379" s="138"/>
      <c r="AZ1379" s="138"/>
      <c r="BA1379" s="138"/>
      <c r="BB1379" s="138"/>
      <c r="BC1379" s="138"/>
      <c r="BD1379" s="138"/>
      <c r="BE1379" s="138"/>
      <c r="BF1379" s="138"/>
      <c r="BG1379" s="138"/>
      <c r="BH1379" s="138"/>
      <c r="BI1379" s="138"/>
      <c r="BJ1379" s="138"/>
      <c r="BK1379" s="138"/>
      <c r="BL1379" s="138"/>
      <c r="BM1379" s="138"/>
      <c r="BN1379" s="138"/>
      <c r="BO1379" s="138"/>
    </row>
    <row r="1380" spans="1:67" s="267" customFormat="1" ht="23.25" customHeight="1" x14ac:dyDescent="0.2">
      <c r="A1380" s="177"/>
      <c r="B1380" s="286"/>
      <c r="C1380" s="287"/>
      <c r="D1380" s="180"/>
      <c r="E1380" s="180"/>
      <c r="F1380" s="180"/>
      <c r="G1380" s="180"/>
      <c r="H1380" s="180"/>
      <c r="I1380" s="188" t="s">
        <v>1840</v>
      </c>
      <c r="J1380" s="270" t="s">
        <v>636</v>
      </c>
      <c r="K1380" s="214">
        <f t="shared" ref="K1380:K1383" si="29">18000*10%</f>
        <v>1800</v>
      </c>
      <c r="L1380" s="185"/>
      <c r="M1380" s="185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  <c r="Z1380" s="138"/>
      <c r="AA1380" s="138"/>
      <c r="AB1380" s="138"/>
      <c r="AC1380" s="138"/>
      <c r="AD1380" s="138"/>
      <c r="AE1380" s="138"/>
      <c r="AF1380" s="138"/>
      <c r="AG1380" s="138"/>
      <c r="AH1380" s="138"/>
      <c r="AI1380" s="138"/>
      <c r="AJ1380" s="138"/>
      <c r="AK1380" s="138"/>
      <c r="AL1380" s="138"/>
      <c r="AM1380" s="138"/>
      <c r="AN1380" s="138"/>
      <c r="AO1380" s="138"/>
      <c r="AP1380" s="138"/>
      <c r="AQ1380" s="138"/>
      <c r="AR1380" s="138"/>
      <c r="AS1380" s="138"/>
      <c r="AT1380" s="138"/>
      <c r="AU1380" s="138"/>
      <c r="AV1380" s="138"/>
      <c r="AW1380" s="138"/>
      <c r="AX1380" s="138"/>
      <c r="AY1380" s="138"/>
      <c r="AZ1380" s="138"/>
      <c r="BA1380" s="138"/>
      <c r="BB1380" s="138"/>
      <c r="BC1380" s="138"/>
      <c r="BD1380" s="138"/>
      <c r="BE1380" s="138"/>
      <c r="BF1380" s="138"/>
      <c r="BG1380" s="138"/>
      <c r="BH1380" s="138"/>
      <c r="BI1380" s="138"/>
      <c r="BJ1380" s="138"/>
      <c r="BK1380" s="138"/>
      <c r="BL1380" s="138"/>
      <c r="BM1380" s="138"/>
      <c r="BN1380" s="138"/>
      <c r="BO1380" s="138"/>
    </row>
    <row r="1381" spans="1:67" s="267" customFormat="1" ht="23.25" customHeight="1" x14ac:dyDescent="0.2">
      <c r="A1381" s="177"/>
      <c r="B1381" s="286"/>
      <c r="C1381" s="287"/>
      <c r="D1381" s="180"/>
      <c r="E1381" s="180"/>
      <c r="F1381" s="180"/>
      <c r="G1381" s="180"/>
      <c r="H1381" s="180"/>
      <c r="I1381" s="188" t="s">
        <v>1749</v>
      </c>
      <c r="J1381" s="270" t="s">
        <v>636</v>
      </c>
      <c r="K1381" s="214">
        <f t="shared" si="29"/>
        <v>1800</v>
      </c>
      <c r="L1381" s="185"/>
      <c r="M1381" s="185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  <c r="Z1381" s="138"/>
      <c r="AA1381" s="138"/>
      <c r="AB1381" s="138"/>
      <c r="AC1381" s="138"/>
      <c r="AD1381" s="138"/>
      <c r="AE1381" s="138"/>
      <c r="AF1381" s="138"/>
      <c r="AG1381" s="138"/>
      <c r="AH1381" s="138"/>
      <c r="AI1381" s="138"/>
      <c r="AJ1381" s="138"/>
      <c r="AK1381" s="138"/>
      <c r="AL1381" s="138"/>
      <c r="AM1381" s="138"/>
      <c r="AN1381" s="138"/>
      <c r="AO1381" s="138"/>
      <c r="AP1381" s="138"/>
      <c r="AQ1381" s="138"/>
      <c r="AR1381" s="138"/>
      <c r="AS1381" s="138"/>
      <c r="AT1381" s="138"/>
      <c r="AU1381" s="138"/>
      <c r="AV1381" s="138"/>
      <c r="AW1381" s="138"/>
      <c r="AX1381" s="138"/>
      <c r="AY1381" s="138"/>
      <c r="AZ1381" s="138"/>
      <c r="BA1381" s="138"/>
      <c r="BB1381" s="138"/>
      <c r="BC1381" s="138"/>
      <c r="BD1381" s="138"/>
      <c r="BE1381" s="138"/>
      <c r="BF1381" s="138"/>
      <c r="BG1381" s="138"/>
      <c r="BH1381" s="138"/>
      <c r="BI1381" s="138"/>
      <c r="BJ1381" s="138"/>
      <c r="BK1381" s="138"/>
      <c r="BL1381" s="138"/>
      <c r="BM1381" s="138"/>
      <c r="BN1381" s="138"/>
      <c r="BO1381" s="138"/>
    </row>
    <row r="1382" spans="1:67" s="267" customFormat="1" ht="23.25" customHeight="1" x14ac:dyDescent="0.2">
      <c r="A1382" s="177"/>
      <c r="B1382" s="286"/>
      <c r="C1382" s="287"/>
      <c r="D1382" s="180"/>
      <c r="E1382" s="180"/>
      <c r="F1382" s="180"/>
      <c r="G1382" s="180"/>
      <c r="H1382" s="180"/>
      <c r="I1382" s="188" t="s">
        <v>1841</v>
      </c>
      <c r="J1382" s="270" t="s">
        <v>636</v>
      </c>
      <c r="K1382" s="214">
        <f t="shared" si="29"/>
        <v>1800</v>
      </c>
      <c r="L1382" s="185"/>
      <c r="M1382" s="185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  <c r="Z1382" s="138"/>
      <c r="AA1382" s="138"/>
      <c r="AB1382" s="138"/>
      <c r="AC1382" s="138"/>
      <c r="AD1382" s="138"/>
      <c r="AE1382" s="138"/>
      <c r="AF1382" s="138"/>
      <c r="AG1382" s="138"/>
      <c r="AH1382" s="138"/>
      <c r="AI1382" s="138"/>
      <c r="AJ1382" s="138"/>
      <c r="AK1382" s="138"/>
      <c r="AL1382" s="138"/>
      <c r="AM1382" s="138"/>
      <c r="AN1382" s="138"/>
      <c r="AO1382" s="138"/>
      <c r="AP1382" s="138"/>
      <c r="AQ1382" s="138"/>
      <c r="AR1382" s="138"/>
      <c r="AS1382" s="138"/>
      <c r="AT1382" s="138"/>
      <c r="AU1382" s="138"/>
      <c r="AV1382" s="138"/>
      <c r="AW1382" s="138"/>
      <c r="AX1382" s="138"/>
      <c r="AY1382" s="138"/>
      <c r="AZ1382" s="138"/>
      <c r="BA1382" s="138"/>
      <c r="BB1382" s="138"/>
      <c r="BC1382" s="138"/>
      <c r="BD1382" s="138"/>
      <c r="BE1382" s="138"/>
      <c r="BF1382" s="138"/>
      <c r="BG1382" s="138"/>
      <c r="BH1382" s="138"/>
      <c r="BI1382" s="138"/>
      <c r="BJ1382" s="138"/>
      <c r="BK1382" s="138"/>
      <c r="BL1382" s="138"/>
      <c r="BM1382" s="138"/>
      <c r="BN1382" s="138"/>
      <c r="BO1382" s="138"/>
    </row>
    <row r="1383" spans="1:67" s="267" customFormat="1" ht="23.25" customHeight="1" x14ac:dyDescent="0.2">
      <c r="A1383" s="177"/>
      <c r="B1383" s="286"/>
      <c r="C1383" s="287"/>
      <c r="D1383" s="180"/>
      <c r="E1383" s="180"/>
      <c r="F1383" s="180"/>
      <c r="G1383" s="180"/>
      <c r="H1383" s="180"/>
      <c r="I1383" s="188" t="s">
        <v>1842</v>
      </c>
      <c r="J1383" s="270" t="s">
        <v>636</v>
      </c>
      <c r="K1383" s="214">
        <f t="shared" si="29"/>
        <v>1800</v>
      </c>
      <c r="L1383" s="185"/>
      <c r="M1383" s="185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  <c r="Z1383" s="138"/>
      <c r="AA1383" s="138"/>
      <c r="AB1383" s="138"/>
      <c r="AC1383" s="138"/>
      <c r="AD1383" s="138"/>
      <c r="AE1383" s="138"/>
      <c r="AF1383" s="138"/>
      <c r="AG1383" s="138"/>
      <c r="AH1383" s="138"/>
      <c r="AI1383" s="138"/>
      <c r="AJ1383" s="138"/>
      <c r="AK1383" s="138"/>
      <c r="AL1383" s="138"/>
      <c r="AM1383" s="138"/>
      <c r="AN1383" s="138"/>
      <c r="AO1383" s="138"/>
      <c r="AP1383" s="138"/>
      <c r="AQ1383" s="138"/>
      <c r="AR1383" s="138"/>
      <c r="AS1383" s="138"/>
      <c r="AT1383" s="138"/>
      <c r="AU1383" s="138"/>
      <c r="AV1383" s="138"/>
      <c r="AW1383" s="138"/>
      <c r="AX1383" s="138"/>
      <c r="AY1383" s="138"/>
      <c r="AZ1383" s="138"/>
      <c r="BA1383" s="138"/>
      <c r="BB1383" s="138"/>
      <c r="BC1383" s="138"/>
      <c r="BD1383" s="138"/>
      <c r="BE1383" s="138"/>
      <c r="BF1383" s="138"/>
      <c r="BG1383" s="138"/>
      <c r="BH1383" s="138"/>
      <c r="BI1383" s="138"/>
      <c r="BJ1383" s="138"/>
      <c r="BK1383" s="138"/>
      <c r="BL1383" s="138"/>
      <c r="BM1383" s="138"/>
      <c r="BN1383" s="138"/>
      <c r="BO1383" s="138"/>
    </row>
    <row r="1384" spans="1:67" s="267" customFormat="1" ht="23.25" customHeight="1" x14ac:dyDescent="0.2">
      <c r="A1384" s="189"/>
      <c r="B1384" s="303"/>
      <c r="C1384" s="304"/>
      <c r="D1384" s="192"/>
      <c r="E1384" s="192"/>
      <c r="F1384" s="192"/>
      <c r="G1384" s="192"/>
      <c r="H1384" s="192"/>
      <c r="I1384" s="181"/>
      <c r="J1384" s="305"/>
      <c r="K1384" s="199">
        <f>SUM(K1378:K1383)</f>
        <v>18000</v>
      </c>
      <c r="L1384" s="197"/>
      <c r="M1384" s="197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  <c r="Z1384" s="138"/>
      <c r="AA1384" s="138"/>
      <c r="AB1384" s="138"/>
      <c r="AC1384" s="138"/>
      <c r="AD1384" s="138"/>
      <c r="AE1384" s="138"/>
      <c r="AF1384" s="138"/>
      <c r="AG1384" s="138"/>
      <c r="AH1384" s="138"/>
      <c r="AI1384" s="138"/>
      <c r="AJ1384" s="138"/>
      <c r="AK1384" s="138"/>
      <c r="AL1384" s="138"/>
      <c r="AM1384" s="138"/>
      <c r="AN1384" s="138"/>
      <c r="AO1384" s="138"/>
      <c r="AP1384" s="138"/>
      <c r="AQ1384" s="138"/>
      <c r="AR1384" s="138"/>
      <c r="AS1384" s="138"/>
      <c r="AT1384" s="138"/>
      <c r="AU1384" s="138"/>
      <c r="AV1384" s="138"/>
      <c r="AW1384" s="138"/>
      <c r="AX1384" s="138"/>
      <c r="AY1384" s="138"/>
      <c r="AZ1384" s="138"/>
      <c r="BA1384" s="138"/>
      <c r="BB1384" s="138"/>
      <c r="BC1384" s="138"/>
      <c r="BD1384" s="138"/>
      <c r="BE1384" s="138"/>
      <c r="BF1384" s="138"/>
      <c r="BG1384" s="138"/>
      <c r="BH1384" s="138"/>
      <c r="BI1384" s="138"/>
      <c r="BJ1384" s="138"/>
      <c r="BK1384" s="138"/>
      <c r="BL1384" s="138"/>
      <c r="BM1384" s="138"/>
      <c r="BN1384" s="138"/>
      <c r="BO1384" s="138"/>
    </row>
    <row r="1385" spans="1:67" s="267" customFormat="1" ht="23.25" customHeight="1" x14ac:dyDescent="0.2">
      <c r="A1385" s="167">
        <v>343</v>
      </c>
      <c r="B1385" s="263" t="s">
        <v>1843</v>
      </c>
      <c r="C1385" s="264"/>
      <c r="D1385" s="170" t="s">
        <v>107</v>
      </c>
      <c r="E1385" s="170"/>
      <c r="F1385" s="170"/>
      <c r="G1385" s="170"/>
      <c r="H1385" s="170"/>
      <c r="I1385" s="217" t="s">
        <v>1844</v>
      </c>
      <c r="J1385" s="265" t="s">
        <v>636</v>
      </c>
      <c r="K1385" s="266">
        <f>2500*50%</f>
        <v>1250</v>
      </c>
      <c r="L1385" s="175" t="s">
        <v>111</v>
      </c>
      <c r="M1385" s="175" t="s">
        <v>1845</v>
      </c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  <c r="Z1385" s="138"/>
      <c r="AA1385" s="138"/>
      <c r="AB1385" s="138"/>
      <c r="AC1385" s="138"/>
      <c r="AD1385" s="138"/>
      <c r="AE1385" s="138"/>
      <c r="AF1385" s="138"/>
      <c r="AG1385" s="138"/>
      <c r="AH1385" s="138"/>
      <c r="AI1385" s="138"/>
      <c r="AJ1385" s="138"/>
      <c r="AK1385" s="138"/>
      <c r="AL1385" s="138"/>
      <c r="AM1385" s="138"/>
      <c r="AN1385" s="138"/>
      <c r="AO1385" s="138"/>
      <c r="AP1385" s="138"/>
      <c r="AQ1385" s="138"/>
      <c r="AR1385" s="138"/>
      <c r="AS1385" s="138"/>
      <c r="AT1385" s="138"/>
      <c r="AU1385" s="138"/>
      <c r="AV1385" s="138"/>
      <c r="AW1385" s="138"/>
      <c r="AX1385" s="138"/>
      <c r="AY1385" s="138"/>
      <c r="AZ1385" s="138"/>
      <c r="BA1385" s="138"/>
      <c r="BB1385" s="138"/>
      <c r="BC1385" s="138"/>
      <c r="BD1385" s="138"/>
      <c r="BE1385" s="138"/>
      <c r="BF1385" s="138"/>
      <c r="BG1385" s="138"/>
      <c r="BH1385" s="138"/>
      <c r="BI1385" s="138"/>
      <c r="BJ1385" s="138"/>
      <c r="BK1385" s="138"/>
      <c r="BL1385" s="138"/>
      <c r="BM1385" s="138"/>
      <c r="BN1385" s="138"/>
      <c r="BO1385" s="138"/>
    </row>
    <row r="1386" spans="1:67" s="267" customFormat="1" ht="23.25" customHeight="1" x14ac:dyDescent="0.2">
      <c r="A1386" s="177"/>
      <c r="B1386" s="268"/>
      <c r="C1386" s="269"/>
      <c r="D1386" s="180"/>
      <c r="E1386" s="180"/>
      <c r="F1386" s="180"/>
      <c r="G1386" s="180"/>
      <c r="H1386" s="180"/>
      <c r="I1386" s="188" t="s">
        <v>1825</v>
      </c>
      <c r="J1386" s="270" t="s">
        <v>636</v>
      </c>
      <c r="K1386" s="214">
        <f>2500*10%</f>
        <v>250</v>
      </c>
      <c r="L1386" s="185"/>
      <c r="M1386" s="185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  <c r="Z1386" s="138"/>
      <c r="AA1386" s="138"/>
      <c r="AB1386" s="138"/>
      <c r="AC1386" s="138"/>
      <c r="AD1386" s="138"/>
      <c r="AE1386" s="138"/>
      <c r="AF1386" s="138"/>
      <c r="AG1386" s="138"/>
      <c r="AH1386" s="138"/>
      <c r="AI1386" s="138"/>
      <c r="AJ1386" s="138"/>
      <c r="AK1386" s="138"/>
      <c r="AL1386" s="138"/>
      <c r="AM1386" s="138"/>
      <c r="AN1386" s="138"/>
      <c r="AO1386" s="138"/>
      <c r="AP1386" s="138"/>
      <c r="AQ1386" s="138"/>
      <c r="AR1386" s="138"/>
      <c r="AS1386" s="138"/>
      <c r="AT1386" s="138"/>
      <c r="AU1386" s="138"/>
      <c r="AV1386" s="138"/>
      <c r="AW1386" s="138"/>
      <c r="AX1386" s="138"/>
      <c r="AY1386" s="138"/>
      <c r="AZ1386" s="138"/>
      <c r="BA1386" s="138"/>
      <c r="BB1386" s="138"/>
      <c r="BC1386" s="138"/>
      <c r="BD1386" s="138"/>
      <c r="BE1386" s="138"/>
      <c r="BF1386" s="138"/>
      <c r="BG1386" s="138"/>
      <c r="BH1386" s="138"/>
      <c r="BI1386" s="138"/>
      <c r="BJ1386" s="138"/>
      <c r="BK1386" s="138"/>
      <c r="BL1386" s="138"/>
      <c r="BM1386" s="138"/>
      <c r="BN1386" s="138"/>
      <c r="BO1386" s="138"/>
    </row>
    <row r="1387" spans="1:67" s="267" customFormat="1" ht="23.25" customHeight="1" x14ac:dyDescent="0.2">
      <c r="A1387" s="177"/>
      <c r="B1387" s="268"/>
      <c r="C1387" s="269"/>
      <c r="D1387" s="180"/>
      <c r="E1387" s="180"/>
      <c r="F1387" s="180"/>
      <c r="G1387" s="180"/>
      <c r="H1387" s="180"/>
      <c r="I1387" s="188" t="s">
        <v>1826</v>
      </c>
      <c r="J1387" s="270" t="s">
        <v>636</v>
      </c>
      <c r="K1387" s="214">
        <f t="shared" ref="K1387:K1390" si="30">2500*10%</f>
        <v>250</v>
      </c>
      <c r="L1387" s="185"/>
      <c r="M1387" s="185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  <c r="Z1387" s="138"/>
      <c r="AA1387" s="138"/>
      <c r="AB1387" s="138"/>
      <c r="AC1387" s="138"/>
      <c r="AD1387" s="138"/>
      <c r="AE1387" s="138"/>
      <c r="AF1387" s="138"/>
      <c r="AG1387" s="138"/>
      <c r="AH1387" s="138"/>
      <c r="AI1387" s="138"/>
      <c r="AJ1387" s="138"/>
      <c r="AK1387" s="138"/>
      <c r="AL1387" s="138"/>
      <c r="AM1387" s="138"/>
      <c r="AN1387" s="138"/>
      <c r="AO1387" s="138"/>
      <c r="AP1387" s="138"/>
      <c r="AQ1387" s="138"/>
      <c r="AR1387" s="138"/>
      <c r="AS1387" s="138"/>
      <c r="AT1387" s="138"/>
      <c r="AU1387" s="138"/>
      <c r="AV1387" s="138"/>
      <c r="AW1387" s="138"/>
      <c r="AX1387" s="138"/>
      <c r="AY1387" s="138"/>
      <c r="AZ1387" s="138"/>
      <c r="BA1387" s="138"/>
      <c r="BB1387" s="138"/>
      <c r="BC1387" s="138"/>
      <c r="BD1387" s="138"/>
      <c r="BE1387" s="138"/>
      <c r="BF1387" s="138"/>
      <c r="BG1387" s="138"/>
      <c r="BH1387" s="138"/>
      <c r="BI1387" s="138"/>
      <c r="BJ1387" s="138"/>
      <c r="BK1387" s="138"/>
      <c r="BL1387" s="138"/>
      <c r="BM1387" s="138"/>
      <c r="BN1387" s="138"/>
      <c r="BO1387" s="138"/>
    </row>
    <row r="1388" spans="1:67" s="267" customFormat="1" ht="23.25" customHeight="1" x14ac:dyDescent="0.2">
      <c r="A1388" s="177"/>
      <c r="B1388" s="268"/>
      <c r="C1388" s="269"/>
      <c r="D1388" s="180"/>
      <c r="E1388" s="180"/>
      <c r="F1388" s="180"/>
      <c r="G1388" s="180"/>
      <c r="H1388" s="180"/>
      <c r="I1388" s="188" t="s">
        <v>1827</v>
      </c>
      <c r="J1388" s="270" t="s">
        <v>636</v>
      </c>
      <c r="K1388" s="214">
        <f t="shared" si="30"/>
        <v>250</v>
      </c>
      <c r="L1388" s="185"/>
      <c r="M1388" s="185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  <c r="Z1388" s="138"/>
      <c r="AA1388" s="138"/>
      <c r="AB1388" s="138"/>
      <c r="AC1388" s="138"/>
      <c r="AD1388" s="138"/>
      <c r="AE1388" s="138"/>
      <c r="AF1388" s="138"/>
      <c r="AG1388" s="138"/>
      <c r="AH1388" s="138"/>
      <c r="AI1388" s="138"/>
      <c r="AJ1388" s="138"/>
      <c r="AK1388" s="138"/>
      <c r="AL1388" s="138"/>
      <c r="AM1388" s="138"/>
      <c r="AN1388" s="138"/>
      <c r="AO1388" s="138"/>
      <c r="AP1388" s="138"/>
      <c r="AQ1388" s="138"/>
      <c r="AR1388" s="138"/>
      <c r="AS1388" s="138"/>
      <c r="AT1388" s="138"/>
      <c r="AU1388" s="138"/>
      <c r="AV1388" s="138"/>
      <c r="AW1388" s="138"/>
      <c r="AX1388" s="138"/>
      <c r="AY1388" s="138"/>
      <c r="AZ1388" s="138"/>
      <c r="BA1388" s="138"/>
      <c r="BB1388" s="138"/>
      <c r="BC1388" s="138"/>
      <c r="BD1388" s="138"/>
      <c r="BE1388" s="138"/>
      <c r="BF1388" s="138"/>
      <c r="BG1388" s="138"/>
      <c r="BH1388" s="138"/>
      <c r="BI1388" s="138"/>
      <c r="BJ1388" s="138"/>
      <c r="BK1388" s="138"/>
      <c r="BL1388" s="138"/>
      <c r="BM1388" s="138"/>
      <c r="BN1388" s="138"/>
      <c r="BO1388" s="138"/>
    </row>
    <row r="1389" spans="1:67" s="267" customFormat="1" ht="23.25" customHeight="1" x14ac:dyDescent="0.2">
      <c r="A1389" s="177"/>
      <c r="B1389" s="268"/>
      <c r="C1389" s="269"/>
      <c r="D1389" s="180"/>
      <c r="E1389" s="180"/>
      <c r="F1389" s="180"/>
      <c r="G1389" s="180"/>
      <c r="H1389" s="180"/>
      <c r="I1389" s="188" t="s">
        <v>1846</v>
      </c>
      <c r="J1389" s="270" t="s">
        <v>636</v>
      </c>
      <c r="K1389" s="214">
        <f t="shared" si="30"/>
        <v>250</v>
      </c>
      <c r="L1389" s="185"/>
      <c r="M1389" s="185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  <c r="Z1389" s="138"/>
      <c r="AA1389" s="138"/>
      <c r="AB1389" s="138"/>
      <c r="AC1389" s="138"/>
      <c r="AD1389" s="138"/>
      <c r="AE1389" s="138"/>
      <c r="AF1389" s="138"/>
      <c r="AG1389" s="138"/>
      <c r="AH1389" s="138"/>
      <c r="AI1389" s="138"/>
      <c r="AJ1389" s="138"/>
      <c r="AK1389" s="138"/>
      <c r="AL1389" s="138"/>
      <c r="AM1389" s="138"/>
      <c r="AN1389" s="138"/>
      <c r="AO1389" s="138"/>
      <c r="AP1389" s="138"/>
      <c r="AQ1389" s="138"/>
      <c r="AR1389" s="138"/>
      <c r="AS1389" s="138"/>
      <c r="AT1389" s="138"/>
      <c r="AU1389" s="138"/>
      <c r="AV1389" s="138"/>
      <c r="AW1389" s="138"/>
      <c r="AX1389" s="138"/>
      <c r="AY1389" s="138"/>
      <c r="AZ1389" s="138"/>
      <c r="BA1389" s="138"/>
      <c r="BB1389" s="138"/>
      <c r="BC1389" s="138"/>
      <c r="BD1389" s="138"/>
      <c r="BE1389" s="138"/>
      <c r="BF1389" s="138"/>
      <c r="BG1389" s="138"/>
      <c r="BH1389" s="138"/>
      <c r="BI1389" s="138"/>
      <c r="BJ1389" s="138"/>
      <c r="BK1389" s="138"/>
      <c r="BL1389" s="138"/>
      <c r="BM1389" s="138"/>
      <c r="BN1389" s="138"/>
      <c r="BO1389" s="138"/>
    </row>
    <row r="1390" spans="1:67" s="267" customFormat="1" ht="23.25" customHeight="1" x14ac:dyDescent="0.2">
      <c r="A1390" s="177"/>
      <c r="B1390" s="268"/>
      <c r="C1390" s="269"/>
      <c r="D1390" s="180"/>
      <c r="E1390" s="180"/>
      <c r="F1390" s="180"/>
      <c r="G1390" s="180"/>
      <c r="H1390" s="180"/>
      <c r="I1390" s="188" t="s">
        <v>1847</v>
      </c>
      <c r="J1390" s="270" t="s">
        <v>636</v>
      </c>
      <c r="K1390" s="214">
        <f t="shared" si="30"/>
        <v>250</v>
      </c>
      <c r="L1390" s="185"/>
      <c r="M1390" s="185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  <c r="Z1390" s="138"/>
      <c r="AA1390" s="138"/>
      <c r="AB1390" s="138"/>
      <c r="AC1390" s="138"/>
      <c r="AD1390" s="138"/>
      <c r="AE1390" s="138"/>
      <c r="AF1390" s="138"/>
      <c r="AG1390" s="138"/>
      <c r="AH1390" s="138"/>
      <c r="AI1390" s="138"/>
      <c r="AJ1390" s="138"/>
      <c r="AK1390" s="138"/>
      <c r="AL1390" s="138"/>
      <c r="AM1390" s="138"/>
      <c r="AN1390" s="138"/>
      <c r="AO1390" s="138"/>
      <c r="AP1390" s="138"/>
      <c r="AQ1390" s="138"/>
      <c r="AR1390" s="138"/>
      <c r="AS1390" s="138"/>
      <c r="AT1390" s="138"/>
      <c r="AU1390" s="138"/>
      <c r="AV1390" s="138"/>
      <c r="AW1390" s="138"/>
      <c r="AX1390" s="138"/>
      <c r="AY1390" s="138"/>
      <c r="AZ1390" s="138"/>
      <c r="BA1390" s="138"/>
      <c r="BB1390" s="138"/>
      <c r="BC1390" s="138"/>
      <c r="BD1390" s="138"/>
      <c r="BE1390" s="138"/>
      <c r="BF1390" s="138"/>
      <c r="BG1390" s="138"/>
      <c r="BH1390" s="138"/>
      <c r="BI1390" s="138"/>
      <c r="BJ1390" s="138"/>
      <c r="BK1390" s="138"/>
      <c r="BL1390" s="138"/>
      <c r="BM1390" s="138"/>
      <c r="BN1390" s="138"/>
      <c r="BO1390" s="138"/>
    </row>
    <row r="1391" spans="1:67" s="267" customFormat="1" ht="23.25" customHeight="1" x14ac:dyDescent="0.2">
      <c r="A1391" s="189"/>
      <c r="B1391" s="271"/>
      <c r="C1391" s="272"/>
      <c r="D1391" s="192"/>
      <c r="E1391" s="192"/>
      <c r="F1391" s="192"/>
      <c r="G1391" s="192"/>
      <c r="H1391" s="192"/>
      <c r="I1391" s="203"/>
      <c r="J1391" s="273"/>
      <c r="K1391" s="245">
        <f>SUM(K1385:K1390)</f>
        <v>2500</v>
      </c>
      <c r="L1391" s="197"/>
      <c r="M1391" s="197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  <c r="Z1391" s="138"/>
      <c r="AA1391" s="138"/>
      <c r="AB1391" s="138"/>
      <c r="AC1391" s="138"/>
      <c r="AD1391" s="138"/>
      <c r="AE1391" s="138"/>
      <c r="AF1391" s="138"/>
      <c r="AG1391" s="138"/>
      <c r="AH1391" s="138"/>
      <c r="AI1391" s="138"/>
      <c r="AJ1391" s="138"/>
      <c r="AK1391" s="138"/>
      <c r="AL1391" s="138"/>
      <c r="AM1391" s="138"/>
      <c r="AN1391" s="138"/>
      <c r="AO1391" s="138"/>
      <c r="AP1391" s="138"/>
      <c r="AQ1391" s="138"/>
      <c r="AR1391" s="138"/>
      <c r="AS1391" s="138"/>
      <c r="AT1391" s="138"/>
      <c r="AU1391" s="138"/>
      <c r="AV1391" s="138"/>
      <c r="AW1391" s="138"/>
      <c r="AX1391" s="138"/>
      <c r="AY1391" s="138"/>
      <c r="AZ1391" s="138"/>
      <c r="BA1391" s="138"/>
      <c r="BB1391" s="138"/>
      <c r="BC1391" s="138"/>
      <c r="BD1391" s="138"/>
      <c r="BE1391" s="138"/>
      <c r="BF1391" s="138"/>
      <c r="BG1391" s="138"/>
      <c r="BH1391" s="138"/>
      <c r="BI1391" s="138"/>
      <c r="BJ1391" s="138"/>
      <c r="BK1391" s="138"/>
      <c r="BL1391" s="138"/>
      <c r="BM1391" s="138"/>
      <c r="BN1391" s="138"/>
      <c r="BO1391" s="138"/>
    </row>
    <row r="1392" spans="1:67" ht="24" customHeight="1" x14ac:dyDescent="0.2">
      <c r="A1392" s="167">
        <v>344</v>
      </c>
      <c r="B1392" s="168" t="s">
        <v>1848</v>
      </c>
      <c r="C1392" s="169"/>
      <c r="D1392" s="170" t="s">
        <v>107</v>
      </c>
      <c r="E1392" s="170"/>
      <c r="F1392" s="170"/>
      <c r="G1392" s="170"/>
      <c r="H1392" s="170"/>
      <c r="I1392" s="274" t="s">
        <v>1849</v>
      </c>
      <c r="J1392" s="247" t="s">
        <v>989</v>
      </c>
      <c r="K1392" s="206">
        <f>3500*50%</f>
        <v>1750</v>
      </c>
      <c r="L1392" s="174" t="s">
        <v>111</v>
      </c>
      <c r="M1392" s="175" t="s">
        <v>1850</v>
      </c>
      <c r="N1392" s="176"/>
      <c r="AV1392" s="138"/>
      <c r="AW1392" s="138"/>
      <c r="AX1392" s="138"/>
      <c r="AY1392" s="138"/>
      <c r="AZ1392" s="138"/>
      <c r="BA1392" s="138"/>
      <c r="BB1392" s="138"/>
      <c r="BC1392" s="138"/>
      <c r="BD1392" s="138"/>
      <c r="BE1392" s="138"/>
      <c r="BF1392" s="138"/>
      <c r="BG1392" s="138"/>
      <c r="BH1392" s="138"/>
      <c r="BI1392" s="138"/>
      <c r="BJ1392" s="138"/>
      <c r="BK1392" s="138"/>
      <c r="BL1392" s="138"/>
      <c r="BM1392" s="138"/>
      <c r="BN1392" s="138"/>
      <c r="BO1392" s="138"/>
    </row>
    <row r="1393" spans="1:67" x14ac:dyDescent="0.2">
      <c r="A1393" s="177"/>
      <c r="B1393" s="178"/>
      <c r="C1393" s="179"/>
      <c r="D1393" s="180"/>
      <c r="E1393" s="180"/>
      <c r="F1393" s="180"/>
      <c r="G1393" s="180"/>
      <c r="H1393" s="180"/>
      <c r="I1393" s="188" t="s">
        <v>1851</v>
      </c>
      <c r="J1393" s="207" t="s">
        <v>1002</v>
      </c>
      <c r="K1393" s="208">
        <f>3500*10%</f>
        <v>350</v>
      </c>
      <c r="L1393" s="184"/>
      <c r="M1393" s="185"/>
      <c r="AV1393" s="138"/>
      <c r="AW1393" s="138"/>
      <c r="AX1393" s="138"/>
      <c r="AY1393" s="138"/>
      <c r="AZ1393" s="138"/>
      <c r="BA1393" s="138"/>
      <c r="BB1393" s="138"/>
      <c r="BC1393" s="138"/>
      <c r="BD1393" s="138"/>
      <c r="BE1393" s="138"/>
      <c r="BF1393" s="138"/>
      <c r="BG1393" s="138"/>
      <c r="BH1393" s="138"/>
      <c r="BI1393" s="138"/>
      <c r="BJ1393" s="138"/>
      <c r="BK1393" s="138"/>
      <c r="BL1393" s="138"/>
      <c r="BM1393" s="138"/>
      <c r="BN1393" s="138"/>
      <c r="BO1393" s="138"/>
    </row>
    <row r="1394" spans="1:67" x14ac:dyDescent="0.2">
      <c r="A1394" s="177"/>
      <c r="B1394" s="178"/>
      <c r="C1394" s="179"/>
      <c r="D1394" s="180"/>
      <c r="E1394" s="180"/>
      <c r="F1394" s="180"/>
      <c r="G1394" s="180"/>
      <c r="H1394" s="180"/>
      <c r="I1394" s="188" t="s">
        <v>1852</v>
      </c>
      <c r="J1394" s="207" t="s">
        <v>1002</v>
      </c>
      <c r="K1394" s="208">
        <f>3500*10%</f>
        <v>350</v>
      </c>
      <c r="L1394" s="184"/>
      <c r="M1394" s="185"/>
      <c r="N1394" s="176"/>
      <c r="AV1394" s="138"/>
      <c r="AW1394" s="138"/>
      <c r="AX1394" s="138"/>
      <c r="AY1394" s="138"/>
      <c r="AZ1394" s="138"/>
      <c r="BA1394" s="138"/>
      <c r="BB1394" s="138"/>
      <c r="BC1394" s="138"/>
      <c r="BD1394" s="138"/>
      <c r="BE1394" s="138"/>
      <c r="BF1394" s="138"/>
      <c r="BG1394" s="138"/>
      <c r="BH1394" s="138"/>
      <c r="BI1394" s="138"/>
      <c r="BJ1394" s="138"/>
      <c r="BK1394" s="138"/>
      <c r="BL1394" s="138"/>
      <c r="BM1394" s="138"/>
      <c r="BN1394" s="138"/>
      <c r="BO1394" s="138"/>
    </row>
    <row r="1395" spans="1:67" x14ac:dyDescent="0.2">
      <c r="A1395" s="177"/>
      <c r="B1395" s="178"/>
      <c r="C1395" s="179"/>
      <c r="D1395" s="180"/>
      <c r="E1395" s="180"/>
      <c r="F1395" s="180"/>
      <c r="G1395" s="180"/>
      <c r="H1395" s="180"/>
      <c r="I1395" s="188" t="s">
        <v>1853</v>
      </c>
      <c r="J1395" s="207" t="s">
        <v>1002</v>
      </c>
      <c r="K1395" s="208">
        <f>3500*10%</f>
        <v>350</v>
      </c>
      <c r="L1395" s="184"/>
      <c r="M1395" s="185"/>
      <c r="AV1395" s="138"/>
      <c r="AW1395" s="138"/>
      <c r="AX1395" s="138"/>
      <c r="AY1395" s="138"/>
      <c r="AZ1395" s="138"/>
      <c r="BA1395" s="138"/>
      <c r="BB1395" s="138"/>
      <c r="BC1395" s="138"/>
      <c r="BD1395" s="138"/>
      <c r="BE1395" s="138"/>
      <c r="BF1395" s="138"/>
      <c r="BG1395" s="138"/>
      <c r="BH1395" s="138"/>
      <c r="BI1395" s="138"/>
      <c r="BJ1395" s="138"/>
      <c r="BK1395" s="138"/>
      <c r="BL1395" s="138"/>
      <c r="BM1395" s="138"/>
      <c r="BN1395" s="138"/>
      <c r="BO1395" s="138"/>
    </row>
    <row r="1396" spans="1:67" x14ac:dyDescent="0.2">
      <c r="A1396" s="177"/>
      <c r="B1396" s="178"/>
      <c r="C1396" s="179"/>
      <c r="D1396" s="180"/>
      <c r="E1396" s="180"/>
      <c r="F1396" s="180"/>
      <c r="G1396" s="180"/>
      <c r="H1396" s="180"/>
      <c r="I1396" s="188" t="s">
        <v>1854</v>
      </c>
      <c r="J1396" s="207" t="s">
        <v>1002</v>
      </c>
      <c r="K1396" s="208">
        <f>3500*10%</f>
        <v>350</v>
      </c>
      <c r="L1396" s="184"/>
      <c r="M1396" s="185"/>
      <c r="AV1396" s="138"/>
      <c r="AW1396" s="138"/>
      <c r="AX1396" s="138"/>
      <c r="AY1396" s="138"/>
      <c r="AZ1396" s="138"/>
      <c r="BA1396" s="138"/>
      <c r="BB1396" s="138"/>
      <c r="BC1396" s="138"/>
      <c r="BD1396" s="138"/>
      <c r="BE1396" s="138"/>
      <c r="BF1396" s="138"/>
      <c r="BG1396" s="138"/>
      <c r="BH1396" s="138"/>
      <c r="BI1396" s="138"/>
      <c r="BJ1396" s="138"/>
      <c r="BK1396" s="138"/>
      <c r="BL1396" s="138"/>
      <c r="BM1396" s="138"/>
      <c r="BN1396" s="138"/>
      <c r="BO1396" s="138"/>
    </row>
    <row r="1397" spans="1:67" x14ac:dyDescent="0.2">
      <c r="A1397" s="177"/>
      <c r="B1397" s="178"/>
      <c r="C1397" s="179"/>
      <c r="D1397" s="180"/>
      <c r="E1397" s="180"/>
      <c r="F1397" s="180"/>
      <c r="G1397" s="180"/>
      <c r="H1397" s="180"/>
      <c r="I1397" s="188" t="s">
        <v>1855</v>
      </c>
      <c r="J1397" s="207" t="s">
        <v>1002</v>
      </c>
      <c r="K1397" s="208">
        <f>3500*10%</f>
        <v>350</v>
      </c>
      <c r="L1397" s="184"/>
      <c r="M1397" s="185"/>
      <c r="AV1397" s="138"/>
      <c r="AW1397" s="138"/>
      <c r="AX1397" s="138"/>
      <c r="AY1397" s="138"/>
      <c r="AZ1397" s="138"/>
      <c r="BA1397" s="138"/>
      <c r="BB1397" s="138"/>
      <c r="BC1397" s="138"/>
      <c r="BD1397" s="138"/>
      <c r="BE1397" s="138"/>
      <c r="BF1397" s="138"/>
      <c r="BG1397" s="138"/>
      <c r="BH1397" s="138"/>
      <c r="BI1397" s="138"/>
      <c r="BJ1397" s="138"/>
      <c r="BK1397" s="138"/>
      <c r="BL1397" s="138"/>
      <c r="BM1397" s="138"/>
      <c r="BN1397" s="138"/>
      <c r="BO1397" s="138"/>
    </row>
    <row r="1398" spans="1:67" x14ac:dyDescent="0.2">
      <c r="A1398" s="189"/>
      <c r="B1398" s="190"/>
      <c r="C1398" s="191"/>
      <c r="D1398" s="192"/>
      <c r="E1398" s="192"/>
      <c r="F1398" s="192"/>
      <c r="G1398" s="192"/>
      <c r="H1398" s="192"/>
      <c r="I1398" s="203"/>
      <c r="J1398" s="204"/>
      <c r="K1398" s="195">
        <f>SUM(K1392:K1397)</f>
        <v>3500</v>
      </c>
      <c r="L1398" s="196"/>
      <c r="M1398" s="197"/>
      <c r="AV1398" s="138"/>
      <c r="AW1398" s="138"/>
      <c r="AX1398" s="138"/>
      <c r="AY1398" s="138"/>
      <c r="AZ1398" s="138"/>
      <c r="BA1398" s="138"/>
      <c r="BB1398" s="138"/>
      <c r="BC1398" s="138"/>
      <c r="BD1398" s="138"/>
      <c r="BE1398" s="138"/>
      <c r="BF1398" s="138"/>
      <c r="BG1398" s="138"/>
      <c r="BH1398" s="138"/>
      <c r="BI1398" s="138"/>
      <c r="BJ1398" s="138"/>
      <c r="BK1398" s="138"/>
      <c r="BL1398" s="138"/>
      <c r="BM1398" s="138"/>
      <c r="BN1398" s="138"/>
      <c r="BO1398" s="138"/>
    </row>
    <row r="1399" spans="1:67" ht="24" customHeight="1" x14ac:dyDescent="0.2">
      <c r="A1399" s="167">
        <v>345</v>
      </c>
      <c r="B1399" s="168" t="s">
        <v>1856</v>
      </c>
      <c r="C1399" s="169"/>
      <c r="D1399" s="170" t="s">
        <v>107</v>
      </c>
      <c r="E1399" s="170"/>
      <c r="F1399" s="170"/>
      <c r="G1399" s="170"/>
      <c r="H1399" s="170"/>
      <c r="I1399" s="274" t="s">
        <v>1857</v>
      </c>
      <c r="J1399" s="247" t="s">
        <v>989</v>
      </c>
      <c r="K1399" s="206">
        <f>3500*70%</f>
        <v>2450</v>
      </c>
      <c r="L1399" s="174" t="s">
        <v>111</v>
      </c>
      <c r="M1399" s="175" t="s">
        <v>1858</v>
      </c>
      <c r="AV1399" s="138"/>
      <c r="AW1399" s="138"/>
      <c r="AX1399" s="138"/>
      <c r="AY1399" s="138"/>
      <c r="AZ1399" s="138"/>
      <c r="BA1399" s="138"/>
      <c r="BB1399" s="138"/>
      <c r="BC1399" s="138"/>
      <c r="BD1399" s="138"/>
      <c r="BE1399" s="138"/>
      <c r="BF1399" s="138"/>
      <c r="BG1399" s="138"/>
      <c r="BH1399" s="138"/>
      <c r="BI1399" s="138"/>
      <c r="BJ1399" s="138"/>
      <c r="BK1399" s="138"/>
      <c r="BL1399" s="138"/>
      <c r="BM1399" s="138"/>
      <c r="BN1399" s="138"/>
      <c r="BO1399" s="138"/>
    </row>
    <row r="1400" spans="1:67" x14ac:dyDescent="0.2">
      <c r="A1400" s="177"/>
      <c r="B1400" s="178"/>
      <c r="C1400" s="179"/>
      <c r="D1400" s="180"/>
      <c r="E1400" s="180"/>
      <c r="F1400" s="180"/>
      <c r="G1400" s="180"/>
      <c r="H1400" s="180"/>
      <c r="I1400" s="188" t="s">
        <v>1854</v>
      </c>
      <c r="J1400" s="207" t="s">
        <v>1002</v>
      </c>
      <c r="K1400" s="208">
        <f>3500*10%</f>
        <v>350</v>
      </c>
      <c r="L1400" s="184"/>
      <c r="M1400" s="185"/>
      <c r="AV1400" s="138"/>
      <c r="AW1400" s="138"/>
      <c r="AX1400" s="138"/>
      <c r="AY1400" s="138"/>
      <c r="AZ1400" s="138"/>
      <c r="BA1400" s="138"/>
      <c r="BB1400" s="138"/>
      <c r="BC1400" s="138"/>
      <c r="BD1400" s="138"/>
      <c r="BE1400" s="138"/>
      <c r="BF1400" s="138"/>
      <c r="BG1400" s="138"/>
      <c r="BH1400" s="138"/>
      <c r="BI1400" s="138"/>
      <c r="BJ1400" s="138"/>
      <c r="BK1400" s="138"/>
      <c r="BL1400" s="138"/>
      <c r="BM1400" s="138"/>
      <c r="BN1400" s="138"/>
      <c r="BO1400" s="138"/>
    </row>
    <row r="1401" spans="1:67" x14ac:dyDescent="0.2">
      <c r="A1401" s="177"/>
      <c r="B1401" s="178"/>
      <c r="C1401" s="179"/>
      <c r="D1401" s="180"/>
      <c r="E1401" s="180"/>
      <c r="F1401" s="180"/>
      <c r="G1401" s="180"/>
      <c r="H1401" s="180"/>
      <c r="I1401" s="188" t="s">
        <v>1859</v>
      </c>
      <c r="J1401" s="207" t="s">
        <v>1002</v>
      </c>
      <c r="K1401" s="208">
        <f>3500*10%</f>
        <v>350</v>
      </c>
      <c r="L1401" s="184"/>
      <c r="M1401" s="185"/>
      <c r="AV1401" s="138"/>
      <c r="AW1401" s="138"/>
      <c r="AX1401" s="138"/>
      <c r="AY1401" s="138"/>
      <c r="AZ1401" s="138"/>
      <c r="BA1401" s="138"/>
      <c r="BB1401" s="138"/>
      <c r="BC1401" s="138"/>
      <c r="BD1401" s="138"/>
      <c r="BE1401" s="138"/>
      <c r="BF1401" s="138"/>
      <c r="BG1401" s="138"/>
      <c r="BH1401" s="138"/>
      <c r="BI1401" s="138"/>
      <c r="BJ1401" s="138"/>
      <c r="BK1401" s="138"/>
      <c r="BL1401" s="138"/>
      <c r="BM1401" s="138"/>
      <c r="BN1401" s="138"/>
      <c r="BO1401" s="138"/>
    </row>
    <row r="1402" spans="1:67" x14ac:dyDescent="0.2">
      <c r="A1402" s="177"/>
      <c r="B1402" s="178"/>
      <c r="C1402" s="179"/>
      <c r="D1402" s="180"/>
      <c r="E1402" s="180"/>
      <c r="F1402" s="180"/>
      <c r="G1402" s="180"/>
      <c r="H1402" s="180"/>
      <c r="I1402" s="188" t="s">
        <v>1860</v>
      </c>
      <c r="J1402" s="207" t="s">
        <v>1002</v>
      </c>
      <c r="K1402" s="208">
        <f>3500*10%</f>
        <v>350</v>
      </c>
      <c r="L1402" s="184"/>
      <c r="M1402" s="185"/>
      <c r="AV1402" s="138"/>
      <c r="AW1402" s="138"/>
      <c r="AX1402" s="138"/>
      <c r="AY1402" s="138"/>
      <c r="AZ1402" s="138"/>
      <c r="BA1402" s="138"/>
      <c r="BB1402" s="138"/>
      <c r="BC1402" s="138"/>
      <c r="BD1402" s="138"/>
      <c r="BE1402" s="138"/>
      <c r="BF1402" s="138"/>
      <c r="BG1402" s="138"/>
      <c r="BH1402" s="138"/>
      <c r="BI1402" s="138"/>
      <c r="BJ1402" s="138"/>
      <c r="BK1402" s="138"/>
      <c r="BL1402" s="138"/>
      <c r="BM1402" s="138"/>
      <c r="BN1402" s="138"/>
      <c r="BO1402" s="138"/>
    </row>
    <row r="1403" spans="1:67" x14ac:dyDescent="0.2">
      <c r="A1403" s="189"/>
      <c r="B1403" s="190"/>
      <c r="C1403" s="191"/>
      <c r="D1403" s="192"/>
      <c r="E1403" s="192"/>
      <c r="F1403" s="192"/>
      <c r="G1403" s="192"/>
      <c r="H1403" s="192"/>
      <c r="I1403" s="203"/>
      <c r="J1403" s="204"/>
      <c r="K1403" s="195">
        <f>SUM(K1399:K1402)</f>
        <v>3500</v>
      </c>
      <c r="L1403" s="196"/>
      <c r="M1403" s="197"/>
      <c r="AV1403" s="138"/>
      <c r="AW1403" s="138"/>
      <c r="AX1403" s="138"/>
      <c r="AY1403" s="138"/>
      <c r="AZ1403" s="138"/>
      <c r="BA1403" s="138"/>
      <c r="BB1403" s="138"/>
      <c r="BC1403" s="138"/>
      <c r="BD1403" s="138"/>
      <c r="BE1403" s="138"/>
      <c r="BF1403" s="138"/>
      <c r="BG1403" s="138"/>
      <c r="BH1403" s="138"/>
      <c r="BI1403" s="138"/>
      <c r="BJ1403" s="138"/>
      <c r="BK1403" s="138"/>
      <c r="BL1403" s="138"/>
      <c r="BM1403" s="138"/>
      <c r="BN1403" s="138"/>
      <c r="BO1403" s="138"/>
    </row>
    <row r="1404" spans="1:67" ht="24.75" customHeight="1" x14ac:dyDescent="0.2">
      <c r="A1404" s="167">
        <v>346</v>
      </c>
      <c r="B1404" s="168" t="s">
        <v>1861</v>
      </c>
      <c r="C1404" s="169"/>
      <c r="D1404" s="170" t="s">
        <v>107</v>
      </c>
      <c r="E1404" s="170"/>
      <c r="F1404" s="170"/>
      <c r="G1404" s="170"/>
      <c r="H1404" s="170"/>
      <c r="I1404" s="274" t="s">
        <v>1862</v>
      </c>
      <c r="J1404" s="247" t="s">
        <v>989</v>
      </c>
      <c r="K1404" s="206">
        <f>4000*40%</f>
        <v>1600</v>
      </c>
      <c r="L1404" s="174" t="s">
        <v>111</v>
      </c>
      <c r="M1404" s="175" t="s">
        <v>1863</v>
      </c>
      <c r="AV1404" s="138"/>
      <c r="AW1404" s="138"/>
      <c r="AX1404" s="138"/>
      <c r="AY1404" s="138"/>
      <c r="AZ1404" s="138"/>
      <c r="BA1404" s="138"/>
      <c r="BB1404" s="138"/>
      <c r="BC1404" s="138"/>
      <c r="BD1404" s="138"/>
      <c r="BE1404" s="138"/>
      <c r="BF1404" s="138"/>
      <c r="BG1404" s="138"/>
      <c r="BH1404" s="138"/>
      <c r="BI1404" s="138"/>
      <c r="BJ1404" s="138"/>
      <c r="BK1404" s="138"/>
      <c r="BL1404" s="138"/>
      <c r="BM1404" s="138"/>
      <c r="BN1404" s="138"/>
      <c r="BO1404" s="138"/>
    </row>
    <row r="1405" spans="1:67" x14ac:dyDescent="0.2">
      <c r="A1405" s="177"/>
      <c r="B1405" s="178"/>
      <c r="C1405" s="179"/>
      <c r="D1405" s="180"/>
      <c r="E1405" s="180"/>
      <c r="F1405" s="180"/>
      <c r="G1405" s="180"/>
      <c r="H1405" s="180"/>
      <c r="I1405" s="188" t="s">
        <v>1864</v>
      </c>
      <c r="J1405" s="207" t="s">
        <v>1002</v>
      </c>
      <c r="K1405" s="208">
        <f>4000*15%</f>
        <v>600</v>
      </c>
      <c r="L1405" s="184"/>
      <c r="M1405" s="185"/>
      <c r="AV1405" s="138"/>
      <c r="AW1405" s="138"/>
      <c r="AX1405" s="138"/>
      <c r="AY1405" s="138"/>
      <c r="AZ1405" s="138"/>
      <c r="BA1405" s="138"/>
      <c r="BB1405" s="138"/>
      <c r="BC1405" s="138"/>
      <c r="BD1405" s="138"/>
      <c r="BE1405" s="138"/>
      <c r="BF1405" s="138"/>
      <c r="BG1405" s="138"/>
      <c r="BH1405" s="138"/>
      <c r="BI1405" s="138"/>
      <c r="BJ1405" s="138"/>
      <c r="BK1405" s="138"/>
      <c r="BL1405" s="138"/>
      <c r="BM1405" s="138"/>
      <c r="BN1405" s="138"/>
      <c r="BO1405" s="138"/>
    </row>
    <row r="1406" spans="1:67" x14ac:dyDescent="0.2">
      <c r="A1406" s="177"/>
      <c r="B1406" s="178"/>
      <c r="C1406" s="179"/>
      <c r="D1406" s="180"/>
      <c r="E1406" s="180"/>
      <c r="F1406" s="180"/>
      <c r="G1406" s="180"/>
      <c r="H1406" s="180"/>
      <c r="I1406" s="188" t="s">
        <v>1865</v>
      </c>
      <c r="J1406" s="207" t="s">
        <v>1002</v>
      </c>
      <c r="K1406" s="208">
        <f>4000*10%</f>
        <v>400</v>
      </c>
      <c r="L1406" s="184"/>
      <c r="M1406" s="185"/>
      <c r="AV1406" s="138"/>
      <c r="AW1406" s="138"/>
      <c r="AX1406" s="138"/>
      <c r="AY1406" s="138"/>
      <c r="AZ1406" s="138"/>
      <c r="BA1406" s="138"/>
      <c r="BB1406" s="138"/>
      <c r="BC1406" s="138"/>
      <c r="BD1406" s="138"/>
      <c r="BE1406" s="138"/>
      <c r="BF1406" s="138"/>
      <c r="BG1406" s="138"/>
      <c r="BH1406" s="138"/>
      <c r="BI1406" s="138"/>
      <c r="BJ1406" s="138"/>
      <c r="BK1406" s="138"/>
      <c r="BL1406" s="138"/>
      <c r="BM1406" s="138"/>
      <c r="BN1406" s="138"/>
      <c r="BO1406" s="138"/>
    </row>
    <row r="1407" spans="1:67" x14ac:dyDescent="0.2">
      <c r="A1407" s="177"/>
      <c r="B1407" s="178"/>
      <c r="C1407" s="179"/>
      <c r="D1407" s="180"/>
      <c r="E1407" s="180"/>
      <c r="F1407" s="180"/>
      <c r="G1407" s="180"/>
      <c r="H1407" s="180"/>
      <c r="I1407" s="188" t="s">
        <v>1866</v>
      </c>
      <c r="J1407" s="207" t="s">
        <v>1002</v>
      </c>
      <c r="K1407" s="208">
        <f>4000*10%</f>
        <v>400</v>
      </c>
      <c r="L1407" s="184"/>
      <c r="M1407" s="185"/>
      <c r="AV1407" s="138"/>
      <c r="AW1407" s="138"/>
      <c r="AX1407" s="138"/>
      <c r="AY1407" s="138"/>
      <c r="AZ1407" s="138"/>
      <c r="BA1407" s="138"/>
      <c r="BB1407" s="138"/>
      <c r="BC1407" s="138"/>
      <c r="BD1407" s="138"/>
      <c r="BE1407" s="138"/>
      <c r="BF1407" s="138"/>
      <c r="BG1407" s="138"/>
      <c r="BH1407" s="138"/>
      <c r="BI1407" s="138"/>
      <c r="BJ1407" s="138"/>
      <c r="BK1407" s="138"/>
      <c r="BL1407" s="138"/>
      <c r="BM1407" s="138"/>
      <c r="BN1407" s="138"/>
      <c r="BO1407" s="138"/>
    </row>
    <row r="1408" spans="1:67" x14ac:dyDescent="0.2">
      <c r="A1408" s="177"/>
      <c r="B1408" s="178"/>
      <c r="C1408" s="179"/>
      <c r="D1408" s="180"/>
      <c r="E1408" s="180"/>
      <c r="F1408" s="180"/>
      <c r="G1408" s="180"/>
      <c r="H1408" s="180"/>
      <c r="I1408" s="188" t="s">
        <v>1867</v>
      </c>
      <c r="J1408" s="207" t="s">
        <v>1002</v>
      </c>
      <c r="K1408" s="208">
        <f>4000*10%</f>
        <v>400</v>
      </c>
      <c r="L1408" s="184"/>
      <c r="M1408" s="185"/>
      <c r="AV1408" s="138"/>
      <c r="AW1408" s="138"/>
      <c r="AX1408" s="138"/>
      <c r="AY1408" s="138"/>
      <c r="AZ1408" s="138"/>
      <c r="BA1408" s="138"/>
      <c r="BB1408" s="138"/>
      <c r="BC1408" s="138"/>
      <c r="BD1408" s="138"/>
      <c r="BE1408" s="138"/>
      <c r="BF1408" s="138"/>
      <c r="BG1408" s="138"/>
      <c r="BH1408" s="138"/>
      <c r="BI1408" s="138"/>
      <c r="BJ1408" s="138"/>
      <c r="BK1408" s="138"/>
      <c r="BL1408" s="138"/>
      <c r="BM1408" s="138"/>
      <c r="BN1408" s="138"/>
      <c r="BO1408" s="138"/>
    </row>
    <row r="1409" spans="1:67" x14ac:dyDescent="0.2">
      <c r="A1409" s="177"/>
      <c r="B1409" s="178"/>
      <c r="C1409" s="179"/>
      <c r="D1409" s="180"/>
      <c r="E1409" s="180"/>
      <c r="F1409" s="180"/>
      <c r="G1409" s="180"/>
      <c r="H1409" s="180"/>
      <c r="I1409" s="188" t="s">
        <v>1868</v>
      </c>
      <c r="J1409" s="207" t="s">
        <v>1002</v>
      </c>
      <c r="K1409" s="208">
        <f>4000*5%</f>
        <v>200</v>
      </c>
      <c r="L1409" s="184"/>
      <c r="M1409" s="185"/>
      <c r="AV1409" s="138"/>
      <c r="AW1409" s="138"/>
      <c r="AX1409" s="138"/>
      <c r="AY1409" s="138"/>
      <c r="AZ1409" s="138"/>
      <c r="BA1409" s="138"/>
      <c r="BB1409" s="138"/>
      <c r="BC1409" s="138"/>
      <c r="BD1409" s="138"/>
      <c r="BE1409" s="138"/>
      <c r="BF1409" s="138"/>
      <c r="BG1409" s="138"/>
      <c r="BH1409" s="138"/>
      <c r="BI1409" s="138"/>
      <c r="BJ1409" s="138"/>
      <c r="BK1409" s="138"/>
      <c r="BL1409" s="138"/>
      <c r="BM1409" s="138"/>
      <c r="BN1409" s="138"/>
      <c r="BO1409" s="138"/>
    </row>
    <row r="1410" spans="1:67" x14ac:dyDescent="0.2">
      <c r="A1410" s="177"/>
      <c r="B1410" s="178"/>
      <c r="C1410" s="179"/>
      <c r="D1410" s="180"/>
      <c r="E1410" s="180"/>
      <c r="F1410" s="180"/>
      <c r="G1410" s="180"/>
      <c r="H1410" s="180"/>
      <c r="I1410" s="188" t="s">
        <v>1869</v>
      </c>
      <c r="J1410" s="207" t="s">
        <v>1002</v>
      </c>
      <c r="K1410" s="208">
        <f>4000*5%</f>
        <v>200</v>
      </c>
      <c r="L1410" s="184"/>
      <c r="M1410" s="185"/>
      <c r="AV1410" s="138"/>
      <c r="AW1410" s="138"/>
      <c r="AX1410" s="138"/>
      <c r="AY1410" s="138"/>
      <c r="AZ1410" s="138"/>
      <c r="BA1410" s="138"/>
      <c r="BB1410" s="138"/>
      <c r="BC1410" s="138"/>
      <c r="BD1410" s="138"/>
      <c r="BE1410" s="138"/>
      <c r="BF1410" s="138"/>
      <c r="BG1410" s="138"/>
      <c r="BH1410" s="138"/>
      <c r="BI1410" s="138"/>
      <c r="BJ1410" s="138"/>
      <c r="BK1410" s="138"/>
      <c r="BL1410" s="138"/>
      <c r="BM1410" s="138"/>
      <c r="BN1410" s="138"/>
      <c r="BO1410" s="138"/>
    </row>
    <row r="1411" spans="1:67" x14ac:dyDescent="0.2">
      <c r="A1411" s="177"/>
      <c r="B1411" s="178"/>
      <c r="C1411" s="179"/>
      <c r="D1411" s="180"/>
      <c r="E1411" s="180"/>
      <c r="F1411" s="180"/>
      <c r="G1411" s="180"/>
      <c r="H1411" s="180"/>
      <c r="I1411" s="188" t="s">
        <v>1870</v>
      </c>
      <c r="J1411" s="207" t="s">
        <v>1002</v>
      </c>
      <c r="K1411" s="208">
        <f>4000*5%</f>
        <v>200</v>
      </c>
      <c r="L1411" s="184"/>
      <c r="M1411" s="185"/>
      <c r="AV1411" s="138"/>
      <c r="AW1411" s="138"/>
      <c r="AX1411" s="138"/>
      <c r="AY1411" s="138"/>
      <c r="AZ1411" s="138"/>
      <c r="BA1411" s="138"/>
      <c r="BB1411" s="138"/>
      <c r="BC1411" s="138"/>
      <c r="BD1411" s="138"/>
      <c r="BE1411" s="138"/>
      <c r="BF1411" s="138"/>
      <c r="BG1411" s="138"/>
      <c r="BH1411" s="138"/>
      <c r="BI1411" s="138"/>
      <c r="BJ1411" s="138"/>
      <c r="BK1411" s="138"/>
      <c r="BL1411" s="138"/>
      <c r="BM1411" s="138"/>
      <c r="BN1411" s="138"/>
      <c r="BO1411" s="138"/>
    </row>
    <row r="1412" spans="1:67" x14ac:dyDescent="0.2">
      <c r="A1412" s="189"/>
      <c r="B1412" s="190"/>
      <c r="C1412" s="191"/>
      <c r="D1412" s="192"/>
      <c r="E1412" s="192"/>
      <c r="F1412" s="192"/>
      <c r="G1412" s="192"/>
      <c r="H1412" s="192"/>
      <c r="I1412" s="203"/>
      <c r="J1412" s="204"/>
      <c r="K1412" s="195">
        <f>SUM(K1404:K1411)</f>
        <v>4000</v>
      </c>
      <c r="L1412" s="196"/>
      <c r="M1412" s="197"/>
      <c r="AV1412" s="138"/>
      <c r="AW1412" s="138"/>
      <c r="AX1412" s="138"/>
      <c r="AY1412" s="138"/>
      <c r="AZ1412" s="138"/>
      <c r="BA1412" s="138"/>
      <c r="BB1412" s="138"/>
      <c r="BC1412" s="138"/>
      <c r="BD1412" s="138"/>
      <c r="BE1412" s="138"/>
      <c r="BF1412" s="138"/>
      <c r="BG1412" s="138"/>
      <c r="BH1412" s="138"/>
      <c r="BI1412" s="138"/>
      <c r="BJ1412" s="138"/>
      <c r="BK1412" s="138"/>
      <c r="BL1412" s="138"/>
      <c r="BM1412" s="138"/>
      <c r="BN1412" s="138"/>
      <c r="BO1412" s="138"/>
    </row>
    <row r="1413" spans="1:67" ht="23.25" customHeight="1" x14ac:dyDescent="0.2">
      <c r="A1413" s="167">
        <v>347</v>
      </c>
      <c r="B1413" s="168" t="s">
        <v>1871</v>
      </c>
      <c r="C1413" s="169"/>
      <c r="D1413" s="170" t="s">
        <v>107</v>
      </c>
      <c r="E1413" s="170"/>
      <c r="F1413" s="170"/>
      <c r="G1413" s="170"/>
      <c r="H1413" s="170" t="s">
        <v>137</v>
      </c>
      <c r="I1413" s="274" t="s">
        <v>1872</v>
      </c>
      <c r="J1413" s="247" t="s">
        <v>989</v>
      </c>
      <c r="K1413" s="206">
        <f>3500*20%</f>
        <v>700</v>
      </c>
      <c r="L1413" s="174" t="s">
        <v>111</v>
      </c>
      <c r="M1413" s="175" t="s">
        <v>1873</v>
      </c>
      <c r="AV1413" s="138"/>
      <c r="AW1413" s="138"/>
      <c r="AX1413" s="138"/>
      <c r="AY1413" s="138"/>
      <c r="AZ1413" s="138"/>
      <c r="BA1413" s="138"/>
      <c r="BB1413" s="138"/>
      <c r="BC1413" s="138"/>
      <c r="BD1413" s="138"/>
      <c r="BE1413" s="138"/>
      <c r="BF1413" s="138"/>
      <c r="BG1413" s="138"/>
      <c r="BH1413" s="138"/>
      <c r="BI1413" s="138"/>
      <c r="BJ1413" s="138"/>
      <c r="BK1413" s="138"/>
      <c r="BL1413" s="138"/>
      <c r="BM1413" s="138"/>
      <c r="BN1413" s="138"/>
      <c r="BO1413" s="138"/>
    </row>
    <row r="1414" spans="1:67" x14ac:dyDescent="0.2">
      <c r="A1414" s="177"/>
      <c r="B1414" s="178"/>
      <c r="C1414" s="179"/>
      <c r="D1414" s="180"/>
      <c r="E1414" s="180"/>
      <c r="F1414" s="180"/>
      <c r="G1414" s="180"/>
      <c r="H1414" s="180"/>
      <c r="I1414" s="188" t="s">
        <v>1874</v>
      </c>
      <c r="J1414" s="207" t="s">
        <v>1002</v>
      </c>
      <c r="K1414" s="208">
        <f>3500*20%</f>
        <v>700</v>
      </c>
      <c r="L1414" s="184"/>
      <c r="M1414" s="185"/>
      <c r="AV1414" s="138"/>
      <c r="AW1414" s="138"/>
      <c r="AX1414" s="138"/>
      <c r="AY1414" s="138"/>
      <c r="AZ1414" s="138"/>
      <c r="BA1414" s="138"/>
      <c r="BB1414" s="138"/>
      <c r="BC1414" s="138"/>
      <c r="BD1414" s="138"/>
      <c r="BE1414" s="138"/>
      <c r="BF1414" s="138"/>
      <c r="BG1414" s="138"/>
      <c r="BH1414" s="138"/>
      <c r="BI1414" s="138"/>
      <c r="BJ1414" s="138"/>
      <c r="BK1414" s="138"/>
      <c r="BL1414" s="138"/>
      <c r="BM1414" s="138"/>
      <c r="BN1414" s="138"/>
      <c r="BO1414" s="138"/>
    </row>
    <row r="1415" spans="1:67" x14ac:dyDescent="0.2">
      <c r="A1415" s="177"/>
      <c r="B1415" s="178"/>
      <c r="C1415" s="179"/>
      <c r="D1415" s="180"/>
      <c r="E1415" s="180"/>
      <c r="F1415" s="180"/>
      <c r="G1415" s="180"/>
      <c r="H1415" s="180"/>
      <c r="I1415" s="188" t="s">
        <v>1875</v>
      </c>
      <c r="J1415" s="207" t="s">
        <v>1002</v>
      </c>
      <c r="K1415" s="208">
        <f>3500*60%</f>
        <v>2100</v>
      </c>
      <c r="L1415" s="184"/>
      <c r="M1415" s="185"/>
      <c r="AV1415" s="138"/>
      <c r="AW1415" s="138"/>
      <c r="AX1415" s="138"/>
      <c r="AY1415" s="138"/>
      <c r="AZ1415" s="138"/>
      <c r="BA1415" s="138"/>
      <c r="BB1415" s="138"/>
      <c r="BC1415" s="138"/>
      <c r="BD1415" s="138"/>
      <c r="BE1415" s="138"/>
      <c r="BF1415" s="138"/>
      <c r="BG1415" s="138"/>
      <c r="BH1415" s="138"/>
      <c r="BI1415" s="138"/>
      <c r="BJ1415" s="138"/>
      <c r="BK1415" s="138"/>
      <c r="BL1415" s="138"/>
      <c r="BM1415" s="138"/>
      <c r="BN1415" s="138"/>
      <c r="BO1415" s="138"/>
    </row>
    <row r="1416" spans="1:67" x14ac:dyDescent="0.2">
      <c r="A1416" s="189"/>
      <c r="B1416" s="190"/>
      <c r="C1416" s="191"/>
      <c r="D1416" s="192"/>
      <c r="E1416" s="192"/>
      <c r="F1416" s="192"/>
      <c r="G1416" s="192"/>
      <c r="H1416" s="192"/>
      <c r="I1416" s="203"/>
      <c r="J1416" s="204"/>
      <c r="K1416" s="195">
        <f>SUM(K1413:K1415)</f>
        <v>3500</v>
      </c>
      <c r="L1416" s="196"/>
      <c r="M1416" s="197"/>
      <c r="AV1416" s="138"/>
      <c r="AW1416" s="138"/>
      <c r="AX1416" s="138"/>
      <c r="AY1416" s="138"/>
      <c r="AZ1416" s="138"/>
      <c r="BA1416" s="138"/>
      <c r="BB1416" s="138"/>
      <c r="BC1416" s="138"/>
      <c r="BD1416" s="138"/>
      <c r="BE1416" s="138"/>
      <c r="BF1416" s="138"/>
      <c r="BG1416" s="138"/>
      <c r="BH1416" s="138"/>
      <c r="BI1416" s="138"/>
      <c r="BJ1416" s="138"/>
      <c r="BK1416" s="138"/>
      <c r="BL1416" s="138"/>
      <c r="BM1416" s="138"/>
      <c r="BN1416" s="138"/>
      <c r="BO1416" s="138"/>
    </row>
    <row r="1417" spans="1:67" ht="22.5" customHeight="1" x14ac:dyDescent="0.2">
      <c r="A1417" s="167">
        <v>348</v>
      </c>
      <c r="B1417" s="168" t="s">
        <v>1876</v>
      </c>
      <c r="C1417" s="169"/>
      <c r="D1417" s="170" t="s">
        <v>107</v>
      </c>
      <c r="E1417" s="170"/>
      <c r="F1417" s="170"/>
      <c r="G1417" s="170"/>
      <c r="H1417" s="170" t="s">
        <v>164</v>
      </c>
      <c r="I1417" s="274" t="s">
        <v>1877</v>
      </c>
      <c r="J1417" s="247" t="s">
        <v>989</v>
      </c>
      <c r="K1417" s="206">
        <f>4100*80%</f>
        <v>3280</v>
      </c>
      <c r="L1417" s="174" t="s">
        <v>111</v>
      </c>
      <c r="M1417" s="175" t="s">
        <v>1878</v>
      </c>
      <c r="AV1417" s="138"/>
      <c r="AW1417" s="138"/>
      <c r="AX1417" s="138"/>
      <c r="AY1417" s="138"/>
      <c r="AZ1417" s="138"/>
      <c r="BA1417" s="138"/>
      <c r="BB1417" s="138"/>
      <c r="BC1417" s="138"/>
      <c r="BD1417" s="138"/>
      <c r="BE1417" s="138"/>
      <c r="BF1417" s="138"/>
      <c r="BG1417" s="138"/>
      <c r="BH1417" s="138"/>
      <c r="BI1417" s="138"/>
      <c r="BJ1417" s="138"/>
      <c r="BK1417" s="138"/>
      <c r="BL1417" s="138"/>
      <c r="BM1417" s="138"/>
      <c r="BN1417" s="138"/>
      <c r="BO1417" s="138"/>
    </row>
    <row r="1418" spans="1:67" x14ac:dyDescent="0.2">
      <c r="A1418" s="177"/>
      <c r="B1418" s="178"/>
      <c r="C1418" s="179"/>
      <c r="D1418" s="180"/>
      <c r="E1418" s="180"/>
      <c r="F1418" s="180"/>
      <c r="G1418" s="180"/>
      <c r="H1418" s="180"/>
      <c r="I1418" s="188" t="s">
        <v>1879</v>
      </c>
      <c r="J1418" s="207" t="s">
        <v>1002</v>
      </c>
      <c r="K1418" s="208">
        <f>4100*20%</f>
        <v>820</v>
      </c>
      <c r="L1418" s="184"/>
      <c r="M1418" s="185"/>
      <c r="AV1418" s="138"/>
      <c r="AW1418" s="138"/>
      <c r="AX1418" s="138"/>
      <c r="AY1418" s="138"/>
      <c r="AZ1418" s="138"/>
      <c r="BA1418" s="138"/>
      <c r="BB1418" s="138"/>
      <c r="BC1418" s="138"/>
      <c r="BD1418" s="138"/>
      <c r="BE1418" s="138"/>
      <c r="BF1418" s="138"/>
      <c r="BG1418" s="138"/>
      <c r="BH1418" s="138"/>
      <c r="BI1418" s="138"/>
      <c r="BJ1418" s="138"/>
      <c r="BK1418" s="138"/>
      <c r="BL1418" s="138"/>
      <c r="BM1418" s="138"/>
      <c r="BN1418" s="138"/>
      <c r="BO1418" s="138"/>
    </row>
    <row r="1419" spans="1:67" x14ac:dyDescent="0.2">
      <c r="A1419" s="189"/>
      <c r="B1419" s="190"/>
      <c r="C1419" s="191"/>
      <c r="D1419" s="192"/>
      <c r="E1419" s="192"/>
      <c r="F1419" s="192"/>
      <c r="G1419" s="192"/>
      <c r="H1419" s="192"/>
      <c r="I1419" s="203"/>
      <c r="J1419" s="204"/>
      <c r="K1419" s="195">
        <f>SUM(K1417:K1418)</f>
        <v>4100</v>
      </c>
      <c r="L1419" s="196"/>
      <c r="M1419" s="197"/>
      <c r="AV1419" s="138"/>
      <c r="AW1419" s="138"/>
      <c r="AX1419" s="138"/>
      <c r="AY1419" s="138"/>
      <c r="AZ1419" s="138"/>
      <c r="BA1419" s="138"/>
      <c r="BB1419" s="138"/>
      <c r="BC1419" s="138"/>
      <c r="BD1419" s="138"/>
      <c r="BE1419" s="138"/>
      <c r="BF1419" s="138"/>
      <c r="BG1419" s="138"/>
      <c r="BH1419" s="138"/>
      <c r="BI1419" s="138"/>
      <c r="BJ1419" s="138"/>
      <c r="BK1419" s="138"/>
      <c r="BL1419" s="138"/>
      <c r="BM1419" s="138"/>
      <c r="BN1419" s="138"/>
      <c r="BO1419" s="138"/>
    </row>
    <row r="1420" spans="1:67" ht="21" customHeight="1" x14ac:dyDescent="0.2">
      <c r="A1420" s="167">
        <v>349</v>
      </c>
      <c r="B1420" s="168" t="s">
        <v>1880</v>
      </c>
      <c r="C1420" s="169"/>
      <c r="D1420" s="170" t="s">
        <v>107</v>
      </c>
      <c r="E1420" s="170"/>
      <c r="F1420" s="170"/>
      <c r="G1420" s="170"/>
      <c r="H1420" s="170" t="s">
        <v>108</v>
      </c>
      <c r="I1420" s="274" t="s">
        <v>1881</v>
      </c>
      <c r="J1420" s="247" t="s">
        <v>989</v>
      </c>
      <c r="K1420" s="206">
        <f>4000*10%</f>
        <v>400</v>
      </c>
      <c r="L1420" s="174" t="s">
        <v>111</v>
      </c>
      <c r="M1420" s="175" t="s">
        <v>1882</v>
      </c>
      <c r="AV1420" s="138"/>
      <c r="AW1420" s="138"/>
      <c r="AX1420" s="138"/>
      <c r="AY1420" s="138"/>
      <c r="AZ1420" s="138"/>
      <c r="BA1420" s="138"/>
      <c r="BB1420" s="138"/>
      <c r="BC1420" s="138"/>
      <c r="BD1420" s="138"/>
      <c r="BE1420" s="138"/>
      <c r="BF1420" s="138"/>
      <c r="BG1420" s="138"/>
      <c r="BH1420" s="138"/>
      <c r="BI1420" s="138"/>
      <c r="BJ1420" s="138"/>
      <c r="BK1420" s="138"/>
      <c r="BL1420" s="138"/>
      <c r="BM1420" s="138"/>
      <c r="BN1420" s="138"/>
      <c r="BO1420" s="138"/>
    </row>
    <row r="1421" spans="1:67" x14ac:dyDescent="0.2">
      <c r="A1421" s="177"/>
      <c r="B1421" s="178"/>
      <c r="C1421" s="179"/>
      <c r="D1421" s="180"/>
      <c r="E1421" s="180"/>
      <c r="F1421" s="180"/>
      <c r="G1421" s="180"/>
      <c r="H1421" s="180"/>
      <c r="I1421" s="188" t="s">
        <v>1883</v>
      </c>
      <c r="J1421" s="207" t="s">
        <v>1002</v>
      </c>
      <c r="K1421" s="208">
        <f>4000*70%</f>
        <v>2800</v>
      </c>
      <c r="L1421" s="184"/>
      <c r="M1421" s="185"/>
      <c r="AV1421" s="138"/>
      <c r="AW1421" s="138"/>
      <c r="AX1421" s="138"/>
      <c r="AY1421" s="138"/>
      <c r="AZ1421" s="138"/>
      <c r="BA1421" s="138"/>
      <c r="BB1421" s="138"/>
      <c r="BC1421" s="138"/>
      <c r="BD1421" s="138"/>
      <c r="BE1421" s="138"/>
      <c r="BF1421" s="138"/>
      <c r="BG1421" s="138"/>
      <c r="BH1421" s="138"/>
      <c r="BI1421" s="138"/>
      <c r="BJ1421" s="138"/>
      <c r="BK1421" s="138"/>
      <c r="BL1421" s="138"/>
      <c r="BM1421" s="138"/>
      <c r="BN1421" s="138"/>
      <c r="BO1421" s="138"/>
    </row>
    <row r="1422" spans="1:67" x14ac:dyDescent="0.2">
      <c r="A1422" s="177"/>
      <c r="B1422" s="178"/>
      <c r="C1422" s="179"/>
      <c r="D1422" s="180"/>
      <c r="E1422" s="180"/>
      <c r="F1422" s="180"/>
      <c r="G1422" s="180"/>
      <c r="H1422" s="180"/>
      <c r="I1422" s="188" t="s">
        <v>1854</v>
      </c>
      <c r="J1422" s="207" t="s">
        <v>1002</v>
      </c>
      <c r="K1422" s="208">
        <f>4000*10%</f>
        <v>400</v>
      </c>
      <c r="L1422" s="184"/>
      <c r="M1422" s="185"/>
      <c r="AV1422" s="138"/>
      <c r="AW1422" s="138"/>
      <c r="AX1422" s="138"/>
      <c r="AY1422" s="138"/>
      <c r="AZ1422" s="138"/>
      <c r="BA1422" s="138"/>
      <c r="BB1422" s="138"/>
      <c r="BC1422" s="138"/>
      <c r="BD1422" s="138"/>
      <c r="BE1422" s="138"/>
      <c r="BF1422" s="138"/>
      <c r="BG1422" s="138"/>
      <c r="BH1422" s="138"/>
      <c r="BI1422" s="138"/>
      <c r="BJ1422" s="138"/>
      <c r="BK1422" s="138"/>
      <c r="BL1422" s="138"/>
      <c r="BM1422" s="138"/>
      <c r="BN1422" s="138"/>
      <c r="BO1422" s="138"/>
    </row>
    <row r="1423" spans="1:67" x14ac:dyDescent="0.2">
      <c r="A1423" s="177"/>
      <c r="B1423" s="178"/>
      <c r="C1423" s="179"/>
      <c r="D1423" s="180"/>
      <c r="E1423" s="180"/>
      <c r="F1423" s="180"/>
      <c r="G1423" s="180"/>
      <c r="H1423" s="180"/>
      <c r="I1423" s="188" t="s">
        <v>1855</v>
      </c>
      <c r="J1423" s="207" t="s">
        <v>1002</v>
      </c>
      <c r="K1423" s="208">
        <f>4000*10%</f>
        <v>400</v>
      </c>
      <c r="L1423" s="184"/>
      <c r="M1423" s="185"/>
      <c r="AV1423" s="138"/>
      <c r="AW1423" s="138"/>
      <c r="AX1423" s="138"/>
      <c r="AY1423" s="138"/>
      <c r="AZ1423" s="138"/>
      <c r="BA1423" s="138"/>
      <c r="BB1423" s="138"/>
      <c r="BC1423" s="138"/>
      <c r="BD1423" s="138"/>
      <c r="BE1423" s="138"/>
      <c r="BF1423" s="138"/>
      <c r="BG1423" s="138"/>
      <c r="BH1423" s="138"/>
      <c r="BI1423" s="138"/>
      <c r="BJ1423" s="138"/>
      <c r="BK1423" s="138"/>
      <c r="BL1423" s="138"/>
      <c r="BM1423" s="138"/>
      <c r="BN1423" s="138"/>
      <c r="BO1423" s="138"/>
    </row>
    <row r="1424" spans="1:67" x14ac:dyDescent="0.2">
      <c r="A1424" s="189"/>
      <c r="B1424" s="190"/>
      <c r="C1424" s="191"/>
      <c r="D1424" s="192"/>
      <c r="E1424" s="192"/>
      <c r="F1424" s="192"/>
      <c r="G1424" s="192"/>
      <c r="H1424" s="192"/>
      <c r="I1424" s="203"/>
      <c r="J1424" s="204"/>
      <c r="K1424" s="195">
        <f>SUM(K1420:K1423)</f>
        <v>4000</v>
      </c>
      <c r="L1424" s="196"/>
      <c r="M1424" s="197"/>
      <c r="AV1424" s="138"/>
      <c r="AW1424" s="138"/>
      <c r="AX1424" s="138"/>
      <c r="AY1424" s="138"/>
      <c r="AZ1424" s="138"/>
      <c r="BA1424" s="138"/>
      <c r="BB1424" s="138"/>
      <c r="BC1424" s="138"/>
      <c r="BD1424" s="138"/>
      <c r="BE1424" s="138"/>
      <c r="BF1424" s="138"/>
      <c r="BG1424" s="138"/>
      <c r="BH1424" s="138"/>
      <c r="BI1424" s="138"/>
      <c r="BJ1424" s="138"/>
      <c r="BK1424" s="138"/>
      <c r="BL1424" s="138"/>
      <c r="BM1424" s="138"/>
      <c r="BN1424" s="138"/>
      <c r="BO1424" s="138"/>
    </row>
    <row r="1425" spans="1:67" ht="20.25" customHeight="1" x14ac:dyDescent="0.2">
      <c r="A1425" s="167">
        <v>350</v>
      </c>
      <c r="B1425" s="168" t="s">
        <v>1884</v>
      </c>
      <c r="C1425" s="169"/>
      <c r="D1425" s="170" t="s">
        <v>107</v>
      </c>
      <c r="E1425" s="170"/>
      <c r="F1425" s="170"/>
      <c r="G1425" s="170"/>
      <c r="H1425" s="170"/>
      <c r="I1425" s="274" t="s">
        <v>1885</v>
      </c>
      <c r="J1425" s="247" t="s">
        <v>989</v>
      </c>
      <c r="K1425" s="206">
        <f>4000*80%</f>
        <v>3200</v>
      </c>
      <c r="L1425" s="174" t="s">
        <v>111</v>
      </c>
      <c r="M1425" s="175" t="s">
        <v>1886</v>
      </c>
      <c r="AV1425" s="138"/>
      <c r="AW1425" s="138"/>
      <c r="AX1425" s="138"/>
      <c r="AY1425" s="138"/>
      <c r="AZ1425" s="138"/>
      <c r="BA1425" s="138"/>
      <c r="BB1425" s="138"/>
      <c r="BC1425" s="138"/>
      <c r="BD1425" s="138"/>
      <c r="BE1425" s="138"/>
      <c r="BF1425" s="138"/>
      <c r="BG1425" s="138"/>
      <c r="BH1425" s="138"/>
      <c r="BI1425" s="138"/>
      <c r="BJ1425" s="138"/>
      <c r="BK1425" s="138"/>
      <c r="BL1425" s="138"/>
      <c r="BM1425" s="138"/>
      <c r="BN1425" s="138"/>
      <c r="BO1425" s="138"/>
    </row>
    <row r="1426" spans="1:67" ht="20.25" customHeight="1" x14ac:dyDescent="0.2">
      <c r="A1426" s="177"/>
      <c r="B1426" s="178"/>
      <c r="C1426" s="179"/>
      <c r="D1426" s="180"/>
      <c r="E1426" s="180"/>
      <c r="F1426" s="180"/>
      <c r="G1426" s="180"/>
      <c r="H1426" s="180"/>
      <c r="I1426" s="188" t="s">
        <v>1887</v>
      </c>
      <c r="J1426" s="207" t="s">
        <v>1002</v>
      </c>
      <c r="K1426" s="208">
        <f>4000*5%</f>
        <v>200</v>
      </c>
      <c r="L1426" s="184"/>
      <c r="M1426" s="185"/>
      <c r="AV1426" s="138"/>
      <c r="AW1426" s="138"/>
      <c r="AX1426" s="138"/>
      <c r="AY1426" s="138"/>
      <c r="AZ1426" s="138"/>
      <c r="BA1426" s="138"/>
      <c r="BB1426" s="138"/>
      <c r="BC1426" s="138"/>
      <c r="BD1426" s="138"/>
      <c r="BE1426" s="138"/>
      <c r="BF1426" s="138"/>
      <c r="BG1426" s="138"/>
      <c r="BH1426" s="138"/>
      <c r="BI1426" s="138"/>
      <c r="BJ1426" s="138"/>
      <c r="BK1426" s="138"/>
      <c r="BL1426" s="138"/>
      <c r="BM1426" s="138"/>
      <c r="BN1426" s="138"/>
      <c r="BO1426" s="138"/>
    </row>
    <row r="1427" spans="1:67" ht="20.25" customHeight="1" x14ac:dyDescent="0.2">
      <c r="A1427" s="177"/>
      <c r="B1427" s="178"/>
      <c r="C1427" s="179"/>
      <c r="D1427" s="180"/>
      <c r="E1427" s="180"/>
      <c r="F1427" s="180"/>
      <c r="G1427" s="180"/>
      <c r="H1427" s="180"/>
      <c r="I1427" s="188" t="s">
        <v>1888</v>
      </c>
      <c r="J1427" s="207" t="s">
        <v>1002</v>
      </c>
      <c r="K1427" s="208">
        <f>4000*5%</f>
        <v>200</v>
      </c>
      <c r="L1427" s="184"/>
      <c r="M1427" s="185"/>
      <c r="AV1427" s="138"/>
      <c r="AW1427" s="138"/>
      <c r="AX1427" s="138"/>
      <c r="AY1427" s="138"/>
      <c r="AZ1427" s="138"/>
      <c r="BA1427" s="138"/>
      <c r="BB1427" s="138"/>
      <c r="BC1427" s="138"/>
      <c r="BD1427" s="138"/>
      <c r="BE1427" s="138"/>
      <c r="BF1427" s="138"/>
      <c r="BG1427" s="138"/>
      <c r="BH1427" s="138"/>
      <c r="BI1427" s="138"/>
      <c r="BJ1427" s="138"/>
      <c r="BK1427" s="138"/>
      <c r="BL1427" s="138"/>
      <c r="BM1427" s="138"/>
      <c r="BN1427" s="138"/>
      <c r="BO1427" s="138"/>
    </row>
    <row r="1428" spans="1:67" ht="20.25" customHeight="1" x14ac:dyDescent="0.2">
      <c r="A1428" s="177"/>
      <c r="B1428" s="178"/>
      <c r="C1428" s="179"/>
      <c r="D1428" s="180"/>
      <c r="E1428" s="180"/>
      <c r="F1428" s="180"/>
      <c r="G1428" s="180"/>
      <c r="H1428" s="180"/>
      <c r="I1428" s="188" t="s">
        <v>1889</v>
      </c>
      <c r="J1428" s="207" t="s">
        <v>1002</v>
      </c>
      <c r="K1428" s="208">
        <f>4000*5%</f>
        <v>200</v>
      </c>
      <c r="L1428" s="184"/>
      <c r="M1428" s="185"/>
      <c r="AV1428" s="138"/>
      <c r="AW1428" s="138"/>
      <c r="AX1428" s="138"/>
      <c r="AY1428" s="138"/>
      <c r="AZ1428" s="138"/>
      <c r="BA1428" s="138"/>
      <c r="BB1428" s="138"/>
      <c r="BC1428" s="138"/>
      <c r="BD1428" s="138"/>
      <c r="BE1428" s="138"/>
      <c r="BF1428" s="138"/>
      <c r="BG1428" s="138"/>
      <c r="BH1428" s="138"/>
      <c r="BI1428" s="138"/>
      <c r="BJ1428" s="138"/>
      <c r="BK1428" s="138"/>
      <c r="BL1428" s="138"/>
      <c r="BM1428" s="138"/>
      <c r="BN1428" s="138"/>
      <c r="BO1428" s="138"/>
    </row>
    <row r="1429" spans="1:67" ht="20.25" customHeight="1" x14ac:dyDescent="0.2">
      <c r="A1429" s="177"/>
      <c r="B1429" s="178"/>
      <c r="C1429" s="179"/>
      <c r="D1429" s="180"/>
      <c r="E1429" s="180"/>
      <c r="F1429" s="180"/>
      <c r="G1429" s="180"/>
      <c r="H1429" s="180"/>
      <c r="I1429" s="188" t="s">
        <v>1890</v>
      </c>
      <c r="J1429" s="207" t="s">
        <v>1891</v>
      </c>
      <c r="K1429" s="208">
        <f>4000*5%</f>
        <v>200</v>
      </c>
      <c r="L1429" s="184"/>
      <c r="M1429" s="185"/>
      <c r="AV1429" s="138"/>
      <c r="AW1429" s="138"/>
      <c r="AX1429" s="138"/>
      <c r="AY1429" s="138"/>
      <c r="AZ1429" s="138"/>
      <c r="BA1429" s="138"/>
      <c r="BB1429" s="138"/>
      <c r="BC1429" s="138"/>
      <c r="BD1429" s="138"/>
      <c r="BE1429" s="138"/>
      <c r="BF1429" s="138"/>
      <c r="BG1429" s="138"/>
      <c r="BH1429" s="138"/>
      <c r="BI1429" s="138"/>
      <c r="BJ1429" s="138"/>
      <c r="BK1429" s="138"/>
      <c r="BL1429" s="138"/>
      <c r="BM1429" s="138"/>
      <c r="BN1429" s="138"/>
      <c r="BO1429" s="138"/>
    </row>
    <row r="1430" spans="1:67" ht="20.25" customHeight="1" x14ac:dyDescent="0.2">
      <c r="A1430" s="189"/>
      <c r="B1430" s="190"/>
      <c r="C1430" s="191"/>
      <c r="D1430" s="192"/>
      <c r="E1430" s="192"/>
      <c r="F1430" s="192"/>
      <c r="G1430" s="192"/>
      <c r="H1430" s="192"/>
      <c r="I1430" s="203"/>
      <c r="J1430" s="204"/>
      <c r="K1430" s="195">
        <f>SUM(K1425:K1429)</f>
        <v>4000</v>
      </c>
      <c r="L1430" s="196"/>
      <c r="M1430" s="197"/>
      <c r="AV1430" s="138"/>
      <c r="AW1430" s="138"/>
      <c r="AX1430" s="138"/>
      <c r="AY1430" s="138"/>
      <c r="AZ1430" s="138"/>
      <c r="BA1430" s="138"/>
      <c r="BB1430" s="138"/>
      <c r="BC1430" s="138"/>
      <c r="BD1430" s="138"/>
      <c r="BE1430" s="138"/>
      <c r="BF1430" s="138"/>
      <c r="BG1430" s="138"/>
      <c r="BH1430" s="138"/>
      <c r="BI1430" s="138"/>
      <c r="BJ1430" s="138"/>
      <c r="BK1430" s="138"/>
      <c r="BL1430" s="138"/>
      <c r="BM1430" s="138"/>
      <c r="BN1430" s="138"/>
      <c r="BO1430" s="138"/>
    </row>
    <row r="1431" spans="1:67" ht="20.25" customHeight="1" x14ac:dyDescent="0.2">
      <c r="A1431" s="167">
        <v>351</v>
      </c>
      <c r="B1431" s="168" t="s">
        <v>1892</v>
      </c>
      <c r="C1431" s="169"/>
      <c r="D1431" s="170" t="s">
        <v>107</v>
      </c>
      <c r="E1431" s="170"/>
      <c r="F1431" s="170"/>
      <c r="G1431" s="170"/>
      <c r="H1431" s="170"/>
      <c r="I1431" s="274" t="s">
        <v>1893</v>
      </c>
      <c r="J1431" s="247" t="s">
        <v>989</v>
      </c>
      <c r="K1431" s="206">
        <f>3700*60%</f>
        <v>2220</v>
      </c>
      <c r="L1431" s="174" t="s">
        <v>111</v>
      </c>
      <c r="M1431" s="175" t="s">
        <v>1894</v>
      </c>
      <c r="AV1431" s="138"/>
      <c r="AW1431" s="138"/>
      <c r="AX1431" s="138"/>
      <c r="AY1431" s="138"/>
      <c r="AZ1431" s="138"/>
      <c r="BA1431" s="138"/>
      <c r="BB1431" s="138"/>
      <c r="BC1431" s="138"/>
      <c r="BD1431" s="138"/>
      <c r="BE1431" s="138"/>
      <c r="BF1431" s="138"/>
      <c r="BG1431" s="138"/>
      <c r="BH1431" s="138"/>
      <c r="BI1431" s="138"/>
      <c r="BJ1431" s="138"/>
      <c r="BK1431" s="138"/>
      <c r="BL1431" s="138"/>
      <c r="BM1431" s="138"/>
      <c r="BN1431" s="138"/>
      <c r="BO1431" s="138"/>
    </row>
    <row r="1432" spans="1:67" x14ac:dyDescent="0.2">
      <c r="A1432" s="177"/>
      <c r="B1432" s="178"/>
      <c r="C1432" s="179"/>
      <c r="D1432" s="180"/>
      <c r="E1432" s="180"/>
      <c r="F1432" s="180"/>
      <c r="G1432" s="180"/>
      <c r="H1432" s="180"/>
      <c r="I1432" s="188" t="s">
        <v>1895</v>
      </c>
      <c r="J1432" s="207" t="s">
        <v>1002</v>
      </c>
      <c r="K1432" s="208">
        <f>3700*10%</f>
        <v>370</v>
      </c>
      <c r="L1432" s="184"/>
      <c r="M1432" s="185"/>
      <c r="AV1432" s="138"/>
      <c r="AW1432" s="138"/>
      <c r="AX1432" s="138"/>
      <c r="AY1432" s="138"/>
      <c r="AZ1432" s="138"/>
      <c r="BA1432" s="138"/>
      <c r="BB1432" s="138"/>
      <c r="BC1432" s="138"/>
      <c r="BD1432" s="138"/>
      <c r="BE1432" s="138"/>
      <c r="BF1432" s="138"/>
      <c r="BG1432" s="138"/>
      <c r="BH1432" s="138"/>
      <c r="BI1432" s="138"/>
      <c r="BJ1432" s="138"/>
      <c r="BK1432" s="138"/>
      <c r="BL1432" s="138"/>
      <c r="BM1432" s="138"/>
      <c r="BN1432" s="138"/>
      <c r="BO1432" s="138"/>
    </row>
    <row r="1433" spans="1:67" x14ac:dyDescent="0.2">
      <c r="A1433" s="177"/>
      <c r="B1433" s="178"/>
      <c r="C1433" s="179"/>
      <c r="D1433" s="180"/>
      <c r="E1433" s="180"/>
      <c r="F1433" s="180"/>
      <c r="G1433" s="180"/>
      <c r="H1433" s="180"/>
      <c r="I1433" s="188" t="s">
        <v>1896</v>
      </c>
      <c r="J1433" s="207" t="s">
        <v>1002</v>
      </c>
      <c r="K1433" s="208">
        <f>3700*10%</f>
        <v>370</v>
      </c>
      <c r="L1433" s="184"/>
      <c r="M1433" s="185"/>
      <c r="AV1433" s="138"/>
      <c r="AW1433" s="138"/>
      <c r="AX1433" s="138"/>
      <c r="AY1433" s="138"/>
      <c r="AZ1433" s="138"/>
      <c r="BA1433" s="138"/>
      <c r="BB1433" s="138"/>
      <c r="BC1433" s="138"/>
      <c r="BD1433" s="138"/>
      <c r="BE1433" s="138"/>
      <c r="BF1433" s="138"/>
      <c r="BG1433" s="138"/>
      <c r="BH1433" s="138"/>
      <c r="BI1433" s="138"/>
      <c r="BJ1433" s="138"/>
      <c r="BK1433" s="138"/>
      <c r="BL1433" s="138"/>
      <c r="BM1433" s="138"/>
      <c r="BN1433" s="138"/>
      <c r="BO1433" s="138"/>
    </row>
    <row r="1434" spans="1:67" x14ac:dyDescent="0.2">
      <c r="A1434" s="177"/>
      <c r="B1434" s="178"/>
      <c r="C1434" s="179"/>
      <c r="D1434" s="180"/>
      <c r="E1434" s="180"/>
      <c r="F1434" s="180"/>
      <c r="G1434" s="180"/>
      <c r="H1434" s="180"/>
      <c r="I1434" s="188" t="s">
        <v>1855</v>
      </c>
      <c r="J1434" s="207" t="s">
        <v>1002</v>
      </c>
      <c r="K1434" s="208">
        <f>3700*10%</f>
        <v>370</v>
      </c>
      <c r="L1434" s="184"/>
      <c r="M1434" s="185"/>
      <c r="AV1434" s="138"/>
      <c r="AW1434" s="138"/>
      <c r="AX1434" s="138"/>
      <c r="AY1434" s="138"/>
      <c r="AZ1434" s="138"/>
      <c r="BA1434" s="138"/>
      <c r="BB1434" s="138"/>
      <c r="BC1434" s="138"/>
      <c r="BD1434" s="138"/>
      <c r="BE1434" s="138"/>
      <c r="BF1434" s="138"/>
      <c r="BG1434" s="138"/>
      <c r="BH1434" s="138"/>
      <c r="BI1434" s="138"/>
      <c r="BJ1434" s="138"/>
      <c r="BK1434" s="138"/>
      <c r="BL1434" s="138"/>
      <c r="BM1434" s="138"/>
      <c r="BN1434" s="138"/>
      <c r="BO1434" s="138"/>
    </row>
    <row r="1435" spans="1:67" x14ac:dyDescent="0.2">
      <c r="A1435" s="177"/>
      <c r="B1435" s="178"/>
      <c r="C1435" s="179"/>
      <c r="D1435" s="180"/>
      <c r="E1435" s="180"/>
      <c r="F1435" s="180"/>
      <c r="G1435" s="180"/>
      <c r="H1435" s="180"/>
      <c r="I1435" s="188" t="s">
        <v>1897</v>
      </c>
      <c r="J1435" s="207" t="s">
        <v>1002</v>
      </c>
      <c r="K1435" s="208">
        <f>3700*10%</f>
        <v>370</v>
      </c>
      <c r="L1435" s="184"/>
      <c r="M1435" s="185"/>
      <c r="AV1435" s="138"/>
      <c r="AW1435" s="138"/>
      <c r="AX1435" s="138"/>
      <c r="AY1435" s="138"/>
      <c r="AZ1435" s="138"/>
      <c r="BA1435" s="138"/>
      <c r="BB1435" s="138"/>
      <c r="BC1435" s="138"/>
      <c r="BD1435" s="138"/>
      <c r="BE1435" s="138"/>
      <c r="BF1435" s="138"/>
      <c r="BG1435" s="138"/>
      <c r="BH1435" s="138"/>
      <c r="BI1435" s="138"/>
      <c r="BJ1435" s="138"/>
      <c r="BK1435" s="138"/>
      <c r="BL1435" s="138"/>
      <c r="BM1435" s="138"/>
      <c r="BN1435" s="138"/>
      <c r="BO1435" s="138"/>
    </row>
    <row r="1436" spans="1:67" x14ac:dyDescent="0.2">
      <c r="A1436" s="189"/>
      <c r="B1436" s="190"/>
      <c r="C1436" s="191"/>
      <c r="D1436" s="192"/>
      <c r="E1436" s="192"/>
      <c r="F1436" s="192"/>
      <c r="G1436" s="192"/>
      <c r="H1436" s="192"/>
      <c r="I1436" s="203"/>
      <c r="J1436" s="204"/>
      <c r="K1436" s="195">
        <f>SUM(K1431:K1435)</f>
        <v>3700</v>
      </c>
      <c r="L1436" s="196"/>
      <c r="M1436" s="197"/>
      <c r="AV1436" s="138"/>
      <c r="AW1436" s="138"/>
      <c r="AX1436" s="138"/>
      <c r="AY1436" s="138"/>
      <c r="AZ1436" s="138"/>
      <c r="BA1436" s="138"/>
      <c r="BB1436" s="138"/>
      <c r="BC1436" s="138"/>
      <c r="BD1436" s="138"/>
      <c r="BE1436" s="138"/>
      <c r="BF1436" s="138"/>
      <c r="BG1436" s="138"/>
      <c r="BH1436" s="138"/>
      <c r="BI1436" s="138"/>
      <c r="BJ1436" s="138"/>
      <c r="BK1436" s="138"/>
      <c r="BL1436" s="138"/>
      <c r="BM1436" s="138"/>
      <c r="BN1436" s="138"/>
      <c r="BO1436" s="138"/>
    </row>
    <row r="1437" spans="1:67" ht="25.5" customHeight="1" x14ac:dyDescent="0.2">
      <c r="A1437" s="167">
        <v>352</v>
      </c>
      <c r="B1437" s="168" t="s">
        <v>1898</v>
      </c>
      <c r="C1437" s="169"/>
      <c r="D1437" s="170" t="s">
        <v>107</v>
      </c>
      <c r="E1437" s="170"/>
      <c r="F1437" s="170"/>
      <c r="G1437" s="170"/>
      <c r="H1437" s="170"/>
      <c r="I1437" s="274" t="s">
        <v>1899</v>
      </c>
      <c r="J1437" s="247" t="s">
        <v>989</v>
      </c>
      <c r="K1437" s="206">
        <f>3500*75%</f>
        <v>2625</v>
      </c>
      <c r="L1437" s="174" t="s">
        <v>111</v>
      </c>
      <c r="M1437" s="175" t="s">
        <v>1900</v>
      </c>
      <c r="AV1437" s="138"/>
      <c r="AW1437" s="138"/>
      <c r="AX1437" s="138"/>
      <c r="AY1437" s="138"/>
      <c r="AZ1437" s="138"/>
      <c r="BA1437" s="138"/>
      <c r="BB1437" s="138"/>
      <c r="BC1437" s="138"/>
      <c r="BD1437" s="138"/>
      <c r="BE1437" s="138"/>
      <c r="BF1437" s="138"/>
      <c r="BG1437" s="138"/>
      <c r="BH1437" s="138"/>
      <c r="BI1437" s="138"/>
      <c r="BJ1437" s="138"/>
      <c r="BK1437" s="138"/>
      <c r="BL1437" s="138"/>
      <c r="BM1437" s="138"/>
      <c r="BN1437" s="138"/>
      <c r="BO1437" s="138"/>
    </row>
    <row r="1438" spans="1:67" x14ac:dyDescent="0.2">
      <c r="A1438" s="177"/>
      <c r="B1438" s="178"/>
      <c r="C1438" s="179"/>
      <c r="D1438" s="180"/>
      <c r="E1438" s="180"/>
      <c r="F1438" s="180"/>
      <c r="G1438" s="180"/>
      <c r="H1438" s="180"/>
      <c r="I1438" s="188" t="s">
        <v>1901</v>
      </c>
      <c r="J1438" s="207" t="s">
        <v>1002</v>
      </c>
      <c r="K1438" s="208">
        <f>3500*5%</f>
        <v>175</v>
      </c>
      <c r="L1438" s="184"/>
      <c r="M1438" s="185"/>
      <c r="AV1438" s="138"/>
      <c r="AW1438" s="138"/>
      <c r="AX1438" s="138"/>
      <c r="AY1438" s="138"/>
      <c r="AZ1438" s="138"/>
      <c r="BA1438" s="138"/>
      <c r="BB1438" s="138"/>
      <c r="BC1438" s="138"/>
      <c r="BD1438" s="138"/>
      <c r="BE1438" s="138"/>
      <c r="BF1438" s="138"/>
      <c r="BG1438" s="138"/>
      <c r="BH1438" s="138"/>
      <c r="BI1438" s="138"/>
      <c r="BJ1438" s="138"/>
      <c r="BK1438" s="138"/>
      <c r="BL1438" s="138"/>
      <c r="BM1438" s="138"/>
      <c r="BN1438" s="138"/>
      <c r="BO1438" s="138"/>
    </row>
    <row r="1439" spans="1:67" x14ac:dyDescent="0.2">
      <c r="A1439" s="177"/>
      <c r="B1439" s="178"/>
      <c r="C1439" s="179"/>
      <c r="D1439" s="180"/>
      <c r="E1439" s="180"/>
      <c r="F1439" s="180"/>
      <c r="G1439" s="180"/>
      <c r="H1439" s="180"/>
      <c r="I1439" s="188" t="s">
        <v>1902</v>
      </c>
      <c r="J1439" s="207" t="s">
        <v>1002</v>
      </c>
      <c r="K1439" s="208">
        <f>3500*5%</f>
        <v>175</v>
      </c>
      <c r="L1439" s="184"/>
      <c r="M1439" s="185"/>
      <c r="AV1439" s="138"/>
      <c r="AW1439" s="138"/>
      <c r="AX1439" s="138"/>
      <c r="AY1439" s="138"/>
      <c r="AZ1439" s="138"/>
      <c r="BA1439" s="138"/>
      <c r="BB1439" s="138"/>
      <c r="BC1439" s="138"/>
      <c r="BD1439" s="138"/>
      <c r="BE1439" s="138"/>
      <c r="BF1439" s="138"/>
      <c r="BG1439" s="138"/>
      <c r="BH1439" s="138"/>
      <c r="BI1439" s="138"/>
      <c r="BJ1439" s="138"/>
      <c r="BK1439" s="138"/>
      <c r="BL1439" s="138"/>
      <c r="BM1439" s="138"/>
      <c r="BN1439" s="138"/>
      <c r="BO1439" s="138"/>
    </row>
    <row r="1440" spans="1:67" x14ac:dyDescent="0.2">
      <c r="A1440" s="177"/>
      <c r="B1440" s="178"/>
      <c r="C1440" s="179"/>
      <c r="D1440" s="180"/>
      <c r="E1440" s="180"/>
      <c r="F1440" s="180"/>
      <c r="G1440" s="180"/>
      <c r="H1440" s="180"/>
      <c r="I1440" s="188" t="s">
        <v>1903</v>
      </c>
      <c r="J1440" s="207" t="s">
        <v>1002</v>
      </c>
      <c r="K1440" s="208">
        <f>3500*5%</f>
        <v>175</v>
      </c>
      <c r="L1440" s="184"/>
      <c r="M1440" s="185"/>
      <c r="AV1440" s="138"/>
      <c r="AW1440" s="138"/>
      <c r="AX1440" s="138"/>
      <c r="AY1440" s="138"/>
      <c r="AZ1440" s="138"/>
      <c r="BA1440" s="138"/>
      <c r="BB1440" s="138"/>
      <c r="BC1440" s="138"/>
      <c r="BD1440" s="138"/>
      <c r="BE1440" s="138"/>
      <c r="BF1440" s="138"/>
      <c r="BG1440" s="138"/>
      <c r="BH1440" s="138"/>
      <c r="BI1440" s="138"/>
      <c r="BJ1440" s="138"/>
      <c r="BK1440" s="138"/>
      <c r="BL1440" s="138"/>
      <c r="BM1440" s="138"/>
      <c r="BN1440" s="138"/>
      <c r="BO1440" s="138"/>
    </row>
    <row r="1441" spans="1:67" x14ac:dyDescent="0.2">
      <c r="A1441" s="177"/>
      <c r="B1441" s="178"/>
      <c r="C1441" s="179"/>
      <c r="D1441" s="180"/>
      <c r="E1441" s="180"/>
      <c r="F1441" s="180"/>
      <c r="G1441" s="180"/>
      <c r="H1441" s="180"/>
      <c r="I1441" s="188" t="s">
        <v>1904</v>
      </c>
      <c r="J1441" s="207" t="s">
        <v>1002</v>
      </c>
      <c r="K1441" s="208">
        <f>3500*5%</f>
        <v>175</v>
      </c>
      <c r="L1441" s="184"/>
      <c r="M1441" s="185"/>
      <c r="AV1441" s="138"/>
      <c r="AW1441" s="138"/>
      <c r="AX1441" s="138"/>
      <c r="AY1441" s="138"/>
      <c r="AZ1441" s="138"/>
      <c r="BA1441" s="138"/>
      <c r="BB1441" s="138"/>
      <c r="BC1441" s="138"/>
      <c r="BD1441" s="138"/>
      <c r="BE1441" s="138"/>
      <c r="BF1441" s="138"/>
      <c r="BG1441" s="138"/>
      <c r="BH1441" s="138"/>
      <c r="BI1441" s="138"/>
      <c r="BJ1441" s="138"/>
      <c r="BK1441" s="138"/>
      <c r="BL1441" s="138"/>
      <c r="BM1441" s="138"/>
      <c r="BN1441" s="138"/>
      <c r="BO1441" s="138"/>
    </row>
    <row r="1442" spans="1:67" x14ac:dyDescent="0.2">
      <c r="A1442" s="177"/>
      <c r="B1442" s="178"/>
      <c r="C1442" s="179"/>
      <c r="D1442" s="180"/>
      <c r="E1442" s="180"/>
      <c r="F1442" s="180"/>
      <c r="G1442" s="180"/>
      <c r="H1442" s="180"/>
      <c r="I1442" s="188" t="s">
        <v>1905</v>
      </c>
      <c r="J1442" s="207" t="s">
        <v>1002</v>
      </c>
      <c r="K1442" s="208">
        <f>3500*5%</f>
        <v>175</v>
      </c>
      <c r="L1442" s="184"/>
      <c r="M1442" s="185"/>
      <c r="AV1442" s="138"/>
      <c r="AW1442" s="138"/>
      <c r="AX1442" s="138"/>
      <c r="AY1442" s="138"/>
      <c r="AZ1442" s="138"/>
      <c r="BA1442" s="138"/>
      <c r="BB1442" s="138"/>
      <c r="BC1442" s="138"/>
      <c r="BD1442" s="138"/>
      <c r="BE1442" s="138"/>
      <c r="BF1442" s="138"/>
      <c r="BG1442" s="138"/>
      <c r="BH1442" s="138"/>
      <c r="BI1442" s="138"/>
      <c r="BJ1442" s="138"/>
      <c r="BK1442" s="138"/>
      <c r="BL1442" s="138"/>
      <c r="BM1442" s="138"/>
      <c r="BN1442" s="138"/>
      <c r="BO1442" s="138"/>
    </row>
    <row r="1443" spans="1:67" x14ac:dyDescent="0.2">
      <c r="A1443" s="189"/>
      <c r="B1443" s="190"/>
      <c r="C1443" s="191"/>
      <c r="D1443" s="192"/>
      <c r="E1443" s="192"/>
      <c r="F1443" s="192"/>
      <c r="G1443" s="192"/>
      <c r="H1443" s="192"/>
      <c r="I1443" s="203"/>
      <c r="J1443" s="204"/>
      <c r="K1443" s="195">
        <f>SUM(K1437:K1442)</f>
        <v>3500</v>
      </c>
      <c r="L1443" s="196"/>
      <c r="M1443" s="197"/>
      <c r="AV1443" s="138"/>
      <c r="AW1443" s="138"/>
      <c r="AX1443" s="138"/>
      <c r="AY1443" s="138"/>
      <c r="AZ1443" s="138"/>
      <c r="BA1443" s="138"/>
      <c r="BB1443" s="138"/>
      <c r="BC1443" s="138"/>
      <c r="BD1443" s="138"/>
      <c r="BE1443" s="138"/>
      <c r="BF1443" s="138"/>
      <c r="BG1443" s="138"/>
      <c r="BH1443" s="138"/>
      <c r="BI1443" s="138"/>
      <c r="BJ1443" s="138"/>
      <c r="BK1443" s="138"/>
      <c r="BL1443" s="138"/>
      <c r="BM1443" s="138"/>
      <c r="BN1443" s="138"/>
      <c r="BO1443" s="138"/>
    </row>
    <row r="1444" spans="1:67" ht="22.5" customHeight="1" x14ac:dyDescent="0.2">
      <c r="A1444" s="167">
        <v>353</v>
      </c>
      <c r="B1444" s="168" t="s">
        <v>1906</v>
      </c>
      <c r="C1444" s="169"/>
      <c r="D1444" s="170" t="s">
        <v>107</v>
      </c>
      <c r="E1444" s="170"/>
      <c r="F1444" s="170"/>
      <c r="G1444" s="170"/>
      <c r="H1444" s="170" t="s">
        <v>108</v>
      </c>
      <c r="I1444" s="274" t="s">
        <v>1907</v>
      </c>
      <c r="J1444" s="247" t="s">
        <v>989</v>
      </c>
      <c r="K1444" s="206">
        <f>3500*10%</f>
        <v>350</v>
      </c>
      <c r="L1444" s="174" t="s">
        <v>111</v>
      </c>
      <c r="M1444" s="175" t="s">
        <v>1908</v>
      </c>
      <c r="AV1444" s="138"/>
      <c r="AW1444" s="138"/>
      <c r="AX1444" s="138"/>
      <c r="AY1444" s="138"/>
      <c r="AZ1444" s="138"/>
      <c r="BA1444" s="138"/>
      <c r="BB1444" s="138"/>
      <c r="BC1444" s="138"/>
      <c r="BD1444" s="138"/>
      <c r="BE1444" s="138"/>
      <c r="BF1444" s="138"/>
      <c r="BG1444" s="138"/>
      <c r="BH1444" s="138"/>
      <c r="BI1444" s="138"/>
      <c r="BJ1444" s="138"/>
      <c r="BK1444" s="138"/>
      <c r="BL1444" s="138"/>
      <c r="BM1444" s="138"/>
      <c r="BN1444" s="138"/>
      <c r="BO1444" s="138"/>
    </row>
    <row r="1445" spans="1:67" x14ac:dyDescent="0.2">
      <c r="A1445" s="177"/>
      <c r="B1445" s="178"/>
      <c r="C1445" s="179"/>
      <c r="D1445" s="180"/>
      <c r="E1445" s="180"/>
      <c r="F1445" s="180"/>
      <c r="G1445" s="180"/>
      <c r="H1445" s="180"/>
      <c r="I1445" s="188" t="s">
        <v>1909</v>
      </c>
      <c r="J1445" s="207" t="s">
        <v>1002</v>
      </c>
      <c r="K1445" s="208">
        <f>3500*60%</f>
        <v>2100</v>
      </c>
      <c r="L1445" s="184"/>
      <c r="M1445" s="185"/>
      <c r="AV1445" s="138"/>
      <c r="AW1445" s="138"/>
      <c r="AX1445" s="138"/>
      <c r="AY1445" s="138"/>
      <c r="AZ1445" s="138"/>
      <c r="BA1445" s="138"/>
      <c r="BB1445" s="138"/>
      <c r="BC1445" s="138"/>
      <c r="BD1445" s="138"/>
      <c r="BE1445" s="138"/>
      <c r="BF1445" s="138"/>
      <c r="BG1445" s="138"/>
      <c r="BH1445" s="138"/>
      <c r="BI1445" s="138"/>
      <c r="BJ1445" s="138"/>
      <c r="BK1445" s="138"/>
      <c r="BL1445" s="138"/>
      <c r="BM1445" s="138"/>
      <c r="BN1445" s="138"/>
      <c r="BO1445" s="138"/>
    </row>
    <row r="1446" spans="1:67" x14ac:dyDescent="0.2">
      <c r="A1446" s="177"/>
      <c r="B1446" s="178"/>
      <c r="C1446" s="179"/>
      <c r="D1446" s="180"/>
      <c r="E1446" s="180"/>
      <c r="F1446" s="180"/>
      <c r="G1446" s="180"/>
      <c r="H1446" s="180"/>
      <c r="I1446" s="188" t="s">
        <v>1910</v>
      </c>
      <c r="J1446" s="207" t="s">
        <v>1002</v>
      </c>
      <c r="K1446" s="208">
        <f>3500*20%</f>
        <v>700</v>
      </c>
      <c r="L1446" s="184"/>
      <c r="M1446" s="185"/>
      <c r="AV1446" s="138"/>
      <c r="AW1446" s="138"/>
      <c r="AX1446" s="138"/>
      <c r="AY1446" s="138"/>
      <c r="AZ1446" s="138"/>
      <c r="BA1446" s="138"/>
      <c r="BB1446" s="138"/>
      <c r="BC1446" s="138"/>
      <c r="BD1446" s="138"/>
      <c r="BE1446" s="138"/>
      <c r="BF1446" s="138"/>
      <c r="BG1446" s="138"/>
      <c r="BH1446" s="138"/>
      <c r="BI1446" s="138"/>
      <c r="BJ1446" s="138"/>
      <c r="BK1446" s="138"/>
      <c r="BL1446" s="138"/>
      <c r="BM1446" s="138"/>
      <c r="BN1446" s="138"/>
      <c r="BO1446" s="138"/>
    </row>
    <row r="1447" spans="1:67" x14ac:dyDescent="0.2">
      <c r="A1447" s="177"/>
      <c r="B1447" s="178"/>
      <c r="C1447" s="179"/>
      <c r="D1447" s="180"/>
      <c r="E1447" s="180"/>
      <c r="F1447" s="180"/>
      <c r="G1447" s="180"/>
      <c r="H1447" s="180"/>
      <c r="I1447" s="188" t="s">
        <v>1911</v>
      </c>
      <c r="J1447" s="207" t="s">
        <v>1002</v>
      </c>
      <c r="K1447" s="208">
        <f>3500*10%</f>
        <v>350</v>
      </c>
      <c r="L1447" s="184"/>
      <c r="M1447" s="185"/>
      <c r="AV1447" s="138"/>
      <c r="AW1447" s="138"/>
      <c r="AX1447" s="138"/>
      <c r="AY1447" s="138"/>
      <c r="AZ1447" s="138"/>
      <c r="BA1447" s="138"/>
      <c r="BB1447" s="138"/>
      <c r="BC1447" s="138"/>
      <c r="BD1447" s="138"/>
      <c r="BE1447" s="138"/>
      <c r="BF1447" s="138"/>
      <c r="BG1447" s="138"/>
      <c r="BH1447" s="138"/>
      <c r="BI1447" s="138"/>
      <c r="BJ1447" s="138"/>
      <c r="BK1447" s="138"/>
      <c r="BL1447" s="138"/>
      <c r="BM1447" s="138"/>
      <c r="BN1447" s="138"/>
      <c r="BO1447" s="138"/>
    </row>
    <row r="1448" spans="1:67" x14ac:dyDescent="0.2">
      <c r="A1448" s="189"/>
      <c r="B1448" s="190"/>
      <c r="C1448" s="191"/>
      <c r="D1448" s="192"/>
      <c r="E1448" s="192"/>
      <c r="F1448" s="192"/>
      <c r="G1448" s="192"/>
      <c r="H1448" s="192"/>
      <c r="I1448" s="203"/>
      <c r="J1448" s="204"/>
      <c r="K1448" s="195">
        <f>SUM(K1444:K1447)</f>
        <v>3500</v>
      </c>
      <c r="L1448" s="196"/>
      <c r="M1448" s="197"/>
      <c r="AV1448" s="138"/>
      <c r="AW1448" s="138"/>
      <c r="AX1448" s="138"/>
      <c r="AY1448" s="138"/>
      <c r="AZ1448" s="138"/>
      <c r="BA1448" s="138"/>
      <c r="BB1448" s="138"/>
      <c r="BC1448" s="138"/>
      <c r="BD1448" s="138"/>
      <c r="BE1448" s="138"/>
      <c r="BF1448" s="138"/>
      <c r="BG1448" s="138"/>
      <c r="BH1448" s="138"/>
      <c r="BI1448" s="138"/>
      <c r="BJ1448" s="138"/>
      <c r="BK1448" s="138"/>
      <c r="BL1448" s="138"/>
      <c r="BM1448" s="138"/>
      <c r="BN1448" s="138"/>
      <c r="BO1448" s="138"/>
    </row>
    <row r="1449" spans="1:67" ht="23.25" customHeight="1" x14ac:dyDescent="0.2">
      <c r="A1449" s="167">
        <v>354</v>
      </c>
      <c r="B1449" s="168" t="s">
        <v>1912</v>
      </c>
      <c r="C1449" s="169"/>
      <c r="D1449" s="170" t="s">
        <v>107</v>
      </c>
      <c r="E1449" s="170"/>
      <c r="F1449" s="170"/>
      <c r="G1449" s="170"/>
      <c r="H1449" s="170"/>
      <c r="I1449" s="274" t="s">
        <v>1913</v>
      </c>
      <c r="J1449" s="247" t="s">
        <v>989</v>
      </c>
      <c r="K1449" s="206">
        <f>3500*50%</f>
        <v>1750</v>
      </c>
      <c r="L1449" s="174" t="s">
        <v>111</v>
      </c>
      <c r="M1449" s="175" t="s">
        <v>1914</v>
      </c>
      <c r="AV1449" s="138"/>
      <c r="AW1449" s="138"/>
      <c r="AX1449" s="138"/>
      <c r="AY1449" s="138"/>
      <c r="AZ1449" s="138"/>
      <c r="BA1449" s="138"/>
      <c r="BB1449" s="138"/>
      <c r="BC1449" s="138"/>
      <c r="BD1449" s="138"/>
      <c r="BE1449" s="138"/>
      <c r="BF1449" s="138"/>
      <c r="BG1449" s="138"/>
      <c r="BH1449" s="138"/>
      <c r="BI1449" s="138"/>
      <c r="BJ1449" s="138"/>
      <c r="BK1449" s="138"/>
      <c r="BL1449" s="138"/>
      <c r="BM1449" s="138"/>
      <c r="BN1449" s="138"/>
      <c r="BO1449" s="138"/>
    </row>
    <row r="1450" spans="1:67" x14ac:dyDescent="0.2">
      <c r="A1450" s="177"/>
      <c r="B1450" s="178"/>
      <c r="C1450" s="179"/>
      <c r="D1450" s="180"/>
      <c r="E1450" s="180"/>
      <c r="F1450" s="180"/>
      <c r="G1450" s="180"/>
      <c r="H1450" s="180"/>
      <c r="I1450" s="188" t="s">
        <v>1915</v>
      </c>
      <c r="J1450" s="207" t="s">
        <v>1002</v>
      </c>
      <c r="K1450" s="208">
        <f>3500*10%</f>
        <v>350</v>
      </c>
      <c r="L1450" s="184"/>
      <c r="M1450" s="185"/>
      <c r="AV1450" s="138"/>
      <c r="AW1450" s="138"/>
      <c r="AX1450" s="138"/>
      <c r="AY1450" s="138"/>
      <c r="AZ1450" s="138"/>
      <c r="BA1450" s="138"/>
      <c r="BB1450" s="138"/>
      <c r="BC1450" s="138"/>
      <c r="BD1450" s="138"/>
      <c r="BE1450" s="138"/>
      <c r="BF1450" s="138"/>
      <c r="BG1450" s="138"/>
      <c r="BH1450" s="138"/>
      <c r="BI1450" s="138"/>
      <c r="BJ1450" s="138"/>
      <c r="BK1450" s="138"/>
      <c r="BL1450" s="138"/>
      <c r="BM1450" s="138"/>
      <c r="BN1450" s="138"/>
      <c r="BO1450" s="138"/>
    </row>
    <row r="1451" spans="1:67" x14ac:dyDescent="0.2">
      <c r="A1451" s="177"/>
      <c r="B1451" s="178"/>
      <c r="C1451" s="179"/>
      <c r="D1451" s="180"/>
      <c r="E1451" s="180"/>
      <c r="F1451" s="180"/>
      <c r="G1451" s="180"/>
      <c r="H1451" s="180"/>
      <c r="I1451" s="188" t="s">
        <v>1916</v>
      </c>
      <c r="J1451" s="207" t="s">
        <v>1002</v>
      </c>
      <c r="K1451" s="208">
        <f>3500*10%</f>
        <v>350</v>
      </c>
      <c r="L1451" s="184"/>
      <c r="M1451" s="185"/>
      <c r="AV1451" s="138"/>
      <c r="AW1451" s="138"/>
      <c r="AX1451" s="138"/>
      <c r="AY1451" s="138"/>
      <c r="AZ1451" s="138"/>
      <c r="BA1451" s="138"/>
      <c r="BB1451" s="138"/>
      <c r="BC1451" s="138"/>
      <c r="BD1451" s="138"/>
      <c r="BE1451" s="138"/>
      <c r="BF1451" s="138"/>
      <c r="BG1451" s="138"/>
      <c r="BH1451" s="138"/>
      <c r="BI1451" s="138"/>
      <c r="BJ1451" s="138"/>
      <c r="BK1451" s="138"/>
      <c r="BL1451" s="138"/>
      <c r="BM1451" s="138"/>
      <c r="BN1451" s="138"/>
      <c r="BO1451" s="138"/>
    </row>
    <row r="1452" spans="1:67" x14ac:dyDescent="0.2">
      <c r="A1452" s="177"/>
      <c r="B1452" s="178"/>
      <c r="C1452" s="179"/>
      <c r="D1452" s="180"/>
      <c r="E1452" s="180"/>
      <c r="F1452" s="180"/>
      <c r="G1452" s="180"/>
      <c r="H1452" s="180"/>
      <c r="I1452" s="188" t="s">
        <v>1917</v>
      </c>
      <c r="J1452" s="207" t="s">
        <v>1002</v>
      </c>
      <c r="K1452" s="208">
        <f>3500*10%</f>
        <v>350</v>
      </c>
      <c r="L1452" s="184"/>
      <c r="M1452" s="185"/>
      <c r="AV1452" s="138"/>
      <c r="AW1452" s="138"/>
      <c r="AX1452" s="138"/>
      <c r="AY1452" s="138"/>
      <c r="AZ1452" s="138"/>
      <c r="BA1452" s="138"/>
      <c r="BB1452" s="138"/>
      <c r="BC1452" s="138"/>
      <c r="BD1452" s="138"/>
      <c r="BE1452" s="138"/>
      <c r="BF1452" s="138"/>
      <c r="BG1452" s="138"/>
      <c r="BH1452" s="138"/>
      <c r="BI1452" s="138"/>
      <c r="BJ1452" s="138"/>
      <c r="BK1452" s="138"/>
      <c r="BL1452" s="138"/>
      <c r="BM1452" s="138"/>
      <c r="BN1452" s="138"/>
      <c r="BO1452" s="138"/>
    </row>
    <row r="1453" spans="1:67" x14ac:dyDescent="0.2">
      <c r="A1453" s="177"/>
      <c r="B1453" s="178"/>
      <c r="C1453" s="179"/>
      <c r="D1453" s="180"/>
      <c r="E1453" s="180"/>
      <c r="F1453" s="180"/>
      <c r="G1453" s="180"/>
      <c r="H1453" s="180"/>
      <c r="I1453" s="188" t="s">
        <v>1896</v>
      </c>
      <c r="J1453" s="207" t="s">
        <v>1002</v>
      </c>
      <c r="K1453" s="208">
        <f>3500*10%</f>
        <v>350</v>
      </c>
      <c r="L1453" s="184"/>
      <c r="M1453" s="185"/>
      <c r="AV1453" s="138"/>
      <c r="AW1453" s="138"/>
      <c r="AX1453" s="138"/>
      <c r="AY1453" s="138"/>
      <c r="AZ1453" s="138"/>
      <c r="BA1453" s="138"/>
      <c r="BB1453" s="138"/>
      <c r="BC1453" s="138"/>
      <c r="BD1453" s="138"/>
      <c r="BE1453" s="138"/>
      <c r="BF1453" s="138"/>
      <c r="BG1453" s="138"/>
      <c r="BH1453" s="138"/>
      <c r="BI1453" s="138"/>
      <c r="BJ1453" s="138"/>
      <c r="BK1453" s="138"/>
      <c r="BL1453" s="138"/>
      <c r="BM1453" s="138"/>
      <c r="BN1453" s="138"/>
      <c r="BO1453" s="138"/>
    </row>
    <row r="1454" spans="1:67" x14ac:dyDescent="0.2">
      <c r="A1454" s="177"/>
      <c r="B1454" s="178"/>
      <c r="C1454" s="179"/>
      <c r="D1454" s="180"/>
      <c r="E1454" s="180"/>
      <c r="F1454" s="180"/>
      <c r="G1454" s="180"/>
      <c r="H1454" s="180"/>
      <c r="I1454" s="188" t="s">
        <v>1918</v>
      </c>
      <c r="J1454" s="207" t="s">
        <v>1002</v>
      </c>
      <c r="K1454" s="208">
        <f>3500*10%</f>
        <v>350</v>
      </c>
      <c r="L1454" s="184"/>
      <c r="M1454" s="185"/>
      <c r="AV1454" s="138"/>
      <c r="AW1454" s="138"/>
      <c r="AX1454" s="138"/>
      <c r="AY1454" s="138"/>
      <c r="AZ1454" s="138"/>
      <c r="BA1454" s="138"/>
      <c r="BB1454" s="138"/>
      <c r="BC1454" s="138"/>
      <c r="BD1454" s="138"/>
      <c r="BE1454" s="138"/>
      <c r="BF1454" s="138"/>
      <c r="BG1454" s="138"/>
      <c r="BH1454" s="138"/>
      <c r="BI1454" s="138"/>
      <c r="BJ1454" s="138"/>
      <c r="BK1454" s="138"/>
      <c r="BL1454" s="138"/>
      <c r="BM1454" s="138"/>
      <c r="BN1454" s="138"/>
      <c r="BO1454" s="138"/>
    </row>
    <row r="1455" spans="1:67" x14ac:dyDescent="0.2">
      <c r="A1455" s="189"/>
      <c r="B1455" s="190"/>
      <c r="C1455" s="191"/>
      <c r="D1455" s="192"/>
      <c r="E1455" s="192"/>
      <c r="F1455" s="192"/>
      <c r="G1455" s="192"/>
      <c r="H1455" s="192"/>
      <c r="I1455" s="203"/>
      <c r="J1455" s="204"/>
      <c r="K1455" s="195">
        <f>SUM(K1449:K1454)</f>
        <v>3500</v>
      </c>
      <c r="L1455" s="196"/>
      <c r="M1455" s="197"/>
      <c r="AV1455" s="138"/>
      <c r="AW1455" s="138"/>
      <c r="AX1455" s="138"/>
      <c r="AY1455" s="138"/>
      <c r="AZ1455" s="138"/>
      <c r="BA1455" s="138"/>
      <c r="BB1455" s="138"/>
      <c r="BC1455" s="138"/>
      <c r="BD1455" s="138"/>
      <c r="BE1455" s="138"/>
      <c r="BF1455" s="138"/>
      <c r="BG1455" s="138"/>
      <c r="BH1455" s="138"/>
      <c r="BI1455" s="138"/>
      <c r="BJ1455" s="138"/>
      <c r="BK1455" s="138"/>
      <c r="BL1455" s="138"/>
      <c r="BM1455" s="138"/>
      <c r="BN1455" s="138"/>
      <c r="BO1455" s="138"/>
    </row>
    <row r="1456" spans="1:67" ht="25.5" customHeight="1" x14ac:dyDescent="0.2">
      <c r="A1456" s="167">
        <v>355</v>
      </c>
      <c r="B1456" s="168" t="s">
        <v>1919</v>
      </c>
      <c r="C1456" s="169"/>
      <c r="D1456" s="170" t="s">
        <v>107</v>
      </c>
      <c r="E1456" s="170"/>
      <c r="F1456" s="170"/>
      <c r="G1456" s="170"/>
      <c r="H1456" s="170" t="s">
        <v>137</v>
      </c>
      <c r="I1456" s="274" t="s">
        <v>1920</v>
      </c>
      <c r="J1456" s="247" t="s">
        <v>989</v>
      </c>
      <c r="K1456" s="212">
        <f>4000*80%</f>
        <v>3200</v>
      </c>
      <c r="L1456" s="174" t="s">
        <v>111</v>
      </c>
      <c r="M1456" s="175" t="s">
        <v>1921</v>
      </c>
      <c r="AV1456" s="138"/>
      <c r="AW1456" s="138"/>
      <c r="AX1456" s="138"/>
      <c r="AY1456" s="138"/>
      <c r="AZ1456" s="138"/>
      <c r="BA1456" s="138"/>
      <c r="BB1456" s="138"/>
      <c r="BC1456" s="138"/>
      <c r="BD1456" s="138"/>
      <c r="BE1456" s="138"/>
      <c r="BF1456" s="138"/>
      <c r="BG1456" s="138"/>
      <c r="BH1456" s="138"/>
      <c r="BI1456" s="138"/>
      <c r="BJ1456" s="138"/>
      <c r="BK1456" s="138"/>
      <c r="BL1456" s="138"/>
      <c r="BM1456" s="138"/>
      <c r="BN1456" s="138"/>
      <c r="BO1456" s="138"/>
    </row>
    <row r="1457" spans="1:67" x14ac:dyDescent="0.2">
      <c r="A1457" s="177"/>
      <c r="B1457" s="178"/>
      <c r="C1457" s="179"/>
      <c r="D1457" s="180"/>
      <c r="E1457" s="180"/>
      <c r="F1457" s="180"/>
      <c r="G1457" s="180"/>
      <c r="H1457" s="180"/>
      <c r="I1457" s="188" t="s">
        <v>1922</v>
      </c>
      <c r="J1457" s="207" t="s">
        <v>1002</v>
      </c>
      <c r="K1457" s="229">
        <f>4000*10%</f>
        <v>400</v>
      </c>
      <c r="L1457" s="184"/>
      <c r="M1457" s="185"/>
      <c r="AV1457" s="138"/>
      <c r="AW1457" s="138"/>
      <c r="AX1457" s="138"/>
      <c r="AY1457" s="138"/>
      <c r="AZ1457" s="138"/>
      <c r="BA1457" s="138"/>
      <c r="BB1457" s="138"/>
      <c r="BC1457" s="138"/>
      <c r="BD1457" s="138"/>
      <c r="BE1457" s="138"/>
      <c r="BF1457" s="138"/>
      <c r="BG1457" s="138"/>
      <c r="BH1457" s="138"/>
      <c r="BI1457" s="138"/>
      <c r="BJ1457" s="138"/>
      <c r="BK1457" s="138"/>
      <c r="BL1457" s="138"/>
      <c r="BM1457" s="138"/>
      <c r="BN1457" s="138"/>
      <c r="BO1457" s="138"/>
    </row>
    <row r="1458" spans="1:67" x14ac:dyDescent="0.2">
      <c r="A1458" s="177"/>
      <c r="B1458" s="178"/>
      <c r="C1458" s="179"/>
      <c r="D1458" s="180"/>
      <c r="E1458" s="180"/>
      <c r="F1458" s="180"/>
      <c r="G1458" s="180"/>
      <c r="H1458" s="180"/>
      <c r="I1458" s="188" t="s">
        <v>1923</v>
      </c>
      <c r="J1458" s="207" t="s">
        <v>1002</v>
      </c>
      <c r="K1458" s="229">
        <f>4000*10%</f>
        <v>400</v>
      </c>
      <c r="L1458" s="184"/>
      <c r="M1458" s="185"/>
      <c r="AV1458" s="138"/>
      <c r="AW1458" s="138"/>
      <c r="AX1458" s="138"/>
      <c r="AY1458" s="138"/>
      <c r="AZ1458" s="138"/>
      <c r="BA1458" s="138"/>
      <c r="BB1458" s="138"/>
      <c r="BC1458" s="138"/>
      <c r="BD1458" s="138"/>
      <c r="BE1458" s="138"/>
      <c r="BF1458" s="138"/>
      <c r="BG1458" s="138"/>
      <c r="BH1458" s="138"/>
      <c r="BI1458" s="138"/>
      <c r="BJ1458" s="138"/>
      <c r="BK1458" s="138"/>
      <c r="BL1458" s="138"/>
      <c r="BM1458" s="138"/>
      <c r="BN1458" s="138"/>
      <c r="BO1458" s="138"/>
    </row>
    <row r="1459" spans="1:67" x14ac:dyDescent="0.2">
      <c r="A1459" s="189"/>
      <c r="B1459" s="190"/>
      <c r="C1459" s="191"/>
      <c r="D1459" s="192"/>
      <c r="E1459" s="192"/>
      <c r="F1459" s="192"/>
      <c r="G1459" s="192"/>
      <c r="H1459" s="192"/>
      <c r="I1459" s="203"/>
      <c r="J1459" s="204"/>
      <c r="K1459" s="216">
        <f>SUM(K1456:K1458)</f>
        <v>4000</v>
      </c>
      <c r="L1459" s="196"/>
      <c r="M1459" s="197"/>
      <c r="AV1459" s="138"/>
      <c r="AW1459" s="138"/>
      <c r="AX1459" s="138"/>
      <c r="AY1459" s="138"/>
      <c r="AZ1459" s="138"/>
      <c r="BA1459" s="138"/>
      <c r="BB1459" s="138"/>
      <c r="BC1459" s="138"/>
      <c r="BD1459" s="138"/>
      <c r="BE1459" s="138"/>
      <c r="BF1459" s="138"/>
      <c r="BG1459" s="138"/>
      <c r="BH1459" s="138"/>
      <c r="BI1459" s="138"/>
      <c r="BJ1459" s="138"/>
      <c r="BK1459" s="138"/>
      <c r="BL1459" s="138"/>
      <c r="BM1459" s="138"/>
      <c r="BN1459" s="138"/>
      <c r="BO1459" s="138"/>
    </row>
    <row r="1460" spans="1:67" ht="23.25" customHeight="1" x14ac:dyDescent="0.2">
      <c r="A1460" s="167">
        <v>356</v>
      </c>
      <c r="B1460" s="168" t="s">
        <v>1924</v>
      </c>
      <c r="C1460" s="169"/>
      <c r="D1460" s="170" t="s">
        <v>107</v>
      </c>
      <c r="E1460" s="170"/>
      <c r="F1460" s="170"/>
      <c r="G1460" s="170"/>
      <c r="H1460" s="170"/>
      <c r="I1460" s="274" t="s">
        <v>1925</v>
      </c>
      <c r="J1460" s="247" t="s">
        <v>989</v>
      </c>
      <c r="K1460" s="206">
        <f>3500*70%</f>
        <v>2450</v>
      </c>
      <c r="L1460" s="174" t="s">
        <v>111</v>
      </c>
      <c r="M1460" s="175" t="s">
        <v>1926</v>
      </c>
      <c r="AV1460" s="138"/>
      <c r="AW1460" s="138"/>
      <c r="AX1460" s="138"/>
      <c r="AY1460" s="138"/>
      <c r="AZ1460" s="138"/>
      <c r="BA1460" s="138"/>
      <c r="BB1460" s="138"/>
      <c r="BC1460" s="138"/>
      <c r="BD1460" s="138"/>
      <c r="BE1460" s="138"/>
      <c r="BF1460" s="138"/>
      <c r="BG1460" s="138"/>
      <c r="BH1460" s="138"/>
      <c r="BI1460" s="138"/>
      <c r="BJ1460" s="138"/>
      <c r="BK1460" s="138"/>
      <c r="BL1460" s="138"/>
      <c r="BM1460" s="138"/>
      <c r="BN1460" s="138"/>
      <c r="BO1460" s="138"/>
    </row>
    <row r="1461" spans="1:67" x14ac:dyDescent="0.2">
      <c r="A1461" s="177"/>
      <c r="B1461" s="178"/>
      <c r="C1461" s="179"/>
      <c r="D1461" s="180"/>
      <c r="E1461" s="180"/>
      <c r="F1461" s="180"/>
      <c r="G1461" s="180"/>
      <c r="H1461" s="180"/>
      <c r="I1461" s="188" t="s">
        <v>1927</v>
      </c>
      <c r="J1461" s="207" t="s">
        <v>1002</v>
      </c>
      <c r="K1461" s="208">
        <f>3500*30%</f>
        <v>1050</v>
      </c>
      <c r="L1461" s="184"/>
      <c r="M1461" s="185"/>
      <c r="AV1461" s="138"/>
      <c r="AW1461" s="138"/>
      <c r="AX1461" s="138"/>
      <c r="AY1461" s="138"/>
      <c r="AZ1461" s="138"/>
      <c r="BA1461" s="138"/>
      <c r="BB1461" s="138"/>
      <c r="BC1461" s="138"/>
      <c r="BD1461" s="138"/>
      <c r="BE1461" s="138"/>
      <c r="BF1461" s="138"/>
      <c r="BG1461" s="138"/>
      <c r="BH1461" s="138"/>
      <c r="BI1461" s="138"/>
      <c r="BJ1461" s="138"/>
      <c r="BK1461" s="138"/>
      <c r="BL1461" s="138"/>
      <c r="BM1461" s="138"/>
      <c r="BN1461" s="138"/>
      <c r="BO1461" s="138"/>
    </row>
    <row r="1462" spans="1:67" x14ac:dyDescent="0.2">
      <c r="A1462" s="189"/>
      <c r="B1462" s="190"/>
      <c r="C1462" s="191"/>
      <c r="D1462" s="192"/>
      <c r="E1462" s="192"/>
      <c r="F1462" s="192"/>
      <c r="G1462" s="192"/>
      <c r="H1462" s="192"/>
      <c r="I1462" s="203"/>
      <c r="J1462" s="204"/>
      <c r="K1462" s="195">
        <f>SUM(K1460:K1461)</f>
        <v>3500</v>
      </c>
      <c r="L1462" s="196"/>
      <c r="M1462" s="197"/>
      <c r="AV1462" s="138"/>
      <c r="AW1462" s="138"/>
      <c r="AX1462" s="138"/>
      <c r="AY1462" s="138"/>
      <c r="AZ1462" s="138"/>
      <c r="BA1462" s="138"/>
      <c r="BB1462" s="138"/>
      <c r="BC1462" s="138"/>
      <c r="BD1462" s="138"/>
      <c r="BE1462" s="138"/>
      <c r="BF1462" s="138"/>
      <c r="BG1462" s="138"/>
      <c r="BH1462" s="138"/>
      <c r="BI1462" s="138"/>
      <c r="BJ1462" s="138"/>
      <c r="BK1462" s="138"/>
      <c r="BL1462" s="138"/>
      <c r="BM1462" s="138"/>
      <c r="BN1462" s="138"/>
      <c r="BO1462" s="138"/>
    </row>
    <row r="1463" spans="1:67" ht="23.25" customHeight="1" x14ac:dyDescent="0.2">
      <c r="A1463" s="167">
        <v>357</v>
      </c>
      <c r="B1463" s="168" t="s">
        <v>1928</v>
      </c>
      <c r="C1463" s="169"/>
      <c r="D1463" s="170" t="s">
        <v>107</v>
      </c>
      <c r="E1463" s="170"/>
      <c r="F1463" s="170"/>
      <c r="G1463" s="170"/>
      <c r="H1463" s="170"/>
      <c r="I1463" s="274" t="s">
        <v>1929</v>
      </c>
      <c r="J1463" s="247" t="s">
        <v>989</v>
      </c>
      <c r="K1463" s="206">
        <f>3500*70%</f>
        <v>2450</v>
      </c>
      <c r="L1463" s="174" t="s">
        <v>111</v>
      </c>
      <c r="M1463" s="175" t="s">
        <v>1930</v>
      </c>
      <c r="AV1463" s="138"/>
      <c r="AW1463" s="138"/>
      <c r="AX1463" s="138"/>
      <c r="AY1463" s="138"/>
      <c r="AZ1463" s="138"/>
      <c r="BA1463" s="138"/>
      <c r="BB1463" s="138"/>
      <c r="BC1463" s="138"/>
      <c r="BD1463" s="138"/>
      <c r="BE1463" s="138"/>
      <c r="BF1463" s="138"/>
      <c r="BG1463" s="138"/>
      <c r="BH1463" s="138"/>
      <c r="BI1463" s="138"/>
      <c r="BJ1463" s="138"/>
      <c r="BK1463" s="138"/>
      <c r="BL1463" s="138"/>
      <c r="BM1463" s="138"/>
      <c r="BN1463" s="138"/>
      <c r="BO1463" s="138"/>
    </row>
    <row r="1464" spans="1:67" x14ac:dyDescent="0.2">
      <c r="A1464" s="177"/>
      <c r="B1464" s="178"/>
      <c r="C1464" s="179"/>
      <c r="D1464" s="180"/>
      <c r="E1464" s="180"/>
      <c r="F1464" s="180"/>
      <c r="G1464" s="180"/>
      <c r="H1464" s="180"/>
      <c r="I1464" s="188" t="s">
        <v>1931</v>
      </c>
      <c r="J1464" s="207" t="s">
        <v>1002</v>
      </c>
      <c r="K1464" s="208">
        <f>3500*30%</f>
        <v>1050</v>
      </c>
      <c r="L1464" s="184"/>
      <c r="M1464" s="185"/>
      <c r="AV1464" s="138"/>
      <c r="AW1464" s="138"/>
      <c r="AX1464" s="138"/>
      <c r="AY1464" s="138"/>
      <c r="AZ1464" s="138"/>
      <c r="BA1464" s="138"/>
      <c r="BB1464" s="138"/>
      <c r="BC1464" s="138"/>
      <c r="BD1464" s="138"/>
      <c r="BE1464" s="138"/>
      <c r="BF1464" s="138"/>
      <c r="BG1464" s="138"/>
      <c r="BH1464" s="138"/>
      <c r="BI1464" s="138"/>
      <c r="BJ1464" s="138"/>
      <c r="BK1464" s="138"/>
      <c r="BL1464" s="138"/>
      <c r="BM1464" s="138"/>
      <c r="BN1464" s="138"/>
      <c r="BO1464" s="138"/>
    </row>
    <row r="1465" spans="1:67" x14ac:dyDescent="0.2">
      <c r="A1465" s="189"/>
      <c r="B1465" s="190"/>
      <c r="C1465" s="191"/>
      <c r="D1465" s="192"/>
      <c r="E1465" s="192"/>
      <c r="F1465" s="192"/>
      <c r="G1465" s="192"/>
      <c r="H1465" s="192"/>
      <c r="I1465" s="203"/>
      <c r="J1465" s="204"/>
      <c r="K1465" s="195">
        <f>SUM(K1463:K1464)</f>
        <v>3500</v>
      </c>
      <c r="L1465" s="196"/>
      <c r="M1465" s="197"/>
      <c r="AV1465" s="138"/>
      <c r="AW1465" s="138"/>
      <c r="AX1465" s="138"/>
      <c r="AY1465" s="138"/>
      <c r="AZ1465" s="138"/>
      <c r="BA1465" s="138"/>
      <c r="BB1465" s="138"/>
      <c r="BC1465" s="138"/>
      <c r="BD1465" s="138"/>
      <c r="BE1465" s="138"/>
      <c r="BF1465" s="138"/>
      <c r="BG1465" s="138"/>
      <c r="BH1465" s="138"/>
      <c r="BI1465" s="138"/>
      <c r="BJ1465" s="138"/>
      <c r="BK1465" s="138"/>
      <c r="BL1465" s="138"/>
      <c r="BM1465" s="138"/>
      <c r="BN1465" s="138"/>
      <c r="BO1465" s="138"/>
    </row>
    <row r="1466" spans="1:67" ht="24.75" customHeight="1" x14ac:dyDescent="0.2">
      <c r="A1466" s="167">
        <v>358</v>
      </c>
      <c r="B1466" s="168" t="s">
        <v>1932</v>
      </c>
      <c r="C1466" s="169"/>
      <c r="D1466" s="170" t="s">
        <v>107</v>
      </c>
      <c r="E1466" s="170"/>
      <c r="F1466" s="170"/>
      <c r="G1466" s="170"/>
      <c r="H1466" s="170"/>
      <c r="I1466" s="274" t="s">
        <v>1933</v>
      </c>
      <c r="J1466" s="247" t="s">
        <v>989</v>
      </c>
      <c r="K1466" s="206">
        <f>3500*50%</f>
        <v>1750</v>
      </c>
      <c r="L1466" s="174" t="s">
        <v>111</v>
      </c>
      <c r="M1466" s="175" t="s">
        <v>1934</v>
      </c>
      <c r="AV1466" s="138"/>
      <c r="AW1466" s="138"/>
      <c r="AX1466" s="138"/>
      <c r="AY1466" s="138"/>
      <c r="AZ1466" s="138"/>
      <c r="BA1466" s="138"/>
      <c r="BB1466" s="138"/>
      <c r="BC1466" s="138"/>
      <c r="BD1466" s="138"/>
      <c r="BE1466" s="138"/>
      <c r="BF1466" s="138"/>
      <c r="BG1466" s="138"/>
      <c r="BH1466" s="138"/>
      <c r="BI1466" s="138"/>
      <c r="BJ1466" s="138"/>
      <c r="BK1466" s="138"/>
      <c r="BL1466" s="138"/>
      <c r="BM1466" s="138"/>
      <c r="BN1466" s="138"/>
      <c r="BO1466" s="138"/>
    </row>
    <row r="1467" spans="1:67" x14ac:dyDescent="0.2">
      <c r="A1467" s="177"/>
      <c r="B1467" s="178"/>
      <c r="C1467" s="179"/>
      <c r="D1467" s="180"/>
      <c r="E1467" s="180"/>
      <c r="F1467" s="180"/>
      <c r="G1467" s="180"/>
      <c r="H1467" s="180"/>
      <c r="I1467" s="188" t="s">
        <v>1935</v>
      </c>
      <c r="J1467" s="207" t="s">
        <v>1002</v>
      </c>
      <c r="K1467" s="208">
        <f>3500*20%</f>
        <v>700</v>
      </c>
      <c r="L1467" s="184"/>
      <c r="M1467" s="185"/>
      <c r="AV1467" s="138"/>
      <c r="AW1467" s="138"/>
      <c r="AX1467" s="138"/>
      <c r="AY1467" s="138"/>
      <c r="AZ1467" s="138"/>
      <c r="BA1467" s="138"/>
      <c r="BB1467" s="138"/>
      <c r="BC1467" s="138"/>
      <c r="BD1467" s="138"/>
      <c r="BE1467" s="138"/>
      <c r="BF1467" s="138"/>
      <c r="BG1467" s="138"/>
      <c r="BH1467" s="138"/>
      <c r="BI1467" s="138"/>
      <c r="BJ1467" s="138"/>
      <c r="BK1467" s="138"/>
      <c r="BL1467" s="138"/>
      <c r="BM1467" s="138"/>
      <c r="BN1467" s="138"/>
      <c r="BO1467" s="138"/>
    </row>
    <row r="1468" spans="1:67" x14ac:dyDescent="0.2">
      <c r="A1468" s="177"/>
      <c r="B1468" s="178"/>
      <c r="C1468" s="179"/>
      <c r="D1468" s="180"/>
      <c r="E1468" s="180"/>
      <c r="F1468" s="180"/>
      <c r="G1468" s="180"/>
      <c r="H1468" s="180"/>
      <c r="I1468" s="188" t="s">
        <v>1936</v>
      </c>
      <c r="J1468" s="207" t="s">
        <v>1002</v>
      </c>
      <c r="K1468" s="208">
        <f>3500*10%</f>
        <v>350</v>
      </c>
      <c r="L1468" s="184"/>
      <c r="M1468" s="185"/>
      <c r="AV1468" s="138"/>
      <c r="AW1468" s="138"/>
      <c r="AX1468" s="138"/>
      <c r="AY1468" s="138"/>
      <c r="AZ1468" s="138"/>
      <c r="BA1468" s="138"/>
      <c r="BB1468" s="138"/>
      <c r="BC1468" s="138"/>
      <c r="BD1468" s="138"/>
      <c r="BE1468" s="138"/>
      <c r="BF1468" s="138"/>
      <c r="BG1468" s="138"/>
      <c r="BH1468" s="138"/>
      <c r="BI1468" s="138"/>
      <c r="BJ1468" s="138"/>
      <c r="BK1468" s="138"/>
      <c r="BL1468" s="138"/>
      <c r="BM1468" s="138"/>
      <c r="BN1468" s="138"/>
      <c r="BO1468" s="138"/>
    </row>
    <row r="1469" spans="1:67" x14ac:dyDescent="0.2">
      <c r="A1469" s="177"/>
      <c r="B1469" s="178"/>
      <c r="C1469" s="179"/>
      <c r="D1469" s="180"/>
      <c r="E1469" s="180"/>
      <c r="F1469" s="180"/>
      <c r="G1469" s="180"/>
      <c r="H1469" s="180"/>
      <c r="I1469" s="188" t="s">
        <v>1865</v>
      </c>
      <c r="J1469" s="207" t="s">
        <v>1002</v>
      </c>
      <c r="K1469" s="208">
        <f>3500*10%</f>
        <v>350</v>
      </c>
      <c r="L1469" s="184"/>
      <c r="M1469" s="185"/>
      <c r="AV1469" s="138"/>
      <c r="AW1469" s="138"/>
      <c r="AX1469" s="138"/>
      <c r="AY1469" s="138"/>
      <c r="AZ1469" s="138"/>
      <c r="BA1469" s="138"/>
      <c r="BB1469" s="138"/>
      <c r="BC1469" s="138"/>
      <c r="BD1469" s="138"/>
      <c r="BE1469" s="138"/>
      <c r="BF1469" s="138"/>
      <c r="BG1469" s="138"/>
      <c r="BH1469" s="138"/>
      <c r="BI1469" s="138"/>
      <c r="BJ1469" s="138"/>
      <c r="BK1469" s="138"/>
      <c r="BL1469" s="138"/>
      <c r="BM1469" s="138"/>
      <c r="BN1469" s="138"/>
      <c r="BO1469" s="138"/>
    </row>
    <row r="1470" spans="1:67" x14ac:dyDescent="0.2">
      <c r="A1470" s="177"/>
      <c r="B1470" s="178"/>
      <c r="C1470" s="179"/>
      <c r="D1470" s="180"/>
      <c r="E1470" s="180"/>
      <c r="F1470" s="180"/>
      <c r="G1470" s="180"/>
      <c r="H1470" s="180"/>
      <c r="I1470" s="188" t="s">
        <v>1937</v>
      </c>
      <c r="J1470" s="207" t="s">
        <v>1002</v>
      </c>
      <c r="K1470" s="208">
        <f>3500*10%</f>
        <v>350</v>
      </c>
      <c r="L1470" s="184"/>
      <c r="M1470" s="185"/>
      <c r="AV1470" s="138"/>
      <c r="AW1470" s="138"/>
      <c r="AX1470" s="138"/>
      <c r="AY1470" s="138"/>
      <c r="AZ1470" s="138"/>
      <c r="BA1470" s="138"/>
      <c r="BB1470" s="138"/>
      <c r="BC1470" s="138"/>
      <c r="BD1470" s="138"/>
      <c r="BE1470" s="138"/>
      <c r="BF1470" s="138"/>
      <c r="BG1470" s="138"/>
      <c r="BH1470" s="138"/>
      <c r="BI1470" s="138"/>
      <c r="BJ1470" s="138"/>
      <c r="BK1470" s="138"/>
      <c r="BL1470" s="138"/>
      <c r="BM1470" s="138"/>
      <c r="BN1470" s="138"/>
      <c r="BO1470" s="138"/>
    </row>
    <row r="1471" spans="1:67" x14ac:dyDescent="0.2">
      <c r="A1471" s="189"/>
      <c r="B1471" s="190"/>
      <c r="C1471" s="191"/>
      <c r="D1471" s="192"/>
      <c r="E1471" s="192"/>
      <c r="F1471" s="192"/>
      <c r="G1471" s="192"/>
      <c r="H1471" s="192"/>
      <c r="I1471" s="203"/>
      <c r="J1471" s="204"/>
      <c r="K1471" s="195">
        <f>SUM(K1466:K1470)</f>
        <v>3500</v>
      </c>
      <c r="L1471" s="196"/>
      <c r="M1471" s="197"/>
      <c r="AV1471" s="138"/>
      <c r="AW1471" s="138"/>
      <c r="AX1471" s="138"/>
      <c r="AY1471" s="138"/>
      <c r="AZ1471" s="138"/>
      <c r="BA1471" s="138"/>
      <c r="BB1471" s="138"/>
      <c r="BC1471" s="138"/>
      <c r="BD1471" s="138"/>
      <c r="BE1471" s="138"/>
      <c r="BF1471" s="138"/>
      <c r="BG1471" s="138"/>
      <c r="BH1471" s="138"/>
      <c r="BI1471" s="138"/>
      <c r="BJ1471" s="138"/>
      <c r="BK1471" s="138"/>
      <c r="BL1471" s="138"/>
      <c r="BM1471" s="138"/>
      <c r="BN1471" s="138"/>
      <c r="BO1471" s="138"/>
    </row>
    <row r="1472" spans="1:67" ht="23.25" customHeight="1" x14ac:dyDescent="0.2">
      <c r="A1472" s="167">
        <v>359</v>
      </c>
      <c r="B1472" s="168" t="s">
        <v>1938</v>
      </c>
      <c r="C1472" s="169"/>
      <c r="D1472" s="170" t="s">
        <v>107</v>
      </c>
      <c r="E1472" s="170"/>
      <c r="F1472" s="170"/>
      <c r="G1472" s="170"/>
      <c r="H1472" s="170"/>
      <c r="I1472" s="274" t="s">
        <v>1939</v>
      </c>
      <c r="J1472" s="247" t="s">
        <v>989</v>
      </c>
      <c r="K1472" s="206">
        <f>4100*70%</f>
        <v>2870</v>
      </c>
      <c r="L1472" s="174" t="s">
        <v>111</v>
      </c>
      <c r="M1472" s="175" t="s">
        <v>1940</v>
      </c>
      <c r="AV1472" s="138"/>
      <c r="AW1472" s="138"/>
      <c r="AX1472" s="138"/>
      <c r="AY1472" s="138"/>
      <c r="AZ1472" s="138"/>
      <c r="BA1472" s="138"/>
      <c r="BB1472" s="138"/>
      <c r="BC1472" s="138"/>
      <c r="BD1472" s="138"/>
      <c r="BE1472" s="138"/>
      <c r="BF1472" s="138"/>
      <c r="BG1472" s="138"/>
      <c r="BH1472" s="138"/>
      <c r="BI1472" s="138"/>
      <c r="BJ1472" s="138"/>
      <c r="BK1472" s="138"/>
      <c r="BL1472" s="138"/>
      <c r="BM1472" s="138"/>
      <c r="BN1472" s="138"/>
      <c r="BO1472" s="138"/>
    </row>
    <row r="1473" spans="1:67" ht="48" x14ac:dyDescent="0.2">
      <c r="A1473" s="177"/>
      <c r="B1473" s="178"/>
      <c r="C1473" s="179"/>
      <c r="D1473" s="180"/>
      <c r="E1473" s="180"/>
      <c r="F1473" s="180"/>
      <c r="G1473" s="180"/>
      <c r="H1473" s="180"/>
      <c r="I1473" s="188" t="s">
        <v>1941</v>
      </c>
      <c r="J1473" s="207" t="s">
        <v>1002</v>
      </c>
      <c r="K1473" s="208">
        <f>4100*30%</f>
        <v>1230</v>
      </c>
      <c r="L1473" s="184"/>
      <c r="M1473" s="185"/>
      <c r="AV1473" s="138"/>
      <c r="AW1473" s="138"/>
      <c r="AX1473" s="138"/>
      <c r="AY1473" s="138"/>
      <c r="AZ1473" s="138"/>
      <c r="BA1473" s="138"/>
      <c r="BB1473" s="138"/>
      <c r="BC1473" s="138"/>
      <c r="BD1473" s="138"/>
      <c r="BE1473" s="138"/>
      <c r="BF1473" s="138"/>
      <c r="BG1473" s="138"/>
      <c r="BH1473" s="138"/>
      <c r="BI1473" s="138"/>
      <c r="BJ1473" s="138"/>
      <c r="BK1473" s="138"/>
      <c r="BL1473" s="138"/>
      <c r="BM1473" s="138"/>
      <c r="BN1473" s="138"/>
      <c r="BO1473" s="138"/>
    </row>
    <row r="1474" spans="1:67" x14ac:dyDescent="0.2">
      <c r="A1474" s="189"/>
      <c r="B1474" s="190"/>
      <c r="C1474" s="191"/>
      <c r="D1474" s="192"/>
      <c r="E1474" s="192"/>
      <c r="F1474" s="192"/>
      <c r="G1474" s="192"/>
      <c r="H1474" s="192"/>
      <c r="I1474" s="203"/>
      <c r="J1474" s="204"/>
      <c r="K1474" s="195">
        <f>SUM(K1472:K1473)</f>
        <v>4100</v>
      </c>
      <c r="L1474" s="196"/>
      <c r="M1474" s="197"/>
      <c r="AV1474" s="138"/>
      <c r="AW1474" s="138"/>
      <c r="AX1474" s="138"/>
      <c r="AY1474" s="138"/>
      <c r="AZ1474" s="138"/>
      <c r="BA1474" s="138"/>
      <c r="BB1474" s="138"/>
      <c r="BC1474" s="138"/>
      <c r="BD1474" s="138"/>
      <c r="BE1474" s="138"/>
      <c r="BF1474" s="138"/>
      <c r="BG1474" s="138"/>
      <c r="BH1474" s="138"/>
      <c r="BI1474" s="138"/>
      <c r="BJ1474" s="138"/>
      <c r="BK1474" s="138"/>
      <c r="BL1474" s="138"/>
      <c r="BM1474" s="138"/>
      <c r="BN1474" s="138"/>
      <c r="BO1474" s="138"/>
    </row>
    <row r="1475" spans="1:67" ht="22.5" customHeight="1" x14ac:dyDescent="0.2">
      <c r="A1475" s="167">
        <v>360</v>
      </c>
      <c r="B1475" s="168" t="s">
        <v>1942</v>
      </c>
      <c r="C1475" s="169"/>
      <c r="D1475" s="170" t="s">
        <v>107</v>
      </c>
      <c r="E1475" s="170"/>
      <c r="F1475" s="170"/>
      <c r="G1475" s="170"/>
      <c r="H1475" s="170"/>
      <c r="I1475" s="274" t="s">
        <v>1943</v>
      </c>
      <c r="J1475" s="247" t="s">
        <v>989</v>
      </c>
      <c r="K1475" s="206">
        <f>3700*40%</f>
        <v>1480</v>
      </c>
      <c r="L1475" s="174" t="s">
        <v>111</v>
      </c>
      <c r="M1475" s="175" t="s">
        <v>1944</v>
      </c>
      <c r="AV1475" s="138"/>
      <c r="AW1475" s="138"/>
      <c r="AX1475" s="138"/>
      <c r="AY1475" s="138"/>
      <c r="AZ1475" s="138"/>
      <c r="BA1475" s="138"/>
      <c r="BB1475" s="138"/>
      <c r="BC1475" s="138"/>
      <c r="BD1475" s="138"/>
      <c r="BE1475" s="138"/>
      <c r="BF1475" s="138"/>
      <c r="BG1475" s="138"/>
      <c r="BH1475" s="138"/>
      <c r="BI1475" s="138"/>
      <c r="BJ1475" s="138"/>
      <c r="BK1475" s="138"/>
      <c r="BL1475" s="138"/>
      <c r="BM1475" s="138"/>
      <c r="BN1475" s="138"/>
      <c r="BO1475" s="138"/>
    </row>
    <row r="1476" spans="1:67" x14ac:dyDescent="0.2">
      <c r="A1476" s="177"/>
      <c r="B1476" s="178"/>
      <c r="C1476" s="179"/>
      <c r="D1476" s="180"/>
      <c r="E1476" s="180"/>
      <c r="F1476" s="180"/>
      <c r="G1476" s="180"/>
      <c r="H1476" s="180"/>
      <c r="I1476" s="188" t="s">
        <v>1945</v>
      </c>
      <c r="J1476" s="207" t="s">
        <v>1002</v>
      </c>
      <c r="K1476" s="208">
        <f t="shared" ref="K1476:K1481" si="31">3700*10%</f>
        <v>370</v>
      </c>
      <c r="L1476" s="184"/>
      <c r="M1476" s="185"/>
      <c r="AV1476" s="138"/>
      <c r="AW1476" s="138"/>
      <c r="AX1476" s="138"/>
      <c r="AY1476" s="138"/>
      <c r="AZ1476" s="138"/>
      <c r="BA1476" s="138"/>
      <c r="BB1476" s="138"/>
      <c r="BC1476" s="138"/>
      <c r="BD1476" s="138"/>
      <c r="BE1476" s="138"/>
      <c r="BF1476" s="138"/>
      <c r="BG1476" s="138"/>
      <c r="BH1476" s="138"/>
      <c r="BI1476" s="138"/>
      <c r="BJ1476" s="138"/>
      <c r="BK1476" s="138"/>
      <c r="BL1476" s="138"/>
      <c r="BM1476" s="138"/>
      <c r="BN1476" s="138"/>
      <c r="BO1476" s="138"/>
    </row>
    <row r="1477" spans="1:67" ht="48" x14ac:dyDescent="0.2">
      <c r="A1477" s="177"/>
      <c r="B1477" s="178"/>
      <c r="C1477" s="179"/>
      <c r="D1477" s="180"/>
      <c r="E1477" s="180"/>
      <c r="F1477" s="180"/>
      <c r="G1477" s="180"/>
      <c r="H1477" s="180"/>
      <c r="I1477" s="188" t="s">
        <v>1946</v>
      </c>
      <c r="J1477" s="207" t="s">
        <v>1002</v>
      </c>
      <c r="K1477" s="208">
        <f t="shared" si="31"/>
        <v>370</v>
      </c>
      <c r="L1477" s="184"/>
      <c r="M1477" s="185"/>
      <c r="AV1477" s="138"/>
      <c r="AW1477" s="138"/>
      <c r="AX1477" s="138"/>
      <c r="AY1477" s="138"/>
      <c r="AZ1477" s="138"/>
      <c r="BA1477" s="138"/>
      <c r="BB1477" s="138"/>
      <c r="BC1477" s="138"/>
      <c r="BD1477" s="138"/>
      <c r="BE1477" s="138"/>
      <c r="BF1477" s="138"/>
      <c r="BG1477" s="138"/>
      <c r="BH1477" s="138"/>
      <c r="BI1477" s="138"/>
      <c r="BJ1477" s="138"/>
      <c r="BK1477" s="138"/>
      <c r="BL1477" s="138"/>
      <c r="BM1477" s="138"/>
      <c r="BN1477" s="138"/>
      <c r="BO1477" s="138"/>
    </row>
    <row r="1478" spans="1:67" ht="48" x14ac:dyDescent="0.2">
      <c r="A1478" s="177"/>
      <c r="B1478" s="178"/>
      <c r="C1478" s="179"/>
      <c r="D1478" s="180"/>
      <c r="E1478" s="180"/>
      <c r="F1478" s="180"/>
      <c r="G1478" s="180"/>
      <c r="H1478" s="180"/>
      <c r="I1478" s="188" t="s">
        <v>1947</v>
      </c>
      <c r="J1478" s="207" t="s">
        <v>1002</v>
      </c>
      <c r="K1478" s="208">
        <f t="shared" si="31"/>
        <v>370</v>
      </c>
      <c r="L1478" s="184"/>
      <c r="M1478" s="185"/>
      <c r="AV1478" s="138"/>
      <c r="AW1478" s="138"/>
      <c r="AX1478" s="138"/>
      <c r="AY1478" s="138"/>
      <c r="AZ1478" s="138"/>
      <c r="BA1478" s="138"/>
      <c r="BB1478" s="138"/>
      <c r="BC1478" s="138"/>
      <c r="BD1478" s="138"/>
      <c r="BE1478" s="138"/>
      <c r="BF1478" s="138"/>
      <c r="BG1478" s="138"/>
      <c r="BH1478" s="138"/>
      <c r="BI1478" s="138"/>
      <c r="BJ1478" s="138"/>
      <c r="BK1478" s="138"/>
      <c r="BL1478" s="138"/>
      <c r="BM1478" s="138"/>
      <c r="BN1478" s="138"/>
      <c r="BO1478" s="138"/>
    </row>
    <row r="1479" spans="1:67" ht="48" x14ac:dyDescent="0.2">
      <c r="A1479" s="177"/>
      <c r="B1479" s="178"/>
      <c r="C1479" s="179"/>
      <c r="D1479" s="180"/>
      <c r="E1479" s="180"/>
      <c r="F1479" s="180"/>
      <c r="G1479" s="180"/>
      <c r="H1479" s="180"/>
      <c r="I1479" s="188" t="s">
        <v>1948</v>
      </c>
      <c r="J1479" s="207" t="s">
        <v>1002</v>
      </c>
      <c r="K1479" s="208">
        <f t="shared" si="31"/>
        <v>370</v>
      </c>
      <c r="L1479" s="184"/>
      <c r="M1479" s="185"/>
      <c r="AV1479" s="138"/>
      <c r="AW1479" s="138"/>
      <c r="AX1479" s="138"/>
      <c r="AY1479" s="138"/>
      <c r="AZ1479" s="138"/>
      <c r="BA1479" s="138"/>
      <c r="BB1479" s="138"/>
      <c r="BC1479" s="138"/>
      <c r="BD1479" s="138"/>
      <c r="BE1479" s="138"/>
      <c r="BF1479" s="138"/>
      <c r="BG1479" s="138"/>
      <c r="BH1479" s="138"/>
      <c r="BI1479" s="138"/>
      <c r="BJ1479" s="138"/>
      <c r="BK1479" s="138"/>
      <c r="BL1479" s="138"/>
      <c r="BM1479" s="138"/>
      <c r="BN1479" s="138"/>
      <c r="BO1479" s="138"/>
    </row>
    <row r="1480" spans="1:67" x14ac:dyDescent="0.2">
      <c r="A1480" s="177"/>
      <c r="B1480" s="178"/>
      <c r="C1480" s="179"/>
      <c r="D1480" s="180"/>
      <c r="E1480" s="180"/>
      <c r="F1480" s="180"/>
      <c r="G1480" s="180"/>
      <c r="H1480" s="180"/>
      <c r="I1480" s="188" t="s">
        <v>1949</v>
      </c>
      <c r="J1480" s="207" t="s">
        <v>1002</v>
      </c>
      <c r="K1480" s="208">
        <f t="shared" si="31"/>
        <v>370</v>
      </c>
      <c r="L1480" s="184"/>
      <c r="M1480" s="185"/>
      <c r="AV1480" s="138"/>
      <c r="AW1480" s="138"/>
      <c r="AX1480" s="138"/>
      <c r="AY1480" s="138"/>
      <c r="AZ1480" s="138"/>
      <c r="BA1480" s="138"/>
      <c r="BB1480" s="138"/>
      <c r="BC1480" s="138"/>
      <c r="BD1480" s="138"/>
      <c r="BE1480" s="138"/>
      <c r="BF1480" s="138"/>
      <c r="BG1480" s="138"/>
      <c r="BH1480" s="138"/>
      <c r="BI1480" s="138"/>
      <c r="BJ1480" s="138"/>
      <c r="BK1480" s="138"/>
      <c r="BL1480" s="138"/>
      <c r="BM1480" s="138"/>
      <c r="BN1480" s="138"/>
      <c r="BO1480" s="138"/>
    </row>
    <row r="1481" spans="1:67" x14ac:dyDescent="0.2">
      <c r="A1481" s="177"/>
      <c r="B1481" s="178"/>
      <c r="C1481" s="179"/>
      <c r="D1481" s="180"/>
      <c r="E1481" s="180"/>
      <c r="F1481" s="180"/>
      <c r="G1481" s="180"/>
      <c r="H1481" s="180"/>
      <c r="I1481" s="188" t="s">
        <v>1950</v>
      </c>
      <c r="J1481" s="207" t="s">
        <v>1002</v>
      </c>
      <c r="K1481" s="208">
        <f t="shared" si="31"/>
        <v>370</v>
      </c>
      <c r="L1481" s="184"/>
      <c r="M1481" s="185"/>
      <c r="AV1481" s="138"/>
      <c r="AW1481" s="138"/>
      <c r="AX1481" s="138"/>
      <c r="AY1481" s="138"/>
      <c r="AZ1481" s="138"/>
      <c r="BA1481" s="138"/>
      <c r="BB1481" s="138"/>
      <c r="BC1481" s="138"/>
      <c r="BD1481" s="138"/>
      <c r="BE1481" s="138"/>
      <c r="BF1481" s="138"/>
      <c r="BG1481" s="138"/>
      <c r="BH1481" s="138"/>
      <c r="BI1481" s="138"/>
      <c r="BJ1481" s="138"/>
      <c r="BK1481" s="138"/>
      <c r="BL1481" s="138"/>
      <c r="BM1481" s="138"/>
      <c r="BN1481" s="138"/>
      <c r="BO1481" s="138"/>
    </row>
    <row r="1482" spans="1:67" x14ac:dyDescent="0.2">
      <c r="A1482" s="189"/>
      <c r="B1482" s="190"/>
      <c r="C1482" s="191"/>
      <c r="D1482" s="192"/>
      <c r="E1482" s="192"/>
      <c r="F1482" s="192"/>
      <c r="G1482" s="192"/>
      <c r="H1482" s="192"/>
      <c r="I1482" s="203"/>
      <c r="J1482" s="204"/>
      <c r="K1482" s="195">
        <f>SUM(K1475:K1481)</f>
        <v>3700</v>
      </c>
      <c r="L1482" s="196"/>
      <c r="M1482" s="197"/>
      <c r="AV1482" s="138"/>
      <c r="AW1482" s="138"/>
      <c r="AX1482" s="138"/>
      <c r="AY1482" s="138"/>
      <c r="AZ1482" s="138"/>
      <c r="BA1482" s="138"/>
      <c r="BB1482" s="138"/>
      <c r="BC1482" s="138"/>
      <c r="BD1482" s="138"/>
      <c r="BE1482" s="138"/>
      <c r="BF1482" s="138"/>
      <c r="BG1482" s="138"/>
      <c r="BH1482" s="138"/>
      <c r="BI1482" s="138"/>
      <c r="BJ1482" s="138"/>
      <c r="BK1482" s="138"/>
      <c r="BL1482" s="138"/>
      <c r="BM1482" s="138"/>
      <c r="BN1482" s="138"/>
      <c r="BO1482" s="138"/>
    </row>
    <row r="1483" spans="1:67" ht="24.75" customHeight="1" x14ac:dyDescent="0.2">
      <c r="A1483" s="167">
        <v>361</v>
      </c>
      <c r="B1483" s="168" t="s">
        <v>1951</v>
      </c>
      <c r="C1483" s="169"/>
      <c r="D1483" s="170" t="s">
        <v>107</v>
      </c>
      <c r="E1483" s="170"/>
      <c r="F1483" s="170"/>
      <c r="G1483" s="170"/>
      <c r="H1483" s="170"/>
      <c r="I1483" s="274" t="s">
        <v>1952</v>
      </c>
      <c r="J1483" s="247" t="s">
        <v>989</v>
      </c>
      <c r="K1483" s="206">
        <f>3500*50%</f>
        <v>1750</v>
      </c>
      <c r="L1483" s="174" t="s">
        <v>111</v>
      </c>
      <c r="M1483" s="175" t="s">
        <v>1953</v>
      </c>
      <c r="AV1483" s="138"/>
      <c r="AW1483" s="138"/>
      <c r="AX1483" s="138"/>
      <c r="AY1483" s="138"/>
      <c r="AZ1483" s="138"/>
      <c r="BA1483" s="138"/>
      <c r="BB1483" s="138"/>
      <c r="BC1483" s="138"/>
      <c r="BD1483" s="138"/>
      <c r="BE1483" s="138"/>
      <c r="BF1483" s="138"/>
      <c r="BG1483" s="138"/>
      <c r="BH1483" s="138"/>
      <c r="BI1483" s="138"/>
      <c r="BJ1483" s="138"/>
      <c r="BK1483" s="138"/>
      <c r="BL1483" s="138"/>
      <c r="BM1483" s="138"/>
      <c r="BN1483" s="138"/>
      <c r="BO1483" s="138"/>
    </row>
    <row r="1484" spans="1:67" ht="23.25" customHeight="1" x14ac:dyDescent="0.2">
      <c r="A1484" s="177"/>
      <c r="B1484" s="178"/>
      <c r="C1484" s="179"/>
      <c r="D1484" s="180"/>
      <c r="E1484" s="180"/>
      <c r="F1484" s="180"/>
      <c r="G1484" s="180"/>
      <c r="H1484" s="180"/>
      <c r="I1484" s="188" t="s">
        <v>1954</v>
      </c>
      <c r="J1484" s="207" t="s">
        <v>989</v>
      </c>
      <c r="K1484" s="208">
        <f>3500*25%</f>
        <v>875</v>
      </c>
      <c r="L1484" s="184"/>
      <c r="M1484" s="185"/>
      <c r="AV1484" s="138"/>
      <c r="AW1484" s="138"/>
      <c r="AX1484" s="138"/>
      <c r="AY1484" s="138"/>
      <c r="AZ1484" s="138"/>
      <c r="BA1484" s="138"/>
      <c r="BB1484" s="138"/>
      <c r="BC1484" s="138"/>
      <c r="BD1484" s="138"/>
      <c r="BE1484" s="138"/>
      <c r="BF1484" s="138"/>
      <c r="BG1484" s="138"/>
      <c r="BH1484" s="138"/>
      <c r="BI1484" s="138"/>
      <c r="BJ1484" s="138"/>
      <c r="BK1484" s="138"/>
      <c r="BL1484" s="138"/>
      <c r="BM1484" s="138"/>
      <c r="BN1484" s="138"/>
      <c r="BO1484" s="138"/>
    </row>
    <row r="1485" spans="1:67" x14ac:dyDescent="0.2">
      <c r="A1485" s="177"/>
      <c r="B1485" s="178"/>
      <c r="C1485" s="179"/>
      <c r="D1485" s="180"/>
      <c r="E1485" s="180"/>
      <c r="F1485" s="180"/>
      <c r="G1485" s="180"/>
      <c r="H1485" s="180"/>
      <c r="I1485" s="188" t="s">
        <v>1955</v>
      </c>
      <c r="J1485" s="207" t="s">
        <v>1002</v>
      </c>
      <c r="K1485" s="208">
        <f>3500*25%</f>
        <v>875</v>
      </c>
      <c r="L1485" s="184"/>
      <c r="M1485" s="185"/>
      <c r="AV1485" s="138"/>
      <c r="AW1485" s="138"/>
      <c r="AX1485" s="138"/>
      <c r="AY1485" s="138"/>
      <c r="AZ1485" s="138"/>
      <c r="BA1485" s="138"/>
      <c r="BB1485" s="138"/>
      <c r="BC1485" s="138"/>
      <c r="BD1485" s="138"/>
      <c r="BE1485" s="138"/>
      <c r="BF1485" s="138"/>
      <c r="BG1485" s="138"/>
      <c r="BH1485" s="138"/>
      <c r="BI1485" s="138"/>
      <c r="BJ1485" s="138"/>
      <c r="BK1485" s="138"/>
      <c r="BL1485" s="138"/>
      <c r="BM1485" s="138"/>
      <c r="BN1485" s="138"/>
      <c r="BO1485" s="138"/>
    </row>
    <row r="1486" spans="1:67" x14ac:dyDescent="0.2">
      <c r="A1486" s="189"/>
      <c r="B1486" s="190"/>
      <c r="C1486" s="191"/>
      <c r="D1486" s="192"/>
      <c r="E1486" s="192"/>
      <c r="F1486" s="192"/>
      <c r="G1486" s="192"/>
      <c r="H1486" s="192"/>
      <c r="I1486" s="203"/>
      <c r="J1486" s="204"/>
      <c r="K1486" s="195">
        <f>SUM(K1483:K1485)</f>
        <v>3500</v>
      </c>
      <c r="L1486" s="196"/>
      <c r="M1486" s="197"/>
      <c r="AV1486" s="138"/>
      <c r="AW1486" s="138"/>
      <c r="AX1486" s="138"/>
      <c r="AY1486" s="138"/>
      <c r="AZ1486" s="138"/>
      <c r="BA1486" s="138"/>
      <c r="BB1486" s="138"/>
      <c r="BC1486" s="138"/>
      <c r="BD1486" s="138"/>
      <c r="BE1486" s="138"/>
      <c r="BF1486" s="138"/>
      <c r="BG1486" s="138"/>
      <c r="BH1486" s="138"/>
      <c r="BI1486" s="138"/>
      <c r="BJ1486" s="138"/>
      <c r="BK1486" s="138"/>
      <c r="BL1486" s="138"/>
      <c r="BM1486" s="138"/>
      <c r="BN1486" s="138"/>
      <c r="BO1486" s="138"/>
    </row>
    <row r="1487" spans="1:67" ht="21.75" customHeight="1" x14ac:dyDescent="0.2">
      <c r="A1487" s="167">
        <v>362</v>
      </c>
      <c r="B1487" s="168" t="s">
        <v>1956</v>
      </c>
      <c r="C1487" s="169"/>
      <c r="D1487" s="170" t="s">
        <v>107</v>
      </c>
      <c r="E1487" s="170"/>
      <c r="F1487" s="170"/>
      <c r="G1487" s="170"/>
      <c r="H1487" s="170"/>
      <c r="I1487" s="274" t="s">
        <v>1957</v>
      </c>
      <c r="J1487" s="247" t="s">
        <v>989</v>
      </c>
      <c r="K1487" s="206">
        <f>4000*60%</f>
        <v>2400</v>
      </c>
      <c r="L1487" s="174" t="s">
        <v>111</v>
      </c>
      <c r="M1487" s="175" t="s">
        <v>1958</v>
      </c>
      <c r="AV1487" s="138"/>
      <c r="AW1487" s="138"/>
      <c r="AX1487" s="138"/>
      <c r="AY1487" s="138"/>
      <c r="AZ1487" s="138"/>
      <c r="BA1487" s="138"/>
      <c r="BB1487" s="138"/>
      <c r="BC1487" s="138"/>
      <c r="BD1487" s="138"/>
      <c r="BE1487" s="138"/>
      <c r="BF1487" s="138"/>
      <c r="BG1487" s="138"/>
      <c r="BH1487" s="138"/>
      <c r="BI1487" s="138"/>
      <c r="BJ1487" s="138"/>
      <c r="BK1487" s="138"/>
      <c r="BL1487" s="138"/>
      <c r="BM1487" s="138"/>
      <c r="BN1487" s="138"/>
      <c r="BO1487" s="138"/>
    </row>
    <row r="1488" spans="1:67" x14ac:dyDescent="0.2">
      <c r="A1488" s="177"/>
      <c r="B1488" s="178"/>
      <c r="C1488" s="179"/>
      <c r="D1488" s="180"/>
      <c r="E1488" s="180"/>
      <c r="F1488" s="180"/>
      <c r="G1488" s="180"/>
      <c r="H1488" s="180"/>
      <c r="I1488" s="188" t="s">
        <v>1959</v>
      </c>
      <c r="J1488" s="207" t="s">
        <v>1002</v>
      </c>
      <c r="K1488" s="208">
        <f t="shared" ref="K1488:K1495" si="32">4000*5%</f>
        <v>200</v>
      </c>
      <c r="L1488" s="184"/>
      <c r="M1488" s="185"/>
      <c r="AV1488" s="138"/>
      <c r="AW1488" s="138"/>
      <c r="AX1488" s="138"/>
      <c r="AY1488" s="138"/>
      <c r="AZ1488" s="138"/>
      <c r="BA1488" s="138"/>
      <c r="BB1488" s="138"/>
      <c r="BC1488" s="138"/>
      <c r="BD1488" s="138"/>
      <c r="BE1488" s="138"/>
      <c r="BF1488" s="138"/>
      <c r="BG1488" s="138"/>
      <c r="BH1488" s="138"/>
      <c r="BI1488" s="138"/>
      <c r="BJ1488" s="138"/>
      <c r="BK1488" s="138"/>
      <c r="BL1488" s="138"/>
      <c r="BM1488" s="138"/>
      <c r="BN1488" s="138"/>
      <c r="BO1488" s="138"/>
    </row>
    <row r="1489" spans="1:67" x14ac:dyDescent="0.2">
      <c r="A1489" s="177"/>
      <c r="B1489" s="178"/>
      <c r="C1489" s="179"/>
      <c r="D1489" s="180"/>
      <c r="E1489" s="180"/>
      <c r="F1489" s="180"/>
      <c r="G1489" s="180"/>
      <c r="H1489" s="180"/>
      <c r="I1489" s="188" t="s">
        <v>1960</v>
      </c>
      <c r="J1489" s="207" t="s">
        <v>1002</v>
      </c>
      <c r="K1489" s="208">
        <f t="shared" si="32"/>
        <v>200</v>
      </c>
      <c r="L1489" s="184"/>
      <c r="M1489" s="185"/>
      <c r="AV1489" s="138"/>
      <c r="AW1489" s="138"/>
      <c r="AX1489" s="138"/>
      <c r="AY1489" s="138"/>
      <c r="AZ1489" s="138"/>
      <c r="BA1489" s="138"/>
      <c r="BB1489" s="138"/>
      <c r="BC1489" s="138"/>
      <c r="BD1489" s="138"/>
      <c r="BE1489" s="138"/>
      <c r="BF1489" s="138"/>
      <c r="BG1489" s="138"/>
      <c r="BH1489" s="138"/>
      <c r="BI1489" s="138"/>
      <c r="BJ1489" s="138"/>
      <c r="BK1489" s="138"/>
      <c r="BL1489" s="138"/>
      <c r="BM1489" s="138"/>
      <c r="BN1489" s="138"/>
      <c r="BO1489" s="138"/>
    </row>
    <row r="1490" spans="1:67" x14ac:dyDescent="0.2">
      <c r="A1490" s="177"/>
      <c r="B1490" s="178"/>
      <c r="C1490" s="179"/>
      <c r="D1490" s="180"/>
      <c r="E1490" s="180"/>
      <c r="F1490" s="180"/>
      <c r="G1490" s="180"/>
      <c r="H1490" s="180"/>
      <c r="I1490" s="188" t="s">
        <v>1961</v>
      </c>
      <c r="J1490" s="207" t="s">
        <v>1002</v>
      </c>
      <c r="K1490" s="208">
        <f t="shared" si="32"/>
        <v>200</v>
      </c>
      <c r="L1490" s="184"/>
      <c r="M1490" s="185"/>
      <c r="AV1490" s="138"/>
      <c r="AW1490" s="138"/>
      <c r="AX1490" s="138"/>
      <c r="AY1490" s="138"/>
      <c r="AZ1490" s="138"/>
      <c r="BA1490" s="138"/>
      <c r="BB1490" s="138"/>
      <c r="BC1490" s="138"/>
      <c r="BD1490" s="138"/>
      <c r="BE1490" s="138"/>
      <c r="BF1490" s="138"/>
      <c r="BG1490" s="138"/>
      <c r="BH1490" s="138"/>
      <c r="BI1490" s="138"/>
      <c r="BJ1490" s="138"/>
      <c r="BK1490" s="138"/>
      <c r="BL1490" s="138"/>
      <c r="BM1490" s="138"/>
      <c r="BN1490" s="138"/>
      <c r="BO1490" s="138"/>
    </row>
    <row r="1491" spans="1:67" x14ac:dyDescent="0.2">
      <c r="A1491" s="177"/>
      <c r="B1491" s="178"/>
      <c r="C1491" s="179"/>
      <c r="D1491" s="180"/>
      <c r="E1491" s="180"/>
      <c r="F1491" s="180"/>
      <c r="G1491" s="180"/>
      <c r="H1491" s="180"/>
      <c r="I1491" s="188" t="s">
        <v>1962</v>
      </c>
      <c r="J1491" s="207" t="s">
        <v>1002</v>
      </c>
      <c r="K1491" s="208">
        <f t="shared" si="32"/>
        <v>200</v>
      </c>
      <c r="L1491" s="184"/>
      <c r="M1491" s="185"/>
      <c r="AV1491" s="138"/>
      <c r="AW1491" s="138"/>
      <c r="AX1491" s="138"/>
      <c r="AY1491" s="138"/>
      <c r="AZ1491" s="138"/>
      <c r="BA1491" s="138"/>
      <c r="BB1491" s="138"/>
      <c r="BC1491" s="138"/>
      <c r="BD1491" s="138"/>
      <c r="BE1491" s="138"/>
      <c r="BF1491" s="138"/>
      <c r="BG1491" s="138"/>
      <c r="BH1491" s="138"/>
      <c r="BI1491" s="138"/>
      <c r="BJ1491" s="138"/>
      <c r="BK1491" s="138"/>
      <c r="BL1491" s="138"/>
      <c r="BM1491" s="138"/>
      <c r="BN1491" s="138"/>
      <c r="BO1491" s="138"/>
    </row>
    <row r="1492" spans="1:67" x14ac:dyDescent="0.2">
      <c r="A1492" s="177"/>
      <c r="B1492" s="178"/>
      <c r="C1492" s="179"/>
      <c r="D1492" s="180"/>
      <c r="E1492" s="180"/>
      <c r="F1492" s="180"/>
      <c r="G1492" s="180"/>
      <c r="H1492" s="180"/>
      <c r="I1492" s="188" t="s">
        <v>1963</v>
      </c>
      <c r="J1492" s="207" t="s">
        <v>1002</v>
      </c>
      <c r="K1492" s="208">
        <f t="shared" si="32"/>
        <v>200</v>
      </c>
      <c r="L1492" s="184"/>
      <c r="M1492" s="185"/>
      <c r="AV1492" s="138"/>
      <c r="AW1492" s="138"/>
      <c r="AX1492" s="138"/>
      <c r="AY1492" s="138"/>
      <c r="AZ1492" s="138"/>
      <c r="BA1492" s="138"/>
      <c r="BB1492" s="138"/>
      <c r="BC1492" s="138"/>
      <c r="BD1492" s="138"/>
      <c r="BE1492" s="138"/>
      <c r="BF1492" s="138"/>
      <c r="BG1492" s="138"/>
      <c r="BH1492" s="138"/>
      <c r="BI1492" s="138"/>
      <c r="BJ1492" s="138"/>
      <c r="BK1492" s="138"/>
      <c r="BL1492" s="138"/>
      <c r="BM1492" s="138"/>
      <c r="BN1492" s="138"/>
      <c r="BO1492" s="138"/>
    </row>
    <row r="1493" spans="1:67" x14ac:dyDescent="0.2">
      <c r="A1493" s="177"/>
      <c r="B1493" s="178"/>
      <c r="C1493" s="179"/>
      <c r="D1493" s="180"/>
      <c r="E1493" s="180"/>
      <c r="F1493" s="180"/>
      <c r="G1493" s="180"/>
      <c r="H1493" s="180"/>
      <c r="I1493" s="188" t="s">
        <v>1658</v>
      </c>
      <c r="J1493" s="207" t="s">
        <v>664</v>
      </c>
      <c r="K1493" s="208">
        <f t="shared" si="32"/>
        <v>200</v>
      </c>
      <c r="L1493" s="184"/>
      <c r="M1493" s="185"/>
      <c r="AV1493" s="138"/>
      <c r="AW1493" s="138"/>
      <c r="AX1493" s="138"/>
      <c r="AY1493" s="138"/>
      <c r="AZ1493" s="138"/>
      <c r="BA1493" s="138"/>
      <c r="BB1493" s="138"/>
      <c r="BC1493" s="138"/>
      <c r="BD1493" s="138"/>
      <c r="BE1493" s="138"/>
      <c r="BF1493" s="138"/>
      <c r="BG1493" s="138"/>
      <c r="BH1493" s="138"/>
      <c r="BI1493" s="138"/>
      <c r="BJ1493" s="138"/>
      <c r="BK1493" s="138"/>
      <c r="BL1493" s="138"/>
      <c r="BM1493" s="138"/>
      <c r="BN1493" s="138"/>
      <c r="BO1493" s="138"/>
    </row>
    <row r="1494" spans="1:67" x14ac:dyDescent="0.2">
      <c r="A1494" s="177"/>
      <c r="B1494" s="178"/>
      <c r="C1494" s="179"/>
      <c r="D1494" s="180"/>
      <c r="E1494" s="180"/>
      <c r="F1494" s="180"/>
      <c r="G1494" s="180"/>
      <c r="H1494" s="180"/>
      <c r="I1494" s="188" t="s">
        <v>1964</v>
      </c>
      <c r="J1494" s="207" t="s">
        <v>664</v>
      </c>
      <c r="K1494" s="208">
        <f t="shared" si="32"/>
        <v>200</v>
      </c>
      <c r="L1494" s="184"/>
      <c r="M1494" s="185"/>
      <c r="AV1494" s="138"/>
      <c r="AW1494" s="138"/>
      <c r="AX1494" s="138"/>
      <c r="AY1494" s="138"/>
      <c r="AZ1494" s="138"/>
      <c r="BA1494" s="138"/>
      <c r="BB1494" s="138"/>
      <c r="BC1494" s="138"/>
      <c r="BD1494" s="138"/>
      <c r="BE1494" s="138"/>
      <c r="BF1494" s="138"/>
      <c r="BG1494" s="138"/>
      <c r="BH1494" s="138"/>
      <c r="BI1494" s="138"/>
      <c r="BJ1494" s="138"/>
      <c r="BK1494" s="138"/>
      <c r="BL1494" s="138"/>
      <c r="BM1494" s="138"/>
      <c r="BN1494" s="138"/>
      <c r="BO1494" s="138"/>
    </row>
    <row r="1495" spans="1:67" x14ac:dyDescent="0.2">
      <c r="A1495" s="177"/>
      <c r="B1495" s="178"/>
      <c r="C1495" s="179"/>
      <c r="D1495" s="180"/>
      <c r="E1495" s="180"/>
      <c r="F1495" s="180"/>
      <c r="G1495" s="180"/>
      <c r="H1495" s="180"/>
      <c r="I1495" s="188" t="s">
        <v>1965</v>
      </c>
      <c r="J1495" s="207" t="s">
        <v>664</v>
      </c>
      <c r="K1495" s="208">
        <f t="shared" si="32"/>
        <v>200</v>
      </c>
      <c r="L1495" s="184"/>
      <c r="M1495" s="185"/>
      <c r="AV1495" s="138"/>
      <c r="AW1495" s="138"/>
      <c r="AX1495" s="138"/>
      <c r="AY1495" s="138"/>
      <c r="AZ1495" s="138"/>
      <c r="BA1495" s="138"/>
      <c r="BB1495" s="138"/>
      <c r="BC1495" s="138"/>
      <c r="BD1495" s="138"/>
      <c r="BE1495" s="138"/>
      <c r="BF1495" s="138"/>
      <c r="BG1495" s="138"/>
      <c r="BH1495" s="138"/>
      <c r="BI1495" s="138"/>
      <c r="BJ1495" s="138"/>
      <c r="BK1495" s="138"/>
      <c r="BL1495" s="138"/>
      <c r="BM1495" s="138"/>
      <c r="BN1495" s="138"/>
      <c r="BO1495" s="138"/>
    </row>
    <row r="1496" spans="1:67" x14ac:dyDescent="0.2">
      <c r="A1496" s="189"/>
      <c r="B1496" s="190"/>
      <c r="C1496" s="191"/>
      <c r="D1496" s="192"/>
      <c r="E1496" s="192"/>
      <c r="F1496" s="192"/>
      <c r="G1496" s="192"/>
      <c r="H1496" s="192"/>
      <c r="I1496" s="203"/>
      <c r="J1496" s="204"/>
      <c r="K1496" s="195">
        <f>SUM(K1487:K1495)</f>
        <v>4000</v>
      </c>
      <c r="L1496" s="196"/>
      <c r="M1496" s="197"/>
      <c r="AV1496" s="138"/>
      <c r="AW1496" s="138"/>
      <c r="AX1496" s="138"/>
      <c r="AY1496" s="138"/>
      <c r="AZ1496" s="138"/>
      <c r="BA1496" s="138"/>
      <c r="BB1496" s="138"/>
      <c r="BC1496" s="138"/>
      <c r="BD1496" s="138"/>
      <c r="BE1496" s="138"/>
      <c r="BF1496" s="138"/>
      <c r="BG1496" s="138"/>
      <c r="BH1496" s="138"/>
      <c r="BI1496" s="138"/>
      <c r="BJ1496" s="138"/>
      <c r="BK1496" s="138"/>
      <c r="BL1496" s="138"/>
      <c r="BM1496" s="138"/>
      <c r="BN1496" s="138"/>
      <c r="BO1496" s="138"/>
    </row>
    <row r="1497" spans="1:67" ht="23.25" customHeight="1" x14ac:dyDescent="0.2">
      <c r="A1497" s="167">
        <v>363</v>
      </c>
      <c r="B1497" s="168" t="s">
        <v>1966</v>
      </c>
      <c r="C1497" s="169"/>
      <c r="D1497" s="170" t="s">
        <v>107</v>
      </c>
      <c r="E1497" s="170"/>
      <c r="F1497" s="170"/>
      <c r="G1497" s="170"/>
      <c r="H1497" s="170"/>
      <c r="I1497" s="274" t="s">
        <v>1967</v>
      </c>
      <c r="J1497" s="247" t="s">
        <v>1968</v>
      </c>
      <c r="K1497" s="206">
        <f>3500*25%</f>
        <v>875</v>
      </c>
      <c r="L1497" s="174" t="s">
        <v>111</v>
      </c>
      <c r="M1497" s="175" t="s">
        <v>1969</v>
      </c>
      <c r="AV1497" s="138"/>
      <c r="AW1497" s="138"/>
      <c r="AX1497" s="138"/>
      <c r="AY1497" s="138"/>
      <c r="AZ1497" s="138"/>
      <c r="BA1497" s="138"/>
      <c r="BB1497" s="138"/>
      <c r="BC1497" s="138"/>
      <c r="BD1497" s="138"/>
      <c r="BE1497" s="138"/>
      <c r="BF1497" s="138"/>
      <c r="BG1497" s="138"/>
      <c r="BH1497" s="138"/>
      <c r="BI1497" s="138"/>
      <c r="BJ1497" s="138"/>
      <c r="BK1497" s="138"/>
      <c r="BL1497" s="138"/>
      <c r="BM1497" s="138"/>
      <c r="BN1497" s="138"/>
      <c r="BO1497" s="138"/>
    </row>
    <row r="1498" spans="1:67" x14ac:dyDescent="0.2">
      <c r="A1498" s="177"/>
      <c r="B1498" s="178"/>
      <c r="C1498" s="179"/>
      <c r="D1498" s="180"/>
      <c r="E1498" s="180"/>
      <c r="F1498" s="180"/>
      <c r="G1498" s="180"/>
      <c r="H1498" s="180"/>
      <c r="I1498" s="188" t="s">
        <v>1970</v>
      </c>
      <c r="J1498" s="207" t="s">
        <v>900</v>
      </c>
      <c r="K1498" s="208">
        <f>3500*50%</f>
        <v>1750</v>
      </c>
      <c r="L1498" s="184"/>
      <c r="M1498" s="185"/>
      <c r="AV1498" s="138"/>
      <c r="AW1498" s="138"/>
      <c r="AX1498" s="138"/>
      <c r="AY1498" s="138"/>
      <c r="AZ1498" s="138"/>
      <c r="BA1498" s="138"/>
      <c r="BB1498" s="138"/>
      <c r="BC1498" s="138"/>
      <c r="BD1498" s="138"/>
      <c r="BE1498" s="138"/>
      <c r="BF1498" s="138"/>
      <c r="BG1498" s="138"/>
      <c r="BH1498" s="138"/>
      <c r="BI1498" s="138"/>
      <c r="BJ1498" s="138"/>
      <c r="BK1498" s="138"/>
      <c r="BL1498" s="138"/>
      <c r="BM1498" s="138"/>
      <c r="BN1498" s="138"/>
      <c r="BO1498" s="138"/>
    </row>
    <row r="1499" spans="1:67" x14ac:dyDescent="0.2">
      <c r="A1499" s="177"/>
      <c r="B1499" s="178"/>
      <c r="C1499" s="179"/>
      <c r="D1499" s="180"/>
      <c r="E1499" s="180"/>
      <c r="F1499" s="180"/>
      <c r="G1499" s="180"/>
      <c r="H1499" s="180"/>
      <c r="I1499" s="188" t="s">
        <v>1971</v>
      </c>
      <c r="J1499" s="207" t="s">
        <v>900</v>
      </c>
      <c r="K1499" s="208">
        <f>3500*5%</f>
        <v>175</v>
      </c>
      <c r="L1499" s="184"/>
      <c r="M1499" s="185"/>
      <c r="AV1499" s="138"/>
      <c r="AW1499" s="138"/>
      <c r="AX1499" s="138"/>
      <c r="AY1499" s="138"/>
      <c r="AZ1499" s="138"/>
      <c r="BA1499" s="138"/>
      <c r="BB1499" s="138"/>
      <c r="BC1499" s="138"/>
      <c r="BD1499" s="138"/>
      <c r="BE1499" s="138"/>
      <c r="BF1499" s="138"/>
      <c r="BG1499" s="138"/>
      <c r="BH1499" s="138"/>
      <c r="BI1499" s="138"/>
      <c r="BJ1499" s="138"/>
      <c r="BK1499" s="138"/>
      <c r="BL1499" s="138"/>
      <c r="BM1499" s="138"/>
      <c r="BN1499" s="138"/>
      <c r="BO1499" s="138"/>
    </row>
    <row r="1500" spans="1:67" x14ac:dyDescent="0.2">
      <c r="A1500" s="177"/>
      <c r="B1500" s="178"/>
      <c r="C1500" s="179"/>
      <c r="D1500" s="180"/>
      <c r="E1500" s="180"/>
      <c r="F1500" s="180"/>
      <c r="G1500" s="180"/>
      <c r="H1500" s="180"/>
      <c r="I1500" s="188" t="s">
        <v>1972</v>
      </c>
      <c r="J1500" s="207" t="s">
        <v>900</v>
      </c>
      <c r="K1500" s="208">
        <f>3500*5%</f>
        <v>175</v>
      </c>
      <c r="L1500" s="184"/>
      <c r="M1500" s="185"/>
      <c r="AV1500" s="138"/>
      <c r="AW1500" s="138"/>
      <c r="AX1500" s="138"/>
      <c r="AY1500" s="138"/>
      <c r="AZ1500" s="138"/>
      <c r="BA1500" s="138"/>
      <c r="BB1500" s="138"/>
      <c r="BC1500" s="138"/>
      <c r="BD1500" s="138"/>
      <c r="BE1500" s="138"/>
      <c r="BF1500" s="138"/>
      <c r="BG1500" s="138"/>
      <c r="BH1500" s="138"/>
      <c r="BI1500" s="138"/>
      <c r="BJ1500" s="138"/>
      <c r="BK1500" s="138"/>
      <c r="BL1500" s="138"/>
      <c r="BM1500" s="138"/>
      <c r="BN1500" s="138"/>
      <c r="BO1500" s="138"/>
    </row>
    <row r="1501" spans="1:67" x14ac:dyDescent="0.2">
      <c r="A1501" s="177"/>
      <c r="B1501" s="178"/>
      <c r="C1501" s="179"/>
      <c r="D1501" s="180"/>
      <c r="E1501" s="180"/>
      <c r="F1501" s="180"/>
      <c r="G1501" s="180"/>
      <c r="H1501" s="180"/>
      <c r="I1501" s="188" t="s">
        <v>1973</v>
      </c>
      <c r="J1501" s="207" t="s">
        <v>900</v>
      </c>
      <c r="K1501" s="208">
        <f>3500*5%</f>
        <v>175</v>
      </c>
      <c r="L1501" s="184"/>
      <c r="M1501" s="185"/>
      <c r="AV1501" s="138"/>
      <c r="AW1501" s="138"/>
      <c r="AX1501" s="138"/>
      <c r="AY1501" s="138"/>
      <c r="AZ1501" s="138"/>
      <c r="BA1501" s="138"/>
      <c r="BB1501" s="138"/>
      <c r="BC1501" s="138"/>
      <c r="BD1501" s="138"/>
      <c r="BE1501" s="138"/>
      <c r="BF1501" s="138"/>
      <c r="BG1501" s="138"/>
      <c r="BH1501" s="138"/>
      <c r="BI1501" s="138"/>
      <c r="BJ1501" s="138"/>
      <c r="BK1501" s="138"/>
      <c r="BL1501" s="138"/>
      <c r="BM1501" s="138"/>
      <c r="BN1501" s="138"/>
      <c r="BO1501" s="138"/>
    </row>
    <row r="1502" spans="1:67" x14ac:dyDescent="0.2">
      <c r="A1502" s="177"/>
      <c r="B1502" s="178"/>
      <c r="C1502" s="179"/>
      <c r="D1502" s="180"/>
      <c r="E1502" s="180"/>
      <c r="F1502" s="180"/>
      <c r="G1502" s="180"/>
      <c r="H1502" s="180"/>
      <c r="I1502" s="188" t="s">
        <v>1974</v>
      </c>
      <c r="J1502" s="207" t="s">
        <v>900</v>
      </c>
      <c r="K1502" s="208">
        <f>3500*5%</f>
        <v>175</v>
      </c>
      <c r="L1502" s="184"/>
      <c r="M1502" s="185"/>
      <c r="AV1502" s="138"/>
      <c r="AW1502" s="138"/>
      <c r="AX1502" s="138"/>
      <c r="AY1502" s="138"/>
      <c r="AZ1502" s="138"/>
      <c r="BA1502" s="138"/>
      <c r="BB1502" s="138"/>
      <c r="BC1502" s="138"/>
      <c r="BD1502" s="138"/>
      <c r="BE1502" s="138"/>
      <c r="BF1502" s="138"/>
      <c r="BG1502" s="138"/>
      <c r="BH1502" s="138"/>
      <c r="BI1502" s="138"/>
      <c r="BJ1502" s="138"/>
      <c r="BK1502" s="138"/>
      <c r="BL1502" s="138"/>
      <c r="BM1502" s="138"/>
      <c r="BN1502" s="138"/>
      <c r="BO1502" s="138"/>
    </row>
    <row r="1503" spans="1:67" x14ac:dyDescent="0.2">
      <c r="A1503" s="177"/>
      <c r="B1503" s="178"/>
      <c r="C1503" s="179"/>
      <c r="D1503" s="180"/>
      <c r="E1503" s="180"/>
      <c r="F1503" s="180"/>
      <c r="G1503" s="180"/>
      <c r="H1503" s="180"/>
      <c r="I1503" s="188" t="s">
        <v>1659</v>
      </c>
      <c r="J1503" s="207" t="s">
        <v>900</v>
      </c>
      <c r="K1503" s="208">
        <f>3500*5%</f>
        <v>175</v>
      </c>
      <c r="L1503" s="184"/>
      <c r="M1503" s="185"/>
      <c r="AV1503" s="138"/>
      <c r="AW1503" s="138"/>
      <c r="AX1503" s="138"/>
      <c r="AY1503" s="138"/>
      <c r="AZ1503" s="138"/>
      <c r="BA1503" s="138"/>
      <c r="BB1503" s="138"/>
      <c r="BC1503" s="138"/>
      <c r="BD1503" s="138"/>
      <c r="BE1503" s="138"/>
      <c r="BF1503" s="138"/>
      <c r="BG1503" s="138"/>
      <c r="BH1503" s="138"/>
      <c r="BI1503" s="138"/>
      <c r="BJ1503" s="138"/>
      <c r="BK1503" s="138"/>
      <c r="BL1503" s="138"/>
      <c r="BM1503" s="138"/>
      <c r="BN1503" s="138"/>
      <c r="BO1503" s="138"/>
    </row>
    <row r="1504" spans="1:67" x14ac:dyDescent="0.2">
      <c r="A1504" s="189"/>
      <c r="B1504" s="190"/>
      <c r="C1504" s="191"/>
      <c r="D1504" s="192"/>
      <c r="E1504" s="192"/>
      <c r="F1504" s="192"/>
      <c r="G1504" s="192"/>
      <c r="H1504" s="192"/>
      <c r="I1504" s="203"/>
      <c r="J1504" s="204"/>
      <c r="K1504" s="195">
        <f>SUM(K1497:K1503)</f>
        <v>3500</v>
      </c>
      <c r="L1504" s="196"/>
      <c r="M1504" s="197"/>
      <c r="AV1504" s="138"/>
      <c r="AW1504" s="138"/>
      <c r="AX1504" s="138"/>
      <c r="AY1504" s="138"/>
      <c r="AZ1504" s="138"/>
      <c r="BA1504" s="138"/>
      <c r="BB1504" s="138"/>
      <c r="BC1504" s="138"/>
      <c r="BD1504" s="138"/>
      <c r="BE1504" s="138"/>
      <c r="BF1504" s="138"/>
      <c r="BG1504" s="138"/>
      <c r="BH1504" s="138"/>
      <c r="BI1504" s="138"/>
      <c r="BJ1504" s="138"/>
      <c r="BK1504" s="138"/>
      <c r="BL1504" s="138"/>
      <c r="BM1504" s="138"/>
      <c r="BN1504" s="138"/>
      <c r="BO1504" s="138"/>
    </row>
    <row r="1505" spans="1:67" ht="21.75" customHeight="1" x14ac:dyDescent="0.2">
      <c r="A1505" s="167">
        <v>364</v>
      </c>
      <c r="B1505" s="168" t="s">
        <v>1975</v>
      </c>
      <c r="C1505" s="169"/>
      <c r="D1505" s="170" t="s">
        <v>107</v>
      </c>
      <c r="E1505" s="170"/>
      <c r="F1505" s="170"/>
      <c r="G1505" s="170"/>
      <c r="H1505" s="170"/>
      <c r="I1505" s="274" t="s">
        <v>1957</v>
      </c>
      <c r="J1505" s="247" t="s">
        <v>1968</v>
      </c>
      <c r="K1505" s="206">
        <f>3500*60%</f>
        <v>2100</v>
      </c>
      <c r="L1505" s="174" t="s">
        <v>111</v>
      </c>
      <c r="M1505" s="175" t="s">
        <v>1976</v>
      </c>
      <c r="AV1505" s="138"/>
      <c r="AW1505" s="138"/>
      <c r="AX1505" s="138"/>
      <c r="AY1505" s="138"/>
      <c r="AZ1505" s="138"/>
      <c r="BA1505" s="138"/>
      <c r="BB1505" s="138"/>
      <c r="BC1505" s="138"/>
      <c r="BD1505" s="138"/>
      <c r="BE1505" s="138"/>
      <c r="BF1505" s="138"/>
      <c r="BG1505" s="138"/>
      <c r="BH1505" s="138"/>
      <c r="BI1505" s="138"/>
      <c r="BJ1505" s="138"/>
      <c r="BK1505" s="138"/>
      <c r="BL1505" s="138"/>
      <c r="BM1505" s="138"/>
      <c r="BN1505" s="138"/>
      <c r="BO1505" s="138"/>
    </row>
    <row r="1506" spans="1:67" x14ac:dyDescent="0.2">
      <c r="A1506" s="177"/>
      <c r="B1506" s="178"/>
      <c r="C1506" s="179"/>
      <c r="D1506" s="180"/>
      <c r="E1506" s="180"/>
      <c r="F1506" s="180"/>
      <c r="G1506" s="180"/>
      <c r="H1506" s="180"/>
      <c r="I1506" s="188" t="s">
        <v>1901</v>
      </c>
      <c r="J1506" s="207" t="s">
        <v>900</v>
      </c>
      <c r="K1506" s="208">
        <f t="shared" ref="K1506:K1512" si="33">3500*5%</f>
        <v>175</v>
      </c>
      <c r="L1506" s="184"/>
      <c r="M1506" s="185"/>
      <c r="AV1506" s="138"/>
      <c r="AW1506" s="138"/>
      <c r="AX1506" s="138"/>
      <c r="AY1506" s="138"/>
      <c r="AZ1506" s="138"/>
      <c r="BA1506" s="138"/>
      <c r="BB1506" s="138"/>
      <c r="BC1506" s="138"/>
      <c r="BD1506" s="138"/>
      <c r="BE1506" s="138"/>
      <c r="BF1506" s="138"/>
      <c r="BG1506" s="138"/>
      <c r="BH1506" s="138"/>
      <c r="BI1506" s="138"/>
      <c r="BJ1506" s="138"/>
      <c r="BK1506" s="138"/>
      <c r="BL1506" s="138"/>
      <c r="BM1506" s="138"/>
      <c r="BN1506" s="138"/>
      <c r="BO1506" s="138"/>
    </row>
    <row r="1507" spans="1:67" x14ac:dyDescent="0.2">
      <c r="A1507" s="177"/>
      <c r="B1507" s="178"/>
      <c r="C1507" s="179"/>
      <c r="D1507" s="180"/>
      <c r="E1507" s="180"/>
      <c r="F1507" s="180"/>
      <c r="G1507" s="180"/>
      <c r="H1507" s="180"/>
      <c r="I1507" s="188" t="s">
        <v>1971</v>
      </c>
      <c r="J1507" s="207" t="s">
        <v>900</v>
      </c>
      <c r="K1507" s="208">
        <f t="shared" si="33"/>
        <v>175</v>
      </c>
      <c r="L1507" s="184"/>
      <c r="M1507" s="185"/>
      <c r="AV1507" s="138"/>
      <c r="AW1507" s="138"/>
      <c r="AX1507" s="138"/>
      <c r="AY1507" s="138"/>
      <c r="AZ1507" s="138"/>
      <c r="BA1507" s="138"/>
      <c r="BB1507" s="138"/>
      <c r="BC1507" s="138"/>
      <c r="BD1507" s="138"/>
      <c r="BE1507" s="138"/>
      <c r="BF1507" s="138"/>
      <c r="BG1507" s="138"/>
      <c r="BH1507" s="138"/>
      <c r="BI1507" s="138"/>
      <c r="BJ1507" s="138"/>
      <c r="BK1507" s="138"/>
      <c r="BL1507" s="138"/>
      <c r="BM1507" s="138"/>
      <c r="BN1507" s="138"/>
      <c r="BO1507" s="138"/>
    </row>
    <row r="1508" spans="1:67" x14ac:dyDescent="0.2">
      <c r="A1508" s="177"/>
      <c r="B1508" s="178"/>
      <c r="C1508" s="179"/>
      <c r="D1508" s="180"/>
      <c r="E1508" s="180"/>
      <c r="F1508" s="180"/>
      <c r="G1508" s="180"/>
      <c r="H1508" s="180"/>
      <c r="I1508" s="188" t="s">
        <v>1658</v>
      </c>
      <c r="J1508" s="207" t="s">
        <v>664</v>
      </c>
      <c r="K1508" s="208">
        <f t="shared" si="33"/>
        <v>175</v>
      </c>
      <c r="L1508" s="184"/>
      <c r="M1508" s="185"/>
      <c r="AV1508" s="138"/>
      <c r="AW1508" s="138"/>
      <c r="AX1508" s="138"/>
      <c r="AY1508" s="138"/>
      <c r="AZ1508" s="138"/>
      <c r="BA1508" s="138"/>
      <c r="BB1508" s="138"/>
      <c r="BC1508" s="138"/>
      <c r="BD1508" s="138"/>
      <c r="BE1508" s="138"/>
      <c r="BF1508" s="138"/>
      <c r="BG1508" s="138"/>
      <c r="BH1508" s="138"/>
      <c r="BI1508" s="138"/>
      <c r="BJ1508" s="138"/>
      <c r="BK1508" s="138"/>
      <c r="BL1508" s="138"/>
      <c r="BM1508" s="138"/>
      <c r="BN1508" s="138"/>
      <c r="BO1508" s="138"/>
    </row>
    <row r="1509" spans="1:67" x14ac:dyDescent="0.2">
      <c r="A1509" s="177"/>
      <c r="B1509" s="178"/>
      <c r="C1509" s="179"/>
      <c r="D1509" s="180"/>
      <c r="E1509" s="180"/>
      <c r="F1509" s="180"/>
      <c r="G1509" s="180"/>
      <c r="H1509" s="180"/>
      <c r="I1509" s="188" t="s">
        <v>1977</v>
      </c>
      <c r="J1509" s="207" t="s">
        <v>664</v>
      </c>
      <c r="K1509" s="208">
        <f t="shared" si="33"/>
        <v>175</v>
      </c>
      <c r="L1509" s="184"/>
      <c r="M1509" s="185"/>
      <c r="AV1509" s="138"/>
      <c r="AW1509" s="138"/>
      <c r="AX1509" s="138"/>
      <c r="AY1509" s="138"/>
      <c r="AZ1509" s="138"/>
      <c r="BA1509" s="138"/>
      <c r="BB1509" s="138"/>
      <c r="BC1509" s="138"/>
      <c r="BD1509" s="138"/>
      <c r="BE1509" s="138"/>
      <c r="BF1509" s="138"/>
      <c r="BG1509" s="138"/>
      <c r="BH1509" s="138"/>
      <c r="BI1509" s="138"/>
      <c r="BJ1509" s="138"/>
      <c r="BK1509" s="138"/>
      <c r="BL1509" s="138"/>
      <c r="BM1509" s="138"/>
      <c r="BN1509" s="138"/>
      <c r="BO1509" s="138"/>
    </row>
    <row r="1510" spans="1:67" x14ac:dyDescent="0.2">
      <c r="A1510" s="177"/>
      <c r="B1510" s="178"/>
      <c r="C1510" s="179"/>
      <c r="D1510" s="180"/>
      <c r="E1510" s="180"/>
      <c r="F1510" s="180"/>
      <c r="G1510" s="180"/>
      <c r="H1510" s="180"/>
      <c r="I1510" s="188" t="s">
        <v>1964</v>
      </c>
      <c r="J1510" s="207" t="s">
        <v>664</v>
      </c>
      <c r="K1510" s="208">
        <f t="shared" si="33"/>
        <v>175</v>
      </c>
      <c r="L1510" s="184"/>
      <c r="M1510" s="185"/>
      <c r="AV1510" s="138"/>
      <c r="AW1510" s="138"/>
      <c r="AX1510" s="138"/>
      <c r="AY1510" s="138"/>
      <c r="AZ1510" s="138"/>
      <c r="BA1510" s="138"/>
      <c r="BB1510" s="138"/>
      <c r="BC1510" s="138"/>
      <c r="BD1510" s="138"/>
      <c r="BE1510" s="138"/>
      <c r="BF1510" s="138"/>
      <c r="BG1510" s="138"/>
      <c r="BH1510" s="138"/>
      <c r="BI1510" s="138"/>
      <c r="BJ1510" s="138"/>
      <c r="BK1510" s="138"/>
      <c r="BL1510" s="138"/>
      <c r="BM1510" s="138"/>
      <c r="BN1510" s="138"/>
      <c r="BO1510" s="138"/>
    </row>
    <row r="1511" spans="1:67" x14ac:dyDescent="0.2">
      <c r="A1511" s="177"/>
      <c r="B1511" s="178"/>
      <c r="C1511" s="179"/>
      <c r="D1511" s="180"/>
      <c r="E1511" s="180"/>
      <c r="F1511" s="180"/>
      <c r="G1511" s="180"/>
      <c r="H1511" s="180"/>
      <c r="I1511" s="188" t="s">
        <v>1978</v>
      </c>
      <c r="J1511" s="207" t="s">
        <v>664</v>
      </c>
      <c r="K1511" s="208">
        <f t="shared" si="33"/>
        <v>175</v>
      </c>
      <c r="L1511" s="184"/>
      <c r="M1511" s="185"/>
      <c r="AV1511" s="138"/>
      <c r="AW1511" s="138"/>
      <c r="AX1511" s="138"/>
      <c r="AY1511" s="138"/>
      <c r="AZ1511" s="138"/>
      <c r="BA1511" s="138"/>
      <c r="BB1511" s="138"/>
      <c r="BC1511" s="138"/>
      <c r="BD1511" s="138"/>
      <c r="BE1511" s="138"/>
      <c r="BF1511" s="138"/>
      <c r="BG1511" s="138"/>
      <c r="BH1511" s="138"/>
      <c r="BI1511" s="138"/>
      <c r="BJ1511" s="138"/>
      <c r="BK1511" s="138"/>
      <c r="BL1511" s="138"/>
      <c r="BM1511" s="138"/>
      <c r="BN1511" s="138"/>
      <c r="BO1511" s="138"/>
    </row>
    <row r="1512" spans="1:67" x14ac:dyDescent="0.2">
      <c r="A1512" s="177"/>
      <c r="B1512" s="178"/>
      <c r="C1512" s="179"/>
      <c r="D1512" s="180"/>
      <c r="E1512" s="180"/>
      <c r="F1512" s="180"/>
      <c r="G1512" s="180"/>
      <c r="H1512" s="180"/>
      <c r="I1512" s="188" t="s">
        <v>1979</v>
      </c>
      <c r="J1512" s="207" t="s">
        <v>664</v>
      </c>
      <c r="K1512" s="208">
        <f t="shared" si="33"/>
        <v>175</v>
      </c>
      <c r="L1512" s="184"/>
      <c r="M1512" s="185"/>
      <c r="AV1512" s="138"/>
      <c r="AW1512" s="138"/>
      <c r="AX1512" s="138"/>
      <c r="AY1512" s="138"/>
      <c r="AZ1512" s="138"/>
      <c r="BA1512" s="138"/>
      <c r="BB1512" s="138"/>
      <c r="BC1512" s="138"/>
      <c r="BD1512" s="138"/>
      <c r="BE1512" s="138"/>
      <c r="BF1512" s="138"/>
      <c r="BG1512" s="138"/>
      <c r="BH1512" s="138"/>
      <c r="BI1512" s="138"/>
      <c r="BJ1512" s="138"/>
      <c r="BK1512" s="138"/>
      <c r="BL1512" s="138"/>
      <c r="BM1512" s="138"/>
      <c r="BN1512" s="138"/>
      <c r="BO1512" s="138"/>
    </row>
    <row r="1513" spans="1:67" x14ac:dyDescent="0.2">
      <c r="A1513" s="177"/>
      <c r="B1513" s="178"/>
      <c r="C1513" s="179"/>
      <c r="D1513" s="180"/>
      <c r="E1513" s="180"/>
      <c r="F1513" s="180"/>
      <c r="G1513" s="180"/>
      <c r="H1513" s="180"/>
      <c r="I1513" s="188" t="s">
        <v>1980</v>
      </c>
      <c r="J1513" s="207" t="s">
        <v>664</v>
      </c>
      <c r="K1513" s="208">
        <f>3500*3%</f>
        <v>105</v>
      </c>
      <c r="L1513" s="184"/>
      <c r="M1513" s="185"/>
      <c r="AV1513" s="138"/>
      <c r="AW1513" s="138"/>
      <c r="AX1513" s="138"/>
      <c r="AY1513" s="138"/>
      <c r="AZ1513" s="138"/>
      <c r="BA1513" s="138"/>
      <c r="BB1513" s="138"/>
      <c r="BC1513" s="138"/>
      <c r="BD1513" s="138"/>
      <c r="BE1513" s="138"/>
      <c r="BF1513" s="138"/>
      <c r="BG1513" s="138"/>
      <c r="BH1513" s="138"/>
      <c r="BI1513" s="138"/>
      <c r="BJ1513" s="138"/>
      <c r="BK1513" s="138"/>
      <c r="BL1513" s="138"/>
      <c r="BM1513" s="138"/>
      <c r="BN1513" s="138"/>
      <c r="BO1513" s="138"/>
    </row>
    <row r="1514" spans="1:67" x14ac:dyDescent="0.2">
      <c r="A1514" s="177"/>
      <c r="B1514" s="178"/>
      <c r="C1514" s="179"/>
      <c r="D1514" s="180"/>
      <c r="E1514" s="180"/>
      <c r="F1514" s="180"/>
      <c r="G1514" s="180"/>
      <c r="H1514" s="180"/>
      <c r="I1514" s="188" t="s">
        <v>1981</v>
      </c>
      <c r="J1514" s="207" t="s">
        <v>664</v>
      </c>
      <c r="K1514" s="208">
        <f>3500*2%</f>
        <v>70</v>
      </c>
      <c r="L1514" s="184"/>
      <c r="M1514" s="185"/>
      <c r="AV1514" s="138"/>
      <c r="AW1514" s="138"/>
      <c r="AX1514" s="138"/>
      <c r="AY1514" s="138"/>
      <c r="AZ1514" s="138"/>
      <c r="BA1514" s="138"/>
      <c r="BB1514" s="138"/>
      <c r="BC1514" s="138"/>
      <c r="BD1514" s="138"/>
      <c r="BE1514" s="138"/>
      <c r="BF1514" s="138"/>
      <c r="BG1514" s="138"/>
      <c r="BH1514" s="138"/>
      <c r="BI1514" s="138"/>
      <c r="BJ1514" s="138"/>
      <c r="BK1514" s="138"/>
      <c r="BL1514" s="138"/>
      <c r="BM1514" s="138"/>
      <c r="BN1514" s="138"/>
      <c r="BO1514" s="138"/>
    </row>
    <row r="1515" spans="1:67" x14ac:dyDescent="0.2">
      <c r="A1515" s="189"/>
      <c r="B1515" s="190"/>
      <c r="C1515" s="191"/>
      <c r="D1515" s="192"/>
      <c r="E1515" s="192"/>
      <c r="F1515" s="192"/>
      <c r="G1515" s="192"/>
      <c r="H1515" s="192"/>
      <c r="I1515" s="203"/>
      <c r="J1515" s="204"/>
      <c r="K1515" s="195">
        <f>SUM(K1505:K1514)</f>
        <v>3500</v>
      </c>
      <c r="L1515" s="196"/>
      <c r="M1515" s="197"/>
      <c r="AV1515" s="138"/>
      <c r="AW1515" s="138"/>
      <c r="AX1515" s="138"/>
      <c r="AY1515" s="138"/>
      <c r="AZ1515" s="138"/>
      <c r="BA1515" s="138"/>
      <c r="BB1515" s="138"/>
      <c r="BC1515" s="138"/>
      <c r="BD1515" s="138"/>
      <c r="BE1515" s="138"/>
      <c r="BF1515" s="138"/>
      <c r="BG1515" s="138"/>
      <c r="BH1515" s="138"/>
      <c r="BI1515" s="138"/>
      <c r="BJ1515" s="138"/>
      <c r="BK1515" s="138"/>
      <c r="BL1515" s="138"/>
      <c r="BM1515" s="138"/>
      <c r="BN1515" s="138"/>
      <c r="BO1515" s="138"/>
    </row>
    <row r="1516" spans="1:67" ht="23.25" customHeight="1" x14ac:dyDescent="0.2">
      <c r="A1516" s="167">
        <v>365</v>
      </c>
      <c r="B1516" s="168" t="s">
        <v>1982</v>
      </c>
      <c r="C1516" s="169"/>
      <c r="D1516" s="170" t="s">
        <v>163</v>
      </c>
      <c r="E1516" s="170"/>
      <c r="F1516" s="170"/>
      <c r="G1516" s="170"/>
      <c r="H1516" s="170"/>
      <c r="I1516" s="274" t="s">
        <v>1983</v>
      </c>
      <c r="J1516" s="247" t="s">
        <v>1968</v>
      </c>
      <c r="K1516" s="206">
        <f>100415*52%</f>
        <v>52215.8</v>
      </c>
      <c r="L1516" s="174" t="s">
        <v>166</v>
      </c>
      <c r="M1516" s="175" t="s">
        <v>1984</v>
      </c>
      <c r="AV1516" s="138"/>
      <c r="AW1516" s="138"/>
      <c r="AX1516" s="138"/>
      <c r="AY1516" s="138"/>
      <c r="AZ1516" s="138"/>
      <c r="BA1516" s="138"/>
      <c r="BB1516" s="138"/>
      <c r="BC1516" s="138"/>
      <c r="BD1516" s="138"/>
      <c r="BE1516" s="138"/>
      <c r="BF1516" s="138"/>
      <c r="BG1516" s="138"/>
      <c r="BH1516" s="138"/>
      <c r="BI1516" s="138"/>
      <c r="BJ1516" s="138"/>
      <c r="BK1516" s="138"/>
      <c r="BL1516" s="138"/>
      <c r="BM1516" s="138"/>
      <c r="BN1516" s="138"/>
      <c r="BO1516" s="138"/>
    </row>
    <row r="1517" spans="1:67" x14ac:dyDescent="0.2">
      <c r="A1517" s="177"/>
      <c r="B1517" s="178"/>
      <c r="C1517" s="179"/>
      <c r="D1517" s="180"/>
      <c r="E1517" s="180"/>
      <c r="F1517" s="180"/>
      <c r="G1517" s="180"/>
      <c r="H1517" s="180"/>
      <c r="I1517" s="188" t="s">
        <v>1985</v>
      </c>
      <c r="J1517" s="207" t="s">
        <v>900</v>
      </c>
      <c r="K1517" s="208">
        <f>100415*25%</f>
        <v>25103.75</v>
      </c>
      <c r="L1517" s="184"/>
      <c r="M1517" s="185"/>
      <c r="AV1517" s="138"/>
      <c r="AW1517" s="138"/>
      <c r="AX1517" s="138"/>
      <c r="AY1517" s="138"/>
      <c r="AZ1517" s="138"/>
      <c r="BA1517" s="138"/>
      <c r="BB1517" s="138"/>
      <c r="BC1517" s="138"/>
      <c r="BD1517" s="138"/>
      <c r="BE1517" s="138"/>
      <c r="BF1517" s="138"/>
      <c r="BG1517" s="138"/>
      <c r="BH1517" s="138"/>
      <c r="BI1517" s="138"/>
      <c r="BJ1517" s="138"/>
      <c r="BK1517" s="138"/>
      <c r="BL1517" s="138"/>
      <c r="BM1517" s="138"/>
      <c r="BN1517" s="138"/>
      <c r="BO1517" s="138"/>
    </row>
    <row r="1518" spans="1:67" x14ac:dyDescent="0.2">
      <c r="A1518" s="177"/>
      <c r="B1518" s="178"/>
      <c r="C1518" s="179"/>
      <c r="D1518" s="180"/>
      <c r="E1518" s="180"/>
      <c r="F1518" s="180"/>
      <c r="G1518" s="180"/>
      <c r="H1518" s="180"/>
      <c r="I1518" s="188" t="s">
        <v>1986</v>
      </c>
      <c r="J1518" s="207" t="s">
        <v>900</v>
      </c>
      <c r="K1518" s="208">
        <f>100415*5%</f>
        <v>5020.75</v>
      </c>
      <c r="L1518" s="184"/>
      <c r="M1518" s="185"/>
      <c r="AV1518" s="138"/>
      <c r="AW1518" s="138"/>
      <c r="AX1518" s="138"/>
      <c r="AY1518" s="138"/>
      <c r="AZ1518" s="138"/>
      <c r="BA1518" s="138"/>
      <c r="BB1518" s="138"/>
      <c r="BC1518" s="138"/>
      <c r="BD1518" s="138"/>
      <c r="BE1518" s="138"/>
      <c r="BF1518" s="138"/>
      <c r="BG1518" s="138"/>
      <c r="BH1518" s="138"/>
      <c r="BI1518" s="138"/>
      <c r="BJ1518" s="138"/>
      <c r="BK1518" s="138"/>
      <c r="BL1518" s="138"/>
      <c r="BM1518" s="138"/>
      <c r="BN1518" s="138"/>
      <c r="BO1518" s="138"/>
    </row>
    <row r="1519" spans="1:67" x14ac:dyDescent="0.2">
      <c r="A1519" s="177"/>
      <c r="B1519" s="178"/>
      <c r="C1519" s="179"/>
      <c r="D1519" s="180"/>
      <c r="E1519" s="180"/>
      <c r="F1519" s="180"/>
      <c r="G1519" s="180"/>
      <c r="H1519" s="180"/>
      <c r="I1519" s="188" t="s">
        <v>1987</v>
      </c>
      <c r="J1519" s="207" t="s">
        <v>900</v>
      </c>
      <c r="K1519" s="208">
        <f>100415*4%</f>
        <v>4016.6</v>
      </c>
      <c r="L1519" s="184"/>
      <c r="M1519" s="185"/>
      <c r="AV1519" s="138"/>
      <c r="AW1519" s="138"/>
      <c r="AX1519" s="138"/>
      <c r="AY1519" s="138"/>
      <c r="AZ1519" s="138"/>
      <c r="BA1519" s="138"/>
      <c r="BB1519" s="138"/>
      <c r="BC1519" s="138"/>
      <c r="BD1519" s="138"/>
      <c r="BE1519" s="138"/>
      <c r="BF1519" s="138"/>
      <c r="BG1519" s="138"/>
      <c r="BH1519" s="138"/>
      <c r="BI1519" s="138"/>
      <c r="BJ1519" s="138"/>
      <c r="BK1519" s="138"/>
      <c r="BL1519" s="138"/>
      <c r="BM1519" s="138"/>
      <c r="BN1519" s="138"/>
      <c r="BO1519" s="138"/>
    </row>
    <row r="1520" spans="1:67" x14ac:dyDescent="0.2">
      <c r="A1520" s="177"/>
      <c r="B1520" s="178"/>
      <c r="C1520" s="179"/>
      <c r="D1520" s="180"/>
      <c r="E1520" s="180"/>
      <c r="F1520" s="180"/>
      <c r="G1520" s="180"/>
      <c r="H1520" s="180"/>
      <c r="I1520" s="188" t="s">
        <v>1988</v>
      </c>
      <c r="J1520" s="207" t="s">
        <v>900</v>
      </c>
      <c r="K1520" s="208">
        <f>100415*3%</f>
        <v>3012.45</v>
      </c>
      <c r="L1520" s="184"/>
      <c r="M1520" s="185"/>
      <c r="AV1520" s="138"/>
      <c r="AW1520" s="138"/>
      <c r="AX1520" s="138"/>
      <c r="AY1520" s="138"/>
      <c r="AZ1520" s="138"/>
      <c r="BA1520" s="138"/>
      <c r="BB1520" s="138"/>
      <c r="BC1520" s="138"/>
      <c r="BD1520" s="138"/>
      <c r="BE1520" s="138"/>
      <c r="BF1520" s="138"/>
      <c r="BG1520" s="138"/>
      <c r="BH1520" s="138"/>
      <c r="BI1520" s="138"/>
      <c r="BJ1520" s="138"/>
      <c r="BK1520" s="138"/>
      <c r="BL1520" s="138"/>
      <c r="BM1520" s="138"/>
      <c r="BN1520" s="138"/>
      <c r="BO1520" s="138"/>
    </row>
    <row r="1521" spans="1:67" x14ac:dyDescent="0.2">
      <c r="A1521" s="177"/>
      <c r="B1521" s="178"/>
      <c r="C1521" s="179"/>
      <c r="D1521" s="180"/>
      <c r="E1521" s="180"/>
      <c r="F1521" s="180"/>
      <c r="G1521" s="180"/>
      <c r="H1521" s="180"/>
      <c r="I1521" s="188" t="s">
        <v>1989</v>
      </c>
      <c r="J1521" s="207" t="s">
        <v>900</v>
      </c>
      <c r="K1521" s="208">
        <f>100415*2%</f>
        <v>2008.3</v>
      </c>
      <c r="L1521" s="184"/>
      <c r="M1521" s="185"/>
      <c r="AV1521" s="138"/>
      <c r="AW1521" s="138"/>
      <c r="AX1521" s="138"/>
      <c r="AY1521" s="138"/>
      <c r="AZ1521" s="138"/>
      <c r="BA1521" s="138"/>
      <c r="BB1521" s="138"/>
      <c r="BC1521" s="138"/>
      <c r="BD1521" s="138"/>
      <c r="BE1521" s="138"/>
      <c r="BF1521" s="138"/>
      <c r="BG1521" s="138"/>
      <c r="BH1521" s="138"/>
      <c r="BI1521" s="138"/>
      <c r="BJ1521" s="138"/>
      <c r="BK1521" s="138"/>
      <c r="BL1521" s="138"/>
      <c r="BM1521" s="138"/>
      <c r="BN1521" s="138"/>
      <c r="BO1521" s="138"/>
    </row>
    <row r="1522" spans="1:67" x14ac:dyDescent="0.2">
      <c r="A1522" s="177"/>
      <c r="B1522" s="178"/>
      <c r="C1522" s="179"/>
      <c r="D1522" s="180"/>
      <c r="E1522" s="180"/>
      <c r="F1522" s="180"/>
      <c r="G1522" s="180"/>
      <c r="H1522" s="180"/>
      <c r="I1522" s="188" t="s">
        <v>1990</v>
      </c>
      <c r="J1522" s="207" t="s">
        <v>900</v>
      </c>
      <c r="K1522" s="208">
        <f>100415*1%</f>
        <v>1004.15</v>
      </c>
      <c r="L1522" s="184"/>
      <c r="M1522" s="185"/>
      <c r="AV1522" s="138"/>
      <c r="AW1522" s="138"/>
      <c r="AX1522" s="138"/>
      <c r="AY1522" s="138"/>
      <c r="AZ1522" s="138"/>
      <c r="BA1522" s="138"/>
      <c r="BB1522" s="138"/>
      <c r="BC1522" s="138"/>
      <c r="BD1522" s="138"/>
      <c r="BE1522" s="138"/>
      <c r="BF1522" s="138"/>
      <c r="BG1522" s="138"/>
      <c r="BH1522" s="138"/>
      <c r="BI1522" s="138"/>
      <c r="BJ1522" s="138"/>
      <c r="BK1522" s="138"/>
      <c r="BL1522" s="138"/>
      <c r="BM1522" s="138"/>
      <c r="BN1522" s="138"/>
      <c r="BO1522" s="138"/>
    </row>
    <row r="1523" spans="1:67" x14ac:dyDescent="0.2">
      <c r="A1523" s="177"/>
      <c r="B1523" s="178"/>
      <c r="C1523" s="179"/>
      <c r="D1523" s="180"/>
      <c r="E1523" s="180"/>
      <c r="F1523" s="180"/>
      <c r="G1523" s="180"/>
      <c r="H1523" s="180"/>
      <c r="I1523" s="188" t="s">
        <v>1991</v>
      </c>
      <c r="J1523" s="207" t="s">
        <v>900</v>
      </c>
      <c r="K1523" s="208">
        <f>100415*1%</f>
        <v>1004.15</v>
      </c>
      <c r="L1523" s="184"/>
      <c r="M1523" s="185"/>
      <c r="AV1523" s="138"/>
      <c r="AW1523" s="138"/>
      <c r="AX1523" s="138"/>
      <c r="AY1523" s="138"/>
      <c r="AZ1523" s="138"/>
      <c r="BA1523" s="138"/>
      <c r="BB1523" s="138"/>
      <c r="BC1523" s="138"/>
      <c r="BD1523" s="138"/>
      <c r="BE1523" s="138"/>
      <c r="BF1523" s="138"/>
      <c r="BG1523" s="138"/>
      <c r="BH1523" s="138"/>
      <c r="BI1523" s="138"/>
      <c r="BJ1523" s="138"/>
      <c r="BK1523" s="138"/>
      <c r="BL1523" s="138"/>
      <c r="BM1523" s="138"/>
      <c r="BN1523" s="138"/>
      <c r="BO1523" s="138"/>
    </row>
    <row r="1524" spans="1:67" x14ac:dyDescent="0.2">
      <c r="A1524" s="177"/>
      <c r="B1524" s="178"/>
      <c r="C1524" s="179"/>
      <c r="D1524" s="180"/>
      <c r="E1524" s="180"/>
      <c r="F1524" s="180"/>
      <c r="G1524" s="180"/>
      <c r="H1524" s="180"/>
      <c r="I1524" s="188" t="s">
        <v>1992</v>
      </c>
      <c r="J1524" s="207" t="s">
        <v>900</v>
      </c>
      <c r="K1524" s="208">
        <f>100415*2%</f>
        <v>2008.3</v>
      </c>
      <c r="L1524" s="184"/>
      <c r="M1524" s="185"/>
      <c r="AV1524" s="138"/>
      <c r="AW1524" s="138"/>
      <c r="AX1524" s="138"/>
      <c r="AY1524" s="138"/>
      <c r="AZ1524" s="138"/>
      <c r="BA1524" s="138"/>
      <c r="BB1524" s="138"/>
      <c r="BC1524" s="138"/>
      <c r="BD1524" s="138"/>
      <c r="BE1524" s="138"/>
      <c r="BF1524" s="138"/>
      <c r="BG1524" s="138"/>
      <c r="BH1524" s="138"/>
      <c r="BI1524" s="138"/>
      <c r="BJ1524" s="138"/>
      <c r="BK1524" s="138"/>
      <c r="BL1524" s="138"/>
      <c r="BM1524" s="138"/>
      <c r="BN1524" s="138"/>
      <c r="BO1524" s="138"/>
    </row>
    <row r="1525" spans="1:67" x14ac:dyDescent="0.2">
      <c r="A1525" s="177"/>
      <c r="B1525" s="178"/>
      <c r="C1525" s="179"/>
      <c r="D1525" s="180"/>
      <c r="E1525" s="180"/>
      <c r="F1525" s="180"/>
      <c r="G1525" s="180"/>
      <c r="H1525" s="180"/>
      <c r="I1525" s="188" t="s">
        <v>1993</v>
      </c>
      <c r="J1525" s="207" t="s">
        <v>900</v>
      </c>
      <c r="K1525" s="208">
        <f>100415*1%</f>
        <v>1004.15</v>
      </c>
      <c r="L1525" s="184"/>
      <c r="M1525" s="185"/>
      <c r="AV1525" s="138"/>
      <c r="AW1525" s="138"/>
      <c r="AX1525" s="138"/>
      <c r="AY1525" s="138"/>
      <c r="AZ1525" s="138"/>
      <c r="BA1525" s="138"/>
      <c r="BB1525" s="138"/>
      <c r="BC1525" s="138"/>
      <c r="BD1525" s="138"/>
      <c r="BE1525" s="138"/>
      <c r="BF1525" s="138"/>
      <c r="BG1525" s="138"/>
      <c r="BH1525" s="138"/>
      <c r="BI1525" s="138"/>
      <c r="BJ1525" s="138"/>
      <c r="BK1525" s="138"/>
      <c r="BL1525" s="138"/>
      <c r="BM1525" s="138"/>
      <c r="BN1525" s="138"/>
      <c r="BO1525" s="138"/>
    </row>
    <row r="1526" spans="1:67" x14ac:dyDescent="0.2">
      <c r="A1526" s="177"/>
      <c r="B1526" s="178"/>
      <c r="C1526" s="179"/>
      <c r="D1526" s="180"/>
      <c r="E1526" s="180"/>
      <c r="F1526" s="180"/>
      <c r="G1526" s="180"/>
      <c r="H1526" s="180"/>
      <c r="I1526" s="188" t="s">
        <v>1994</v>
      </c>
      <c r="J1526" s="207" t="s">
        <v>900</v>
      </c>
      <c r="K1526" s="208">
        <f>100415*1%</f>
        <v>1004.15</v>
      </c>
      <c r="L1526" s="184"/>
      <c r="M1526" s="185"/>
      <c r="AV1526" s="138"/>
      <c r="AW1526" s="138"/>
      <c r="AX1526" s="138"/>
      <c r="AY1526" s="138"/>
      <c r="AZ1526" s="138"/>
      <c r="BA1526" s="138"/>
      <c r="BB1526" s="138"/>
      <c r="BC1526" s="138"/>
      <c r="BD1526" s="138"/>
      <c r="BE1526" s="138"/>
      <c r="BF1526" s="138"/>
      <c r="BG1526" s="138"/>
      <c r="BH1526" s="138"/>
      <c r="BI1526" s="138"/>
      <c r="BJ1526" s="138"/>
      <c r="BK1526" s="138"/>
      <c r="BL1526" s="138"/>
      <c r="BM1526" s="138"/>
      <c r="BN1526" s="138"/>
      <c r="BO1526" s="138"/>
    </row>
    <row r="1527" spans="1:67" x14ac:dyDescent="0.2">
      <c r="A1527" s="177"/>
      <c r="B1527" s="178"/>
      <c r="C1527" s="179"/>
      <c r="D1527" s="180"/>
      <c r="E1527" s="180"/>
      <c r="F1527" s="180"/>
      <c r="G1527" s="180"/>
      <c r="H1527" s="180"/>
      <c r="I1527" s="188" t="s">
        <v>1995</v>
      </c>
      <c r="J1527" s="207" t="s">
        <v>900</v>
      </c>
      <c r="K1527" s="208">
        <f>100415*1%</f>
        <v>1004.15</v>
      </c>
      <c r="L1527" s="184"/>
      <c r="M1527" s="185"/>
      <c r="AV1527" s="138"/>
      <c r="AW1527" s="138"/>
      <c r="AX1527" s="138"/>
      <c r="AY1527" s="138"/>
      <c r="AZ1527" s="138"/>
      <c r="BA1527" s="138"/>
      <c r="BB1527" s="138"/>
      <c r="BC1527" s="138"/>
      <c r="BD1527" s="138"/>
      <c r="BE1527" s="138"/>
      <c r="BF1527" s="138"/>
      <c r="BG1527" s="138"/>
      <c r="BH1527" s="138"/>
      <c r="BI1527" s="138"/>
      <c r="BJ1527" s="138"/>
      <c r="BK1527" s="138"/>
      <c r="BL1527" s="138"/>
      <c r="BM1527" s="138"/>
      <c r="BN1527" s="138"/>
      <c r="BO1527" s="138"/>
    </row>
    <row r="1528" spans="1:67" x14ac:dyDescent="0.2">
      <c r="A1528" s="177"/>
      <c r="B1528" s="178"/>
      <c r="C1528" s="179"/>
      <c r="D1528" s="180"/>
      <c r="E1528" s="180"/>
      <c r="F1528" s="180"/>
      <c r="G1528" s="180"/>
      <c r="H1528" s="180"/>
      <c r="I1528" s="188" t="s">
        <v>1996</v>
      </c>
      <c r="J1528" s="207" t="s">
        <v>900</v>
      </c>
      <c r="K1528" s="208">
        <f>100415*2%</f>
        <v>2008.3</v>
      </c>
      <c r="L1528" s="184"/>
      <c r="M1528" s="185"/>
      <c r="AV1528" s="138"/>
      <c r="AW1528" s="138"/>
      <c r="AX1528" s="138"/>
      <c r="AY1528" s="138"/>
      <c r="AZ1528" s="138"/>
      <c r="BA1528" s="138"/>
      <c r="BB1528" s="138"/>
      <c r="BC1528" s="138"/>
      <c r="BD1528" s="138"/>
      <c r="BE1528" s="138"/>
      <c r="BF1528" s="138"/>
      <c r="BG1528" s="138"/>
      <c r="BH1528" s="138"/>
      <c r="BI1528" s="138"/>
      <c r="BJ1528" s="138"/>
      <c r="BK1528" s="138"/>
      <c r="BL1528" s="138"/>
      <c r="BM1528" s="138"/>
      <c r="BN1528" s="138"/>
      <c r="BO1528" s="138"/>
    </row>
    <row r="1529" spans="1:67" x14ac:dyDescent="0.2">
      <c r="A1529" s="189"/>
      <c r="B1529" s="190"/>
      <c r="C1529" s="191"/>
      <c r="D1529" s="192"/>
      <c r="E1529" s="192"/>
      <c r="F1529" s="192"/>
      <c r="G1529" s="192"/>
      <c r="H1529" s="192"/>
      <c r="I1529" s="203"/>
      <c r="J1529" s="204"/>
      <c r="K1529" s="195">
        <f>SUM(K1516:K1528)</f>
        <v>100414.99999999999</v>
      </c>
      <c r="L1529" s="196"/>
      <c r="M1529" s="197"/>
      <c r="AV1529" s="138"/>
      <c r="AW1529" s="138"/>
      <c r="AX1529" s="138"/>
      <c r="AY1529" s="138"/>
      <c r="AZ1529" s="138"/>
      <c r="BA1529" s="138"/>
      <c r="BB1529" s="138"/>
      <c r="BC1529" s="138"/>
      <c r="BD1529" s="138"/>
      <c r="BE1529" s="138"/>
      <c r="BF1529" s="138"/>
      <c r="BG1529" s="138"/>
      <c r="BH1529" s="138"/>
      <c r="BI1529" s="138"/>
      <c r="BJ1529" s="138"/>
      <c r="BK1529" s="138"/>
      <c r="BL1529" s="138"/>
      <c r="BM1529" s="138"/>
      <c r="BN1529" s="138"/>
      <c r="BO1529" s="138"/>
    </row>
    <row r="1530" spans="1:67" x14ac:dyDescent="0.2">
      <c r="A1530" s="167">
        <v>366</v>
      </c>
      <c r="B1530" s="168" t="s">
        <v>1997</v>
      </c>
      <c r="C1530" s="169"/>
      <c r="D1530" s="250" t="s">
        <v>107</v>
      </c>
      <c r="E1530" s="170"/>
      <c r="F1530" s="170"/>
      <c r="G1530" s="170"/>
      <c r="H1530" s="170" t="s">
        <v>964</v>
      </c>
      <c r="I1530" s="171" t="s">
        <v>1998</v>
      </c>
      <c r="J1530" s="172" t="s">
        <v>1002</v>
      </c>
      <c r="K1530" s="173">
        <f>K1535*60%</f>
        <v>2220</v>
      </c>
      <c r="L1530" s="174" t="s">
        <v>111</v>
      </c>
      <c r="M1530" s="175" t="s">
        <v>1999</v>
      </c>
      <c r="AV1530" s="138"/>
      <c r="AW1530" s="138"/>
      <c r="AX1530" s="138"/>
      <c r="AY1530" s="138"/>
      <c r="AZ1530" s="138"/>
      <c r="BA1530" s="138"/>
      <c r="BB1530" s="138"/>
      <c r="BC1530" s="138"/>
      <c r="BD1530" s="138"/>
      <c r="BE1530" s="138"/>
      <c r="BF1530" s="138"/>
      <c r="BG1530" s="138"/>
      <c r="BH1530" s="138"/>
      <c r="BI1530" s="138"/>
      <c r="BJ1530" s="138"/>
      <c r="BK1530" s="138"/>
      <c r="BL1530" s="138"/>
      <c r="BM1530" s="138"/>
      <c r="BN1530" s="138"/>
      <c r="BO1530" s="138"/>
    </row>
    <row r="1531" spans="1:67" x14ac:dyDescent="0.2">
      <c r="A1531" s="177"/>
      <c r="B1531" s="178"/>
      <c r="C1531" s="179"/>
      <c r="D1531" s="243"/>
      <c r="E1531" s="180"/>
      <c r="F1531" s="180"/>
      <c r="G1531" s="180"/>
      <c r="H1531" s="180"/>
      <c r="I1531" s="188" t="s">
        <v>2000</v>
      </c>
      <c r="J1531" s="182" t="s">
        <v>1002</v>
      </c>
      <c r="K1531" s="183">
        <f>K1535*10%</f>
        <v>370</v>
      </c>
      <c r="L1531" s="184"/>
      <c r="M1531" s="185"/>
      <c r="AV1531" s="138"/>
      <c r="AW1531" s="138"/>
      <c r="AX1531" s="138"/>
      <c r="AY1531" s="138"/>
      <c r="AZ1531" s="138"/>
      <c r="BA1531" s="138"/>
      <c r="BB1531" s="138"/>
      <c r="BC1531" s="138"/>
      <c r="BD1531" s="138"/>
      <c r="BE1531" s="138"/>
      <c r="BF1531" s="138"/>
      <c r="BG1531" s="138"/>
      <c r="BH1531" s="138"/>
      <c r="BI1531" s="138"/>
      <c r="BJ1531" s="138"/>
      <c r="BK1531" s="138"/>
      <c r="BL1531" s="138"/>
      <c r="BM1531" s="138"/>
      <c r="BN1531" s="138"/>
      <c r="BO1531" s="138"/>
    </row>
    <row r="1532" spans="1:67" x14ac:dyDescent="0.2">
      <c r="A1532" s="177"/>
      <c r="B1532" s="178"/>
      <c r="C1532" s="179"/>
      <c r="D1532" s="243"/>
      <c r="E1532" s="180"/>
      <c r="F1532" s="180"/>
      <c r="G1532" s="180"/>
      <c r="H1532" s="180"/>
      <c r="I1532" s="171" t="s">
        <v>2001</v>
      </c>
      <c r="J1532" s="172" t="s">
        <v>1002</v>
      </c>
      <c r="K1532" s="229">
        <f>K1535*10%</f>
        <v>370</v>
      </c>
      <c r="L1532" s="184"/>
      <c r="M1532" s="185"/>
      <c r="AV1532" s="138"/>
      <c r="AW1532" s="138"/>
      <c r="AX1532" s="138"/>
      <c r="AY1532" s="138"/>
      <c r="AZ1532" s="138"/>
      <c r="BA1532" s="138"/>
      <c r="BB1532" s="138"/>
      <c r="BC1532" s="138"/>
      <c r="BD1532" s="138"/>
      <c r="BE1532" s="138"/>
      <c r="BF1532" s="138"/>
      <c r="BG1532" s="138"/>
      <c r="BH1532" s="138"/>
      <c r="BI1532" s="138"/>
      <c r="BJ1532" s="138"/>
      <c r="BK1532" s="138"/>
      <c r="BL1532" s="138"/>
      <c r="BM1532" s="138"/>
      <c r="BN1532" s="138"/>
      <c r="BO1532" s="138"/>
    </row>
    <row r="1533" spans="1:67" x14ac:dyDescent="0.2">
      <c r="A1533" s="177"/>
      <c r="B1533" s="178"/>
      <c r="C1533" s="179"/>
      <c r="D1533" s="243"/>
      <c r="E1533" s="180"/>
      <c r="F1533" s="180"/>
      <c r="G1533" s="180"/>
      <c r="H1533" s="180"/>
      <c r="I1533" s="188" t="s">
        <v>2002</v>
      </c>
      <c r="J1533" s="187" t="s">
        <v>1002</v>
      </c>
      <c r="K1533" s="208">
        <f>K1535*10%</f>
        <v>370</v>
      </c>
      <c r="L1533" s="184"/>
      <c r="M1533" s="185"/>
      <c r="AV1533" s="138"/>
      <c r="AW1533" s="138"/>
      <c r="AX1533" s="138"/>
      <c r="AY1533" s="138"/>
      <c r="AZ1533" s="138"/>
      <c r="BA1533" s="138"/>
      <c r="BB1533" s="138"/>
      <c r="BC1533" s="138"/>
      <c r="BD1533" s="138"/>
      <c r="BE1533" s="138"/>
      <c r="BF1533" s="138"/>
      <c r="BG1533" s="138"/>
      <c r="BH1533" s="138"/>
      <c r="BI1533" s="138"/>
      <c r="BJ1533" s="138"/>
      <c r="BK1533" s="138"/>
      <c r="BL1533" s="138"/>
      <c r="BM1533" s="138"/>
      <c r="BN1533" s="138"/>
      <c r="BO1533" s="138"/>
    </row>
    <row r="1534" spans="1:67" ht="48" x14ac:dyDescent="0.2">
      <c r="A1534" s="177"/>
      <c r="B1534" s="178"/>
      <c r="C1534" s="179"/>
      <c r="D1534" s="243"/>
      <c r="E1534" s="180"/>
      <c r="F1534" s="180"/>
      <c r="G1534" s="180"/>
      <c r="H1534" s="180"/>
      <c r="I1534" s="188" t="s">
        <v>2003</v>
      </c>
      <c r="J1534" s="187" t="s">
        <v>1002</v>
      </c>
      <c r="K1534" s="208">
        <f>K1535*10%</f>
        <v>370</v>
      </c>
      <c r="L1534" s="184"/>
      <c r="M1534" s="185"/>
      <c r="AV1534" s="138"/>
      <c r="AW1534" s="138"/>
      <c r="AX1534" s="138"/>
      <c r="AY1534" s="138"/>
      <c r="AZ1534" s="138"/>
      <c r="BA1534" s="138"/>
      <c r="BB1534" s="138"/>
      <c r="BC1534" s="138"/>
      <c r="BD1534" s="138"/>
      <c r="BE1534" s="138"/>
      <c r="BF1534" s="138"/>
      <c r="BG1534" s="138"/>
      <c r="BH1534" s="138"/>
      <c r="BI1534" s="138"/>
      <c r="BJ1534" s="138"/>
      <c r="BK1534" s="138"/>
      <c r="BL1534" s="138"/>
      <c r="BM1534" s="138"/>
      <c r="BN1534" s="138"/>
      <c r="BO1534" s="138"/>
    </row>
    <row r="1535" spans="1:67" x14ac:dyDescent="0.2">
      <c r="A1535" s="189"/>
      <c r="B1535" s="190"/>
      <c r="C1535" s="191"/>
      <c r="D1535" s="244"/>
      <c r="E1535" s="192"/>
      <c r="F1535" s="192"/>
      <c r="G1535" s="192"/>
      <c r="H1535" s="192"/>
      <c r="I1535" s="203"/>
      <c r="J1535" s="194"/>
      <c r="K1535" s="209">
        <v>3700</v>
      </c>
      <c r="L1535" s="196"/>
      <c r="M1535" s="197"/>
      <c r="AV1535" s="138"/>
      <c r="AW1535" s="138"/>
      <c r="AX1535" s="138"/>
      <c r="AY1535" s="138"/>
      <c r="AZ1535" s="138"/>
      <c r="BA1535" s="138"/>
      <c r="BB1535" s="138"/>
      <c r="BC1535" s="138"/>
      <c r="BD1535" s="138"/>
      <c r="BE1535" s="138"/>
      <c r="BF1535" s="138"/>
      <c r="BG1535" s="138"/>
      <c r="BH1535" s="138"/>
      <c r="BI1535" s="138"/>
      <c r="BJ1535" s="138"/>
      <c r="BK1535" s="138"/>
      <c r="BL1535" s="138"/>
      <c r="BM1535" s="138"/>
      <c r="BN1535" s="138"/>
      <c r="BO1535" s="138"/>
    </row>
    <row r="1536" spans="1:67" ht="24" customHeight="1" x14ac:dyDescent="0.2">
      <c r="A1536" s="167">
        <v>367</v>
      </c>
      <c r="B1536" s="168" t="s">
        <v>2004</v>
      </c>
      <c r="C1536" s="169"/>
      <c r="D1536" s="250" t="s">
        <v>107</v>
      </c>
      <c r="E1536" s="170"/>
      <c r="F1536" s="170"/>
      <c r="G1536" s="170"/>
      <c r="H1536" s="170"/>
      <c r="I1536" s="274" t="s">
        <v>2005</v>
      </c>
      <c r="J1536" s="247" t="s">
        <v>989</v>
      </c>
      <c r="K1536" s="206">
        <f>K1548*45%</f>
        <v>1800</v>
      </c>
      <c r="L1536" s="174" t="s">
        <v>111</v>
      </c>
      <c r="M1536" s="175" t="s">
        <v>2006</v>
      </c>
      <c r="AV1536" s="138"/>
      <c r="AW1536" s="138"/>
      <c r="AX1536" s="138"/>
      <c r="AY1536" s="138"/>
      <c r="AZ1536" s="138"/>
      <c r="BA1536" s="138"/>
      <c r="BB1536" s="138"/>
      <c r="BC1536" s="138"/>
      <c r="BD1536" s="138"/>
      <c r="BE1536" s="138"/>
      <c r="BF1536" s="138"/>
      <c r="BG1536" s="138"/>
      <c r="BH1536" s="138"/>
      <c r="BI1536" s="138"/>
      <c r="BJ1536" s="138"/>
      <c r="BK1536" s="138"/>
      <c r="BL1536" s="138"/>
      <c r="BM1536" s="138"/>
      <c r="BN1536" s="138"/>
      <c r="BO1536" s="138"/>
    </row>
    <row r="1537" spans="1:67" x14ac:dyDescent="0.2">
      <c r="A1537" s="177"/>
      <c r="B1537" s="178"/>
      <c r="C1537" s="179"/>
      <c r="D1537" s="243"/>
      <c r="E1537" s="180"/>
      <c r="F1537" s="180"/>
      <c r="G1537" s="180"/>
      <c r="H1537" s="180"/>
      <c r="I1537" s="188" t="s">
        <v>2007</v>
      </c>
      <c r="J1537" s="207" t="s">
        <v>1002</v>
      </c>
      <c r="K1537" s="208">
        <f>K1548*5%</f>
        <v>200</v>
      </c>
      <c r="L1537" s="184"/>
      <c r="M1537" s="185"/>
      <c r="AV1537" s="138"/>
      <c r="AW1537" s="138"/>
      <c r="AX1537" s="138"/>
      <c r="AY1537" s="138"/>
      <c r="AZ1537" s="138"/>
      <c r="BA1537" s="138"/>
      <c r="BB1537" s="138"/>
      <c r="BC1537" s="138"/>
      <c r="BD1537" s="138"/>
      <c r="BE1537" s="138"/>
      <c r="BF1537" s="138"/>
      <c r="BG1537" s="138"/>
      <c r="BH1537" s="138"/>
      <c r="BI1537" s="138"/>
      <c r="BJ1537" s="138"/>
      <c r="BK1537" s="138"/>
      <c r="BL1537" s="138"/>
      <c r="BM1537" s="138"/>
      <c r="BN1537" s="138"/>
      <c r="BO1537" s="138"/>
    </row>
    <row r="1538" spans="1:67" x14ac:dyDescent="0.2">
      <c r="A1538" s="177"/>
      <c r="B1538" s="178"/>
      <c r="C1538" s="179"/>
      <c r="D1538" s="243"/>
      <c r="E1538" s="180"/>
      <c r="F1538" s="180"/>
      <c r="G1538" s="180"/>
      <c r="H1538" s="180"/>
      <c r="I1538" s="188" t="s">
        <v>2008</v>
      </c>
      <c r="J1538" s="182" t="s">
        <v>1002</v>
      </c>
      <c r="K1538" s="208">
        <f>K1548*5%</f>
        <v>200</v>
      </c>
      <c r="L1538" s="184"/>
      <c r="M1538" s="185"/>
      <c r="AV1538" s="138"/>
      <c r="AW1538" s="138"/>
      <c r="AX1538" s="138"/>
      <c r="AY1538" s="138"/>
      <c r="AZ1538" s="138"/>
      <c r="BA1538" s="138"/>
      <c r="BB1538" s="138"/>
      <c r="BC1538" s="138"/>
      <c r="BD1538" s="138"/>
      <c r="BE1538" s="138"/>
      <c r="BF1538" s="138"/>
      <c r="BG1538" s="138"/>
      <c r="BH1538" s="138"/>
      <c r="BI1538" s="138"/>
      <c r="BJ1538" s="138"/>
      <c r="BK1538" s="138"/>
      <c r="BL1538" s="138"/>
      <c r="BM1538" s="138"/>
      <c r="BN1538" s="138"/>
      <c r="BO1538" s="138"/>
    </row>
    <row r="1539" spans="1:67" x14ac:dyDescent="0.2">
      <c r="A1539" s="177"/>
      <c r="B1539" s="178"/>
      <c r="C1539" s="179"/>
      <c r="D1539" s="243"/>
      <c r="E1539" s="180"/>
      <c r="F1539" s="180"/>
      <c r="G1539" s="180"/>
      <c r="H1539" s="180"/>
      <c r="I1539" s="188" t="s">
        <v>2009</v>
      </c>
      <c r="J1539" s="172" t="s">
        <v>1002</v>
      </c>
      <c r="K1539" s="202">
        <f>K1548*5%</f>
        <v>200</v>
      </c>
      <c r="L1539" s="184"/>
      <c r="M1539" s="185"/>
      <c r="AV1539" s="138"/>
      <c r="AW1539" s="138"/>
      <c r="AX1539" s="138"/>
      <c r="AY1539" s="138"/>
      <c r="AZ1539" s="138"/>
      <c r="BA1539" s="138"/>
      <c r="BB1539" s="138"/>
      <c r="BC1539" s="138"/>
      <c r="BD1539" s="138"/>
      <c r="BE1539" s="138"/>
      <c r="BF1539" s="138"/>
      <c r="BG1539" s="138"/>
      <c r="BH1539" s="138"/>
      <c r="BI1539" s="138"/>
      <c r="BJ1539" s="138"/>
      <c r="BK1539" s="138"/>
      <c r="BL1539" s="138"/>
      <c r="BM1539" s="138"/>
      <c r="BN1539" s="138"/>
      <c r="BO1539" s="138"/>
    </row>
    <row r="1540" spans="1:67" x14ac:dyDescent="0.2">
      <c r="A1540" s="177"/>
      <c r="B1540" s="178"/>
      <c r="C1540" s="179"/>
      <c r="D1540" s="243"/>
      <c r="E1540" s="180"/>
      <c r="F1540" s="180"/>
      <c r="G1540" s="180"/>
      <c r="H1540" s="180"/>
      <c r="I1540" s="188" t="s">
        <v>2010</v>
      </c>
      <c r="J1540" s="187" t="s">
        <v>1002</v>
      </c>
      <c r="K1540" s="208">
        <f>K1548*5%</f>
        <v>200</v>
      </c>
      <c r="L1540" s="184"/>
      <c r="M1540" s="185"/>
      <c r="AV1540" s="138"/>
      <c r="AW1540" s="138"/>
      <c r="AX1540" s="138"/>
      <c r="AY1540" s="138"/>
      <c r="AZ1540" s="138"/>
      <c r="BA1540" s="138"/>
      <c r="BB1540" s="138"/>
      <c r="BC1540" s="138"/>
      <c r="BD1540" s="138"/>
      <c r="BE1540" s="138"/>
      <c r="BF1540" s="138"/>
      <c r="BG1540" s="138"/>
      <c r="BH1540" s="138"/>
      <c r="BI1540" s="138"/>
      <c r="BJ1540" s="138"/>
      <c r="BK1540" s="138"/>
      <c r="BL1540" s="138"/>
      <c r="BM1540" s="138"/>
      <c r="BN1540" s="138"/>
      <c r="BO1540" s="138"/>
    </row>
    <row r="1541" spans="1:67" x14ac:dyDescent="0.2">
      <c r="A1541" s="177"/>
      <c r="B1541" s="178"/>
      <c r="C1541" s="179"/>
      <c r="D1541" s="243"/>
      <c r="E1541" s="180"/>
      <c r="F1541" s="180"/>
      <c r="G1541" s="180"/>
      <c r="H1541" s="180"/>
      <c r="I1541" s="171" t="s">
        <v>2011</v>
      </c>
      <c r="J1541" s="182" t="s">
        <v>1002</v>
      </c>
      <c r="K1541" s="202">
        <f>K1548*5%</f>
        <v>200</v>
      </c>
      <c r="L1541" s="184"/>
      <c r="M1541" s="185"/>
      <c r="AV1541" s="138"/>
      <c r="AW1541" s="138"/>
      <c r="AX1541" s="138"/>
      <c r="AY1541" s="138"/>
      <c r="AZ1541" s="138"/>
      <c r="BA1541" s="138"/>
      <c r="BB1541" s="138"/>
      <c r="BC1541" s="138"/>
      <c r="BD1541" s="138"/>
      <c r="BE1541" s="138"/>
      <c r="BF1541" s="138"/>
      <c r="BG1541" s="138"/>
      <c r="BH1541" s="138"/>
      <c r="BI1541" s="138"/>
      <c r="BJ1541" s="138"/>
      <c r="BK1541" s="138"/>
      <c r="BL1541" s="138"/>
      <c r="BM1541" s="138"/>
      <c r="BN1541" s="138"/>
      <c r="BO1541" s="138"/>
    </row>
    <row r="1542" spans="1:67" x14ac:dyDescent="0.2">
      <c r="A1542" s="177"/>
      <c r="B1542" s="178"/>
      <c r="C1542" s="179"/>
      <c r="D1542" s="243"/>
      <c r="E1542" s="180"/>
      <c r="F1542" s="180"/>
      <c r="G1542" s="180"/>
      <c r="H1542" s="180"/>
      <c r="I1542" s="188" t="s">
        <v>2012</v>
      </c>
      <c r="J1542" s="172" t="s">
        <v>1002</v>
      </c>
      <c r="K1542" s="229">
        <f>K1548*5%</f>
        <v>200</v>
      </c>
      <c r="L1542" s="184"/>
      <c r="M1542" s="185"/>
      <c r="AV1542" s="138"/>
      <c r="AW1542" s="138"/>
      <c r="AX1542" s="138"/>
      <c r="AY1542" s="138"/>
      <c r="AZ1542" s="138"/>
      <c r="BA1542" s="138"/>
      <c r="BB1542" s="138"/>
      <c r="BC1542" s="138"/>
      <c r="BD1542" s="138"/>
      <c r="BE1542" s="138"/>
      <c r="BF1542" s="138"/>
      <c r="BG1542" s="138"/>
      <c r="BH1542" s="138"/>
      <c r="BI1542" s="138"/>
      <c r="BJ1542" s="138"/>
      <c r="BK1542" s="138"/>
      <c r="BL1542" s="138"/>
      <c r="BM1542" s="138"/>
      <c r="BN1542" s="138"/>
      <c r="BO1542" s="138"/>
    </row>
    <row r="1543" spans="1:67" x14ac:dyDescent="0.2">
      <c r="A1543" s="177"/>
      <c r="B1543" s="178"/>
      <c r="C1543" s="179"/>
      <c r="D1543" s="243"/>
      <c r="E1543" s="180"/>
      <c r="F1543" s="180"/>
      <c r="G1543" s="180"/>
      <c r="H1543" s="180"/>
      <c r="I1543" s="171" t="s">
        <v>2013</v>
      </c>
      <c r="J1543" s="182" t="s">
        <v>1002</v>
      </c>
      <c r="K1543" s="208">
        <f>K1548*5%</f>
        <v>200</v>
      </c>
      <c r="L1543" s="184"/>
      <c r="M1543" s="185"/>
      <c r="AV1543" s="138"/>
      <c r="AW1543" s="138"/>
      <c r="AX1543" s="138"/>
      <c r="AY1543" s="138"/>
      <c r="AZ1543" s="138"/>
      <c r="BA1543" s="138"/>
      <c r="BB1543" s="138"/>
      <c r="BC1543" s="138"/>
      <c r="BD1543" s="138"/>
      <c r="BE1543" s="138"/>
      <c r="BF1543" s="138"/>
      <c r="BG1543" s="138"/>
      <c r="BH1543" s="138"/>
      <c r="BI1543" s="138"/>
      <c r="BJ1543" s="138"/>
      <c r="BK1543" s="138"/>
      <c r="BL1543" s="138"/>
      <c r="BM1543" s="138"/>
      <c r="BN1543" s="138"/>
      <c r="BO1543" s="138"/>
    </row>
    <row r="1544" spans="1:67" x14ac:dyDescent="0.2">
      <c r="A1544" s="177"/>
      <c r="B1544" s="178"/>
      <c r="C1544" s="179"/>
      <c r="D1544" s="243"/>
      <c r="E1544" s="180"/>
      <c r="F1544" s="180"/>
      <c r="G1544" s="180"/>
      <c r="H1544" s="180"/>
      <c r="I1544" s="181" t="s">
        <v>2014</v>
      </c>
      <c r="J1544" s="187" t="s">
        <v>1002</v>
      </c>
      <c r="K1544" s="242">
        <f>K1548*5%</f>
        <v>200</v>
      </c>
      <c r="L1544" s="184"/>
      <c r="M1544" s="185"/>
      <c r="AV1544" s="138"/>
      <c r="AW1544" s="138"/>
      <c r="AX1544" s="138"/>
      <c r="AY1544" s="138"/>
      <c r="AZ1544" s="138"/>
      <c r="BA1544" s="138"/>
      <c r="BB1544" s="138"/>
      <c r="BC1544" s="138"/>
      <c r="BD1544" s="138"/>
      <c r="BE1544" s="138"/>
      <c r="BF1544" s="138"/>
      <c r="BG1544" s="138"/>
      <c r="BH1544" s="138"/>
      <c r="BI1544" s="138"/>
      <c r="BJ1544" s="138"/>
      <c r="BK1544" s="138"/>
      <c r="BL1544" s="138"/>
      <c r="BM1544" s="138"/>
      <c r="BN1544" s="138"/>
      <c r="BO1544" s="138"/>
    </row>
    <row r="1545" spans="1:67" x14ac:dyDescent="0.2">
      <c r="A1545" s="177"/>
      <c r="B1545" s="178"/>
      <c r="C1545" s="179"/>
      <c r="D1545" s="243"/>
      <c r="E1545" s="180"/>
      <c r="F1545" s="180"/>
      <c r="G1545" s="180"/>
      <c r="H1545" s="180"/>
      <c r="I1545" s="181" t="s">
        <v>2015</v>
      </c>
      <c r="J1545" s="182" t="s">
        <v>1002</v>
      </c>
      <c r="K1545" s="242">
        <f>K1548*5%</f>
        <v>200</v>
      </c>
      <c r="L1545" s="184"/>
      <c r="M1545" s="185"/>
      <c r="AV1545" s="138"/>
      <c r="AW1545" s="138"/>
      <c r="AX1545" s="138"/>
      <c r="AY1545" s="138"/>
      <c r="AZ1545" s="138"/>
      <c r="BA1545" s="138"/>
      <c r="BB1545" s="138"/>
      <c r="BC1545" s="138"/>
      <c r="BD1545" s="138"/>
      <c r="BE1545" s="138"/>
      <c r="BF1545" s="138"/>
      <c r="BG1545" s="138"/>
      <c r="BH1545" s="138"/>
      <c r="BI1545" s="138"/>
      <c r="BJ1545" s="138"/>
      <c r="BK1545" s="138"/>
      <c r="BL1545" s="138"/>
      <c r="BM1545" s="138"/>
      <c r="BN1545" s="138"/>
      <c r="BO1545" s="138"/>
    </row>
    <row r="1546" spans="1:67" x14ac:dyDescent="0.2">
      <c r="A1546" s="177"/>
      <c r="B1546" s="178"/>
      <c r="C1546" s="179"/>
      <c r="D1546" s="243"/>
      <c r="E1546" s="180"/>
      <c r="F1546" s="180"/>
      <c r="G1546" s="180"/>
      <c r="H1546" s="180"/>
      <c r="I1546" s="181" t="s">
        <v>2016</v>
      </c>
      <c r="J1546" s="172" t="s">
        <v>1002</v>
      </c>
      <c r="K1546" s="202">
        <f>K1548*5%</f>
        <v>200</v>
      </c>
      <c r="L1546" s="184"/>
      <c r="M1546" s="185"/>
      <c r="AV1546" s="138"/>
      <c r="AW1546" s="138"/>
      <c r="AX1546" s="138"/>
      <c r="AY1546" s="138"/>
      <c r="AZ1546" s="138"/>
      <c r="BA1546" s="138"/>
      <c r="BB1546" s="138"/>
      <c r="BC1546" s="138"/>
      <c r="BD1546" s="138"/>
      <c r="BE1546" s="138"/>
      <c r="BF1546" s="138"/>
      <c r="BG1546" s="138"/>
      <c r="BH1546" s="138"/>
      <c r="BI1546" s="138"/>
      <c r="BJ1546" s="138"/>
      <c r="BK1546" s="138"/>
      <c r="BL1546" s="138"/>
      <c r="BM1546" s="138"/>
      <c r="BN1546" s="138"/>
      <c r="BO1546" s="138"/>
    </row>
    <row r="1547" spans="1:67" x14ac:dyDescent="0.2">
      <c r="A1547" s="177"/>
      <c r="B1547" s="178"/>
      <c r="C1547" s="179"/>
      <c r="D1547" s="243"/>
      <c r="E1547" s="180"/>
      <c r="F1547" s="180"/>
      <c r="G1547" s="180"/>
      <c r="H1547" s="180"/>
      <c r="I1547" s="181" t="s">
        <v>1001</v>
      </c>
      <c r="J1547" s="182" t="s">
        <v>1002</v>
      </c>
      <c r="K1547" s="208">
        <f>K1548*5%</f>
        <v>200</v>
      </c>
      <c r="L1547" s="184"/>
      <c r="M1547" s="185"/>
      <c r="AV1547" s="138"/>
      <c r="AW1547" s="138"/>
      <c r="AX1547" s="138"/>
      <c r="AY1547" s="138"/>
      <c r="AZ1547" s="138"/>
      <c r="BA1547" s="138"/>
      <c r="BB1547" s="138"/>
      <c r="BC1547" s="138"/>
      <c r="BD1547" s="138"/>
      <c r="BE1547" s="138"/>
      <c r="BF1547" s="138"/>
      <c r="BG1547" s="138"/>
      <c r="BH1547" s="138"/>
      <c r="BI1547" s="138"/>
      <c r="BJ1547" s="138"/>
      <c r="BK1547" s="138"/>
      <c r="BL1547" s="138"/>
      <c r="BM1547" s="138"/>
      <c r="BN1547" s="138"/>
      <c r="BO1547" s="138"/>
    </row>
    <row r="1548" spans="1:67" x14ac:dyDescent="0.2">
      <c r="A1548" s="189"/>
      <c r="B1548" s="190"/>
      <c r="C1548" s="191"/>
      <c r="D1548" s="244"/>
      <c r="E1548" s="192"/>
      <c r="F1548" s="192"/>
      <c r="G1548" s="192"/>
      <c r="H1548" s="192"/>
      <c r="I1548" s="203"/>
      <c r="J1548" s="215"/>
      <c r="K1548" s="209">
        <v>4000</v>
      </c>
      <c r="L1548" s="196"/>
      <c r="M1548" s="197"/>
      <c r="AV1548" s="138"/>
      <c r="AW1548" s="138"/>
      <c r="AX1548" s="138"/>
      <c r="AY1548" s="138"/>
      <c r="AZ1548" s="138"/>
      <c r="BA1548" s="138"/>
      <c r="BB1548" s="138"/>
      <c r="BC1548" s="138"/>
      <c r="BD1548" s="138"/>
      <c r="BE1548" s="138"/>
      <c r="BF1548" s="138"/>
      <c r="BG1548" s="138"/>
      <c r="BH1548" s="138"/>
      <c r="BI1548" s="138"/>
      <c r="BJ1548" s="138"/>
      <c r="BK1548" s="138"/>
      <c r="BL1548" s="138"/>
      <c r="BM1548" s="138"/>
      <c r="BN1548" s="138"/>
      <c r="BO1548" s="138"/>
    </row>
    <row r="1549" spans="1:67" ht="20.25" customHeight="1" x14ac:dyDescent="0.2">
      <c r="A1549" s="167">
        <v>368</v>
      </c>
      <c r="B1549" s="168" t="s">
        <v>2017</v>
      </c>
      <c r="C1549" s="169"/>
      <c r="D1549" s="250" t="s">
        <v>107</v>
      </c>
      <c r="E1549" s="170"/>
      <c r="F1549" s="170"/>
      <c r="G1549" s="170"/>
      <c r="H1549" s="170" t="s">
        <v>1303</v>
      </c>
      <c r="I1549" s="171" t="s">
        <v>2018</v>
      </c>
      <c r="J1549" s="172" t="s">
        <v>989</v>
      </c>
      <c r="K1549" s="173">
        <f>K1555*50%</f>
        <v>2000</v>
      </c>
      <c r="L1549" s="174" t="s">
        <v>111</v>
      </c>
      <c r="M1549" s="175" t="s">
        <v>2019</v>
      </c>
      <c r="AV1549" s="138"/>
      <c r="AW1549" s="138"/>
      <c r="AX1549" s="138"/>
      <c r="AY1549" s="138"/>
      <c r="AZ1549" s="138"/>
      <c r="BA1549" s="138"/>
      <c r="BB1549" s="138"/>
      <c r="BC1549" s="138"/>
      <c r="BD1549" s="138"/>
      <c r="BE1549" s="138"/>
      <c r="BF1549" s="138"/>
      <c r="BG1549" s="138"/>
      <c r="BH1549" s="138"/>
      <c r="BI1549" s="138"/>
      <c r="BJ1549" s="138"/>
      <c r="BK1549" s="138"/>
      <c r="BL1549" s="138"/>
      <c r="BM1549" s="138"/>
      <c r="BN1549" s="138"/>
      <c r="BO1549" s="138"/>
    </row>
    <row r="1550" spans="1:67" x14ac:dyDescent="0.2">
      <c r="A1550" s="177"/>
      <c r="B1550" s="178"/>
      <c r="C1550" s="179"/>
      <c r="D1550" s="243"/>
      <c r="E1550" s="180"/>
      <c r="F1550" s="180"/>
      <c r="G1550" s="180"/>
      <c r="H1550" s="180"/>
      <c r="I1550" s="181" t="s">
        <v>2020</v>
      </c>
      <c r="J1550" s="187" t="s">
        <v>1002</v>
      </c>
      <c r="K1550" s="183">
        <f>K1555*10%</f>
        <v>400</v>
      </c>
      <c r="L1550" s="184"/>
      <c r="M1550" s="185"/>
      <c r="AV1550" s="138"/>
      <c r="AW1550" s="138"/>
      <c r="AX1550" s="138"/>
      <c r="AY1550" s="138"/>
      <c r="AZ1550" s="138"/>
      <c r="BA1550" s="138"/>
      <c r="BB1550" s="138"/>
      <c r="BC1550" s="138"/>
      <c r="BD1550" s="138"/>
      <c r="BE1550" s="138"/>
      <c r="BF1550" s="138"/>
      <c r="BG1550" s="138"/>
      <c r="BH1550" s="138"/>
      <c r="BI1550" s="138"/>
      <c r="BJ1550" s="138"/>
      <c r="BK1550" s="138"/>
      <c r="BL1550" s="138"/>
      <c r="BM1550" s="138"/>
      <c r="BN1550" s="138"/>
      <c r="BO1550" s="138"/>
    </row>
    <row r="1551" spans="1:67" x14ac:dyDescent="0.2">
      <c r="A1551" s="177"/>
      <c r="B1551" s="178"/>
      <c r="C1551" s="179"/>
      <c r="D1551" s="243"/>
      <c r="E1551" s="180"/>
      <c r="F1551" s="180"/>
      <c r="G1551" s="180"/>
      <c r="H1551" s="180"/>
      <c r="I1551" s="181" t="s">
        <v>2021</v>
      </c>
      <c r="J1551" s="182" t="s">
        <v>1002</v>
      </c>
      <c r="K1551" s="183">
        <f>K1555*10%</f>
        <v>400</v>
      </c>
      <c r="L1551" s="184"/>
      <c r="M1551" s="185"/>
      <c r="AV1551" s="138"/>
      <c r="AW1551" s="138"/>
      <c r="AX1551" s="138"/>
      <c r="AY1551" s="138"/>
      <c r="AZ1551" s="138"/>
      <c r="BA1551" s="138"/>
      <c r="BB1551" s="138"/>
      <c r="BC1551" s="138"/>
      <c r="BD1551" s="138"/>
      <c r="BE1551" s="138"/>
      <c r="BF1551" s="138"/>
      <c r="BG1551" s="138"/>
      <c r="BH1551" s="138"/>
      <c r="BI1551" s="138"/>
      <c r="BJ1551" s="138"/>
      <c r="BK1551" s="138"/>
      <c r="BL1551" s="138"/>
      <c r="BM1551" s="138"/>
      <c r="BN1551" s="138"/>
      <c r="BO1551" s="138"/>
    </row>
    <row r="1552" spans="1:67" x14ac:dyDescent="0.2">
      <c r="A1552" s="177"/>
      <c r="B1552" s="178"/>
      <c r="C1552" s="179"/>
      <c r="D1552" s="243"/>
      <c r="E1552" s="180"/>
      <c r="F1552" s="180"/>
      <c r="G1552" s="180"/>
      <c r="H1552" s="180"/>
      <c r="I1552" s="188" t="s">
        <v>1922</v>
      </c>
      <c r="J1552" s="291" t="s">
        <v>1002</v>
      </c>
      <c r="K1552" s="183">
        <f>K1555*10%</f>
        <v>400</v>
      </c>
      <c r="L1552" s="184"/>
      <c r="M1552" s="185"/>
      <c r="AV1552" s="138"/>
      <c r="AW1552" s="138"/>
      <c r="AX1552" s="138"/>
      <c r="AY1552" s="138"/>
      <c r="AZ1552" s="138"/>
      <c r="BA1552" s="138"/>
      <c r="BB1552" s="138"/>
      <c r="BC1552" s="138"/>
      <c r="BD1552" s="138"/>
      <c r="BE1552" s="138"/>
      <c r="BF1552" s="138"/>
      <c r="BG1552" s="138"/>
      <c r="BH1552" s="138"/>
      <c r="BI1552" s="138"/>
      <c r="BJ1552" s="138"/>
      <c r="BK1552" s="138"/>
      <c r="BL1552" s="138"/>
      <c r="BM1552" s="138"/>
      <c r="BN1552" s="138"/>
      <c r="BO1552" s="138"/>
    </row>
    <row r="1553" spans="1:67" x14ac:dyDescent="0.2">
      <c r="A1553" s="177"/>
      <c r="B1553" s="178"/>
      <c r="C1553" s="179"/>
      <c r="D1553" s="243"/>
      <c r="E1553" s="180"/>
      <c r="F1553" s="180"/>
      <c r="G1553" s="180"/>
      <c r="H1553" s="180"/>
      <c r="I1553" s="171" t="s">
        <v>2022</v>
      </c>
      <c r="J1553" s="291" t="s">
        <v>1002</v>
      </c>
      <c r="K1553" s="208">
        <f>K1555*10%</f>
        <v>400</v>
      </c>
      <c r="L1553" s="184"/>
      <c r="M1553" s="185"/>
      <c r="AV1553" s="138"/>
      <c r="AW1553" s="138"/>
      <c r="AX1553" s="138"/>
      <c r="AY1553" s="138"/>
      <c r="AZ1553" s="138"/>
      <c r="BA1553" s="138"/>
      <c r="BB1553" s="138"/>
      <c r="BC1553" s="138"/>
      <c r="BD1553" s="138"/>
      <c r="BE1553" s="138"/>
      <c r="BF1553" s="138"/>
      <c r="BG1553" s="138"/>
      <c r="BH1553" s="138"/>
      <c r="BI1553" s="138"/>
      <c r="BJ1553" s="138"/>
      <c r="BK1553" s="138"/>
      <c r="BL1553" s="138"/>
      <c r="BM1553" s="138"/>
      <c r="BN1553" s="138"/>
      <c r="BO1553" s="138"/>
    </row>
    <row r="1554" spans="1:67" x14ac:dyDescent="0.2">
      <c r="A1554" s="177"/>
      <c r="B1554" s="178"/>
      <c r="C1554" s="179"/>
      <c r="D1554" s="243"/>
      <c r="E1554" s="180"/>
      <c r="F1554" s="180"/>
      <c r="G1554" s="180"/>
      <c r="H1554" s="180"/>
      <c r="I1554" s="188" t="s">
        <v>2023</v>
      </c>
      <c r="J1554" s="291" t="s">
        <v>1002</v>
      </c>
      <c r="K1554" s="202">
        <f>K1555*10%</f>
        <v>400</v>
      </c>
      <c r="L1554" s="184"/>
      <c r="M1554" s="185"/>
      <c r="AV1554" s="138"/>
      <c r="AW1554" s="138"/>
      <c r="AX1554" s="138"/>
      <c r="AY1554" s="138"/>
      <c r="AZ1554" s="138"/>
      <c r="BA1554" s="138"/>
      <c r="BB1554" s="138"/>
      <c r="BC1554" s="138"/>
      <c r="BD1554" s="138"/>
      <c r="BE1554" s="138"/>
      <c r="BF1554" s="138"/>
      <c r="BG1554" s="138"/>
      <c r="BH1554" s="138"/>
      <c r="BI1554" s="138"/>
      <c r="BJ1554" s="138"/>
      <c r="BK1554" s="138"/>
      <c r="BL1554" s="138"/>
      <c r="BM1554" s="138"/>
      <c r="BN1554" s="138"/>
      <c r="BO1554" s="138"/>
    </row>
    <row r="1555" spans="1:67" x14ac:dyDescent="0.2">
      <c r="A1555" s="189"/>
      <c r="B1555" s="190"/>
      <c r="C1555" s="191"/>
      <c r="D1555" s="244"/>
      <c r="E1555" s="192"/>
      <c r="F1555" s="192"/>
      <c r="G1555" s="192"/>
      <c r="H1555" s="192"/>
      <c r="I1555" s="193"/>
      <c r="J1555" s="215"/>
      <c r="K1555" s="216">
        <v>4000</v>
      </c>
      <c r="L1555" s="196"/>
      <c r="M1555" s="197"/>
      <c r="AV1555" s="138"/>
      <c r="AW1555" s="138"/>
      <c r="AX1555" s="138"/>
      <c r="AY1555" s="138"/>
      <c r="AZ1555" s="138"/>
      <c r="BA1555" s="138"/>
      <c r="BB1555" s="138"/>
      <c r="BC1555" s="138"/>
      <c r="BD1555" s="138"/>
      <c r="BE1555" s="138"/>
      <c r="BF1555" s="138"/>
      <c r="BG1555" s="138"/>
      <c r="BH1555" s="138"/>
      <c r="BI1555" s="138"/>
      <c r="BJ1555" s="138"/>
      <c r="BK1555" s="138"/>
      <c r="BL1555" s="138"/>
      <c r="BM1555" s="138"/>
      <c r="BN1555" s="138"/>
      <c r="BO1555" s="138"/>
    </row>
    <row r="1556" spans="1:67" ht="20.25" customHeight="1" x14ac:dyDescent="0.2">
      <c r="A1556" s="167">
        <v>369</v>
      </c>
      <c r="B1556" s="168" t="s">
        <v>2024</v>
      </c>
      <c r="C1556" s="169"/>
      <c r="D1556" s="250" t="s">
        <v>107</v>
      </c>
      <c r="E1556" s="170"/>
      <c r="F1556" s="170"/>
      <c r="G1556" s="170"/>
      <c r="H1556" s="170"/>
      <c r="I1556" s="171" t="s">
        <v>2025</v>
      </c>
      <c r="J1556" s="247" t="s">
        <v>989</v>
      </c>
      <c r="K1556" s="206">
        <f>K1563*40%</f>
        <v>1480</v>
      </c>
      <c r="L1556" s="174" t="s">
        <v>111</v>
      </c>
      <c r="M1556" s="175" t="s">
        <v>2026</v>
      </c>
      <c r="AV1556" s="138"/>
      <c r="AW1556" s="138"/>
      <c r="AX1556" s="138"/>
      <c r="AY1556" s="138"/>
      <c r="AZ1556" s="138"/>
      <c r="BA1556" s="138"/>
      <c r="BB1556" s="138"/>
      <c r="BC1556" s="138"/>
      <c r="BD1556" s="138"/>
      <c r="BE1556" s="138"/>
      <c r="BF1556" s="138"/>
      <c r="BG1556" s="138"/>
      <c r="BH1556" s="138"/>
      <c r="BI1556" s="138"/>
      <c r="BJ1556" s="138"/>
      <c r="BK1556" s="138"/>
      <c r="BL1556" s="138"/>
      <c r="BM1556" s="138"/>
      <c r="BN1556" s="138"/>
      <c r="BO1556" s="138"/>
    </row>
    <row r="1557" spans="1:67" x14ac:dyDescent="0.2">
      <c r="A1557" s="177"/>
      <c r="B1557" s="178"/>
      <c r="C1557" s="179"/>
      <c r="D1557" s="243"/>
      <c r="E1557" s="180"/>
      <c r="F1557" s="180"/>
      <c r="G1557" s="180"/>
      <c r="H1557" s="180"/>
      <c r="I1557" s="188" t="s">
        <v>2000</v>
      </c>
      <c r="J1557" s="207" t="s">
        <v>1002</v>
      </c>
      <c r="K1557" s="208">
        <f>K1563*10%</f>
        <v>370</v>
      </c>
      <c r="L1557" s="184"/>
      <c r="M1557" s="185"/>
      <c r="AV1557" s="138"/>
      <c r="AW1557" s="138"/>
      <c r="AX1557" s="138"/>
      <c r="AY1557" s="138"/>
      <c r="AZ1557" s="138"/>
      <c r="BA1557" s="138"/>
      <c r="BB1557" s="138"/>
      <c r="BC1557" s="138"/>
      <c r="BD1557" s="138"/>
      <c r="BE1557" s="138"/>
      <c r="BF1557" s="138"/>
      <c r="BG1557" s="138"/>
      <c r="BH1557" s="138"/>
      <c r="BI1557" s="138"/>
      <c r="BJ1557" s="138"/>
      <c r="BK1557" s="138"/>
      <c r="BL1557" s="138"/>
      <c r="BM1557" s="138"/>
      <c r="BN1557" s="138"/>
      <c r="BO1557" s="138"/>
    </row>
    <row r="1558" spans="1:67" x14ac:dyDescent="0.2">
      <c r="A1558" s="177"/>
      <c r="B1558" s="178"/>
      <c r="C1558" s="179"/>
      <c r="D1558" s="243"/>
      <c r="E1558" s="180"/>
      <c r="F1558" s="180"/>
      <c r="G1558" s="180"/>
      <c r="H1558" s="180"/>
      <c r="I1558" s="188" t="s">
        <v>2023</v>
      </c>
      <c r="J1558" s="207" t="s">
        <v>1002</v>
      </c>
      <c r="K1558" s="208">
        <f>K1563*10%</f>
        <v>370</v>
      </c>
      <c r="L1558" s="184"/>
      <c r="M1558" s="185"/>
      <c r="AV1558" s="138"/>
      <c r="AW1558" s="138"/>
      <c r="AX1558" s="138"/>
      <c r="AY1558" s="138"/>
      <c r="AZ1558" s="138"/>
      <c r="BA1558" s="138"/>
      <c r="BB1558" s="138"/>
      <c r="BC1558" s="138"/>
      <c r="BD1558" s="138"/>
      <c r="BE1558" s="138"/>
      <c r="BF1558" s="138"/>
      <c r="BG1558" s="138"/>
      <c r="BH1558" s="138"/>
      <c r="BI1558" s="138"/>
      <c r="BJ1558" s="138"/>
      <c r="BK1558" s="138"/>
      <c r="BL1558" s="138"/>
      <c r="BM1558" s="138"/>
      <c r="BN1558" s="138"/>
      <c r="BO1558" s="138"/>
    </row>
    <row r="1559" spans="1:67" x14ac:dyDescent="0.2">
      <c r="A1559" s="177"/>
      <c r="B1559" s="178"/>
      <c r="C1559" s="179"/>
      <c r="D1559" s="243"/>
      <c r="E1559" s="180"/>
      <c r="F1559" s="180"/>
      <c r="G1559" s="180"/>
      <c r="H1559" s="180"/>
      <c r="I1559" s="188" t="s">
        <v>2027</v>
      </c>
      <c r="J1559" s="207" t="s">
        <v>1002</v>
      </c>
      <c r="K1559" s="208">
        <f>K1563*10%</f>
        <v>370</v>
      </c>
      <c r="L1559" s="184"/>
      <c r="M1559" s="185"/>
      <c r="AV1559" s="138"/>
      <c r="AW1559" s="138"/>
      <c r="AX1559" s="138"/>
      <c r="AY1559" s="138"/>
      <c r="AZ1559" s="138"/>
      <c r="BA1559" s="138"/>
      <c r="BB1559" s="138"/>
      <c r="BC1559" s="138"/>
      <c r="BD1559" s="138"/>
      <c r="BE1559" s="138"/>
      <c r="BF1559" s="138"/>
      <c r="BG1559" s="138"/>
      <c r="BH1559" s="138"/>
      <c r="BI1559" s="138"/>
      <c r="BJ1559" s="138"/>
      <c r="BK1559" s="138"/>
      <c r="BL1559" s="138"/>
      <c r="BM1559" s="138"/>
      <c r="BN1559" s="138"/>
      <c r="BO1559" s="138"/>
    </row>
    <row r="1560" spans="1:67" x14ac:dyDescent="0.2">
      <c r="A1560" s="177"/>
      <c r="B1560" s="178"/>
      <c r="C1560" s="179"/>
      <c r="D1560" s="243"/>
      <c r="E1560" s="180"/>
      <c r="F1560" s="180"/>
      <c r="G1560" s="180"/>
      <c r="H1560" s="180"/>
      <c r="I1560" s="188" t="s">
        <v>2028</v>
      </c>
      <c r="J1560" s="182" t="s">
        <v>1002</v>
      </c>
      <c r="K1560" s="202">
        <f>K1563*10%</f>
        <v>370</v>
      </c>
      <c r="L1560" s="184"/>
      <c r="M1560" s="185"/>
      <c r="AV1560" s="138"/>
      <c r="AW1560" s="138"/>
      <c r="AX1560" s="138"/>
      <c r="AY1560" s="138"/>
      <c r="AZ1560" s="138"/>
      <c r="BA1560" s="138"/>
      <c r="BB1560" s="138"/>
      <c r="BC1560" s="138"/>
      <c r="BD1560" s="138"/>
      <c r="BE1560" s="138"/>
      <c r="BF1560" s="138"/>
      <c r="BG1560" s="138"/>
      <c r="BH1560" s="138"/>
      <c r="BI1560" s="138"/>
      <c r="BJ1560" s="138"/>
      <c r="BK1560" s="138"/>
      <c r="BL1560" s="138"/>
      <c r="BM1560" s="138"/>
      <c r="BN1560" s="138"/>
      <c r="BO1560" s="138"/>
    </row>
    <row r="1561" spans="1:67" x14ac:dyDescent="0.2">
      <c r="A1561" s="177"/>
      <c r="B1561" s="178"/>
      <c r="C1561" s="179"/>
      <c r="D1561" s="243"/>
      <c r="E1561" s="180"/>
      <c r="F1561" s="180"/>
      <c r="G1561" s="180"/>
      <c r="H1561" s="180"/>
      <c r="I1561" s="274" t="s">
        <v>2021</v>
      </c>
      <c r="J1561" s="247" t="s">
        <v>1002</v>
      </c>
      <c r="K1561" s="229">
        <f>K1563*10%</f>
        <v>370</v>
      </c>
      <c r="L1561" s="184"/>
      <c r="M1561" s="185"/>
      <c r="AV1561" s="138"/>
      <c r="AW1561" s="138"/>
      <c r="AX1561" s="138"/>
      <c r="AY1561" s="138"/>
      <c r="AZ1561" s="138"/>
      <c r="BA1561" s="138"/>
      <c r="BB1561" s="138"/>
      <c r="BC1561" s="138"/>
      <c r="BD1561" s="138"/>
      <c r="BE1561" s="138"/>
      <c r="BF1561" s="138"/>
      <c r="BG1561" s="138"/>
      <c r="BH1561" s="138"/>
      <c r="BI1561" s="138"/>
      <c r="BJ1561" s="138"/>
      <c r="BK1561" s="138"/>
      <c r="BL1561" s="138"/>
      <c r="BM1561" s="138"/>
      <c r="BN1561" s="138"/>
      <c r="BO1561" s="138"/>
    </row>
    <row r="1562" spans="1:67" ht="21.75" customHeight="1" x14ac:dyDescent="0.2">
      <c r="A1562" s="177"/>
      <c r="B1562" s="178"/>
      <c r="C1562" s="179"/>
      <c r="D1562" s="243"/>
      <c r="E1562" s="180"/>
      <c r="F1562" s="180"/>
      <c r="G1562" s="180"/>
      <c r="H1562" s="180"/>
      <c r="I1562" s="171" t="s">
        <v>2029</v>
      </c>
      <c r="J1562" s="182" t="s">
        <v>1002</v>
      </c>
      <c r="K1562" s="208">
        <f>K1563*10%</f>
        <v>370</v>
      </c>
      <c r="L1562" s="184"/>
      <c r="M1562" s="185"/>
      <c r="AV1562" s="138"/>
      <c r="AW1562" s="138"/>
      <c r="AX1562" s="138"/>
      <c r="AY1562" s="138"/>
      <c r="AZ1562" s="138"/>
      <c r="BA1562" s="138"/>
      <c r="BB1562" s="138"/>
      <c r="BC1562" s="138"/>
      <c r="BD1562" s="138"/>
      <c r="BE1562" s="138"/>
      <c r="BF1562" s="138"/>
      <c r="BG1562" s="138"/>
      <c r="BH1562" s="138"/>
      <c r="BI1562" s="138"/>
      <c r="BJ1562" s="138"/>
      <c r="BK1562" s="138"/>
      <c r="BL1562" s="138"/>
      <c r="BM1562" s="138"/>
      <c r="BN1562" s="138"/>
      <c r="BO1562" s="138"/>
    </row>
    <row r="1563" spans="1:67" x14ac:dyDescent="0.2">
      <c r="A1563" s="189"/>
      <c r="B1563" s="190"/>
      <c r="C1563" s="191"/>
      <c r="D1563" s="244"/>
      <c r="E1563" s="192"/>
      <c r="F1563" s="192"/>
      <c r="G1563" s="192"/>
      <c r="H1563" s="192"/>
      <c r="I1563" s="203"/>
      <c r="J1563" s="215"/>
      <c r="K1563" s="209">
        <v>3700</v>
      </c>
      <c r="L1563" s="196"/>
      <c r="M1563" s="197"/>
      <c r="AV1563" s="138"/>
      <c r="AW1563" s="138"/>
      <c r="AX1563" s="138"/>
      <c r="AY1563" s="138"/>
      <c r="AZ1563" s="138"/>
      <c r="BA1563" s="138"/>
      <c r="BB1563" s="138"/>
      <c r="BC1563" s="138"/>
      <c r="BD1563" s="138"/>
      <c r="BE1563" s="138"/>
      <c r="BF1563" s="138"/>
      <c r="BG1563" s="138"/>
      <c r="BH1563" s="138"/>
      <c r="BI1563" s="138"/>
      <c r="BJ1563" s="138"/>
      <c r="BK1563" s="138"/>
      <c r="BL1563" s="138"/>
      <c r="BM1563" s="138"/>
      <c r="BN1563" s="138"/>
      <c r="BO1563" s="138"/>
    </row>
    <row r="1564" spans="1:67" ht="23.25" customHeight="1" x14ac:dyDescent="0.2">
      <c r="A1564" s="167">
        <v>370</v>
      </c>
      <c r="B1564" s="168" t="s">
        <v>1966</v>
      </c>
      <c r="C1564" s="169"/>
      <c r="D1564" s="250" t="s">
        <v>107</v>
      </c>
      <c r="E1564" s="170"/>
      <c r="F1564" s="170"/>
      <c r="G1564" s="170"/>
      <c r="H1564" s="170"/>
      <c r="I1564" s="171" t="s">
        <v>2030</v>
      </c>
      <c r="J1564" s="172" t="s">
        <v>989</v>
      </c>
      <c r="K1564" s="173">
        <f>K1571*25%</f>
        <v>875</v>
      </c>
      <c r="L1564" s="174" t="s">
        <v>111</v>
      </c>
      <c r="M1564" s="175" t="s">
        <v>1969</v>
      </c>
      <c r="AV1564" s="138"/>
      <c r="AW1564" s="138"/>
      <c r="AX1564" s="138"/>
      <c r="AY1564" s="138"/>
      <c r="AZ1564" s="138"/>
      <c r="BA1564" s="138"/>
      <c r="BB1564" s="138"/>
      <c r="BC1564" s="138"/>
      <c r="BD1564" s="138"/>
      <c r="BE1564" s="138"/>
      <c r="BF1564" s="138"/>
      <c r="BG1564" s="138"/>
      <c r="BH1564" s="138"/>
      <c r="BI1564" s="138"/>
      <c r="BJ1564" s="138"/>
      <c r="BK1564" s="138"/>
      <c r="BL1564" s="138"/>
      <c r="BM1564" s="138"/>
      <c r="BN1564" s="138"/>
      <c r="BO1564" s="138"/>
    </row>
    <row r="1565" spans="1:67" x14ac:dyDescent="0.2">
      <c r="A1565" s="177"/>
      <c r="B1565" s="178"/>
      <c r="C1565" s="179"/>
      <c r="D1565" s="243"/>
      <c r="E1565" s="180"/>
      <c r="F1565" s="180"/>
      <c r="G1565" s="180"/>
      <c r="H1565" s="180"/>
      <c r="I1565" s="188" t="s">
        <v>2031</v>
      </c>
      <c r="J1565" s="182" t="s">
        <v>1002</v>
      </c>
      <c r="K1565" s="183">
        <f>K1571*50%</f>
        <v>1750</v>
      </c>
      <c r="L1565" s="184"/>
      <c r="M1565" s="185"/>
      <c r="AV1565" s="138"/>
      <c r="AW1565" s="138"/>
      <c r="AX1565" s="138"/>
      <c r="AY1565" s="138"/>
      <c r="AZ1565" s="138"/>
      <c r="BA1565" s="138"/>
      <c r="BB1565" s="138"/>
      <c r="BC1565" s="138"/>
      <c r="BD1565" s="138"/>
      <c r="BE1565" s="138"/>
      <c r="BF1565" s="138"/>
      <c r="BG1565" s="138"/>
      <c r="BH1565" s="138"/>
      <c r="BI1565" s="138"/>
      <c r="BJ1565" s="138"/>
      <c r="BK1565" s="138"/>
      <c r="BL1565" s="138"/>
      <c r="BM1565" s="138"/>
      <c r="BN1565" s="138"/>
      <c r="BO1565" s="138"/>
    </row>
    <row r="1566" spans="1:67" x14ac:dyDescent="0.2">
      <c r="A1566" s="177"/>
      <c r="B1566" s="178"/>
      <c r="C1566" s="179"/>
      <c r="D1566" s="243"/>
      <c r="E1566" s="180"/>
      <c r="F1566" s="180"/>
      <c r="G1566" s="180"/>
      <c r="H1566" s="180"/>
      <c r="I1566" s="188" t="s">
        <v>2032</v>
      </c>
      <c r="J1566" s="182" t="s">
        <v>1002</v>
      </c>
      <c r="K1566" s="183">
        <f>K1571*5%</f>
        <v>175</v>
      </c>
      <c r="L1566" s="184"/>
      <c r="M1566" s="185"/>
      <c r="AV1566" s="138"/>
      <c r="AW1566" s="138"/>
      <c r="AX1566" s="138"/>
      <c r="AY1566" s="138"/>
      <c r="AZ1566" s="138"/>
      <c r="BA1566" s="138"/>
      <c r="BB1566" s="138"/>
      <c r="BC1566" s="138"/>
      <c r="BD1566" s="138"/>
      <c r="BE1566" s="138"/>
      <c r="BF1566" s="138"/>
      <c r="BG1566" s="138"/>
      <c r="BH1566" s="138"/>
      <c r="BI1566" s="138"/>
      <c r="BJ1566" s="138"/>
      <c r="BK1566" s="138"/>
      <c r="BL1566" s="138"/>
      <c r="BM1566" s="138"/>
      <c r="BN1566" s="138"/>
      <c r="BO1566" s="138"/>
    </row>
    <row r="1567" spans="1:67" x14ac:dyDescent="0.2">
      <c r="A1567" s="177"/>
      <c r="B1567" s="178"/>
      <c r="C1567" s="179"/>
      <c r="D1567" s="243"/>
      <c r="E1567" s="180"/>
      <c r="F1567" s="180"/>
      <c r="G1567" s="180"/>
      <c r="H1567" s="180"/>
      <c r="I1567" s="188" t="s">
        <v>2033</v>
      </c>
      <c r="J1567" s="182" t="s">
        <v>1002</v>
      </c>
      <c r="K1567" s="183">
        <f>K1571*5%</f>
        <v>175</v>
      </c>
      <c r="L1567" s="184"/>
      <c r="M1567" s="185"/>
      <c r="AV1567" s="138"/>
      <c r="AW1567" s="138"/>
      <c r="AX1567" s="138"/>
      <c r="AY1567" s="138"/>
      <c r="AZ1567" s="138"/>
      <c r="BA1567" s="138"/>
      <c r="BB1567" s="138"/>
      <c r="BC1567" s="138"/>
      <c r="BD1567" s="138"/>
      <c r="BE1567" s="138"/>
      <c r="BF1567" s="138"/>
      <c r="BG1567" s="138"/>
      <c r="BH1567" s="138"/>
      <c r="BI1567" s="138"/>
      <c r="BJ1567" s="138"/>
      <c r="BK1567" s="138"/>
      <c r="BL1567" s="138"/>
      <c r="BM1567" s="138"/>
      <c r="BN1567" s="138"/>
      <c r="BO1567" s="138"/>
    </row>
    <row r="1568" spans="1:67" x14ac:dyDescent="0.2">
      <c r="A1568" s="177"/>
      <c r="B1568" s="178"/>
      <c r="C1568" s="179"/>
      <c r="D1568" s="243"/>
      <c r="E1568" s="180"/>
      <c r="F1568" s="180"/>
      <c r="G1568" s="180"/>
      <c r="H1568" s="180"/>
      <c r="I1568" s="188" t="s">
        <v>1973</v>
      </c>
      <c r="J1568" s="182" t="s">
        <v>1002</v>
      </c>
      <c r="K1568" s="183">
        <f>K1571*5%</f>
        <v>175</v>
      </c>
      <c r="L1568" s="184"/>
      <c r="M1568" s="185"/>
      <c r="AV1568" s="138"/>
      <c r="AW1568" s="138"/>
      <c r="AX1568" s="138"/>
      <c r="AY1568" s="138"/>
      <c r="AZ1568" s="138"/>
      <c r="BA1568" s="138"/>
      <c r="BB1568" s="138"/>
      <c r="BC1568" s="138"/>
      <c r="BD1568" s="138"/>
      <c r="BE1568" s="138"/>
      <c r="BF1568" s="138"/>
      <c r="BG1568" s="138"/>
      <c r="BH1568" s="138"/>
      <c r="BI1568" s="138"/>
      <c r="BJ1568" s="138"/>
      <c r="BK1568" s="138"/>
      <c r="BL1568" s="138"/>
      <c r="BM1568" s="138"/>
      <c r="BN1568" s="138"/>
      <c r="BO1568" s="138"/>
    </row>
    <row r="1569" spans="1:67" x14ac:dyDescent="0.2">
      <c r="A1569" s="177"/>
      <c r="B1569" s="178"/>
      <c r="C1569" s="179"/>
      <c r="D1569" s="243"/>
      <c r="E1569" s="180"/>
      <c r="F1569" s="180"/>
      <c r="G1569" s="180"/>
      <c r="H1569" s="180"/>
      <c r="I1569" s="188" t="s">
        <v>2034</v>
      </c>
      <c r="J1569" s="182" t="s">
        <v>1002</v>
      </c>
      <c r="K1569" s="183">
        <f>K1571*5%</f>
        <v>175</v>
      </c>
      <c r="L1569" s="184"/>
      <c r="M1569" s="185"/>
      <c r="AV1569" s="138"/>
      <c r="AW1569" s="138"/>
      <c r="AX1569" s="138"/>
      <c r="AY1569" s="138"/>
      <c r="AZ1569" s="138"/>
      <c r="BA1569" s="138"/>
      <c r="BB1569" s="138"/>
      <c r="BC1569" s="138"/>
      <c r="BD1569" s="138"/>
      <c r="BE1569" s="138"/>
      <c r="BF1569" s="138"/>
      <c r="BG1569" s="138"/>
      <c r="BH1569" s="138"/>
      <c r="BI1569" s="138"/>
      <c r="BJ1569" s="138"/>
      <c r="BK1569" s="138"/>
      <c r="BL1569" s="138"/>
      <c r="BM1569" s="138"/>
      <c r="BN1569" s="138"/>
      <c r="BO1569" s="138"/>
    </row>
    <row r="1570" spans="1:67" x14ac:dyDescent="0.2">
      <c r="A1570" s="177"/>
      <c r="B1570" s="178"/>
      <c r="C1570" s="179"/>
      <c r="D1570" s="243"/>
      <c r="E1570" s="180"/>
      <c r="F1570" s="180"/>
      <c r="G1570" s="180"/>
      <c r="H1570" s="180"/>
      <c r="I1570" s="188" t="s">
        <v>2035</v>
      </c>
      <c r="J1570" s="182" t="s">
        <v>1002</v>
      </c>
      <c r="K1570" s="183">
        <f>K1571*5%</f>
        <v>175</v>
      </c>
      <c r="L1570" s="184"/>
      <c r="M1570" s="185"/>
      <c r="AV1570" s="138"/>
      <c r="AW1570" s="138"/>
      <c r="AX1570" s="138"/>
      <c r="AY1570" s="138"/>
      <c r="AZ1570" s="138"/>
      <c r="BA1570" s="138"/>
      <c r="BB1570" s="138"/>
      <c r="BC1570" s="138"/>
      <c r="BD1570" s="138"/>
      <c r="BE1570" s="138"/>
      <c r="BF1570" s="138"/>
      <c r="BG1570" s="138"/>
      <c r="BH1570" s="138"/>
      <c r="BI1570" s="138"/>
      <c r="BJ1570" s="138"/>
      <c r="BK1570" s="138"/>
      <c r="BL1570" s="138"/>
      <c r="BM1570" s="138"/>
      <c r="BN1570" s="138"/>
      <c r="BO1570" s="138"/>
    </row>
    <row r="1571" spans="1:67" x14ac:dyDescent="0.2">
      <c r="A1571" s="189"/>
      <c r="B1571" s="190"/>
      <c r="C1571" s="191"/>
      <c r="D1571" s="244"/>
      <c r="E1571" s="192"/>
      <c r="F1571" s="192"/>
      <c r="G1571" s="192"/>
      <c r="H1571" s="192"/>
      <c r="I1571" s="193"/>
      <c r="J1571" s="215"/>
      <c r="K1571" s="216">
        <v>3500</v>
      </c>
      <c r="L1571" s="196"/>
      <c r="M1571" s="197"/>
      <c r="AV1571" s="138"/>
      <c r="AW1571" s="138"/>
      <c r="AX1571" s="138"/>
      <c r="AY1571" s="138"/>
      <c r="AZ1571" s="138"/>
      <c r="BA1571" s="138"/>
      <c r="BB1571" s="138"/>
      <c r="BC1571" s="138"/>
      <c r="BD1571" s="138"/>
      <c r="BE1571" s="138"/>
      <c r="BF1571" s="138"/>
      <c r="BG1571" s="138"/>
      <c r="BH1571" s="138"/>
      <c r="BI1571" s="138"/>
      <c r="BJ1571" s="138"/>
      <c r="BK1571" s="138"/>
      <c r="BL1571" s="138"/>
      <c r="BM1571" s="138"/>
      <c r="BN1571" s="138"/>
      <c r="BO1571" s="138"/>
    </row>
    <row r="1572" spans="1:67" ht="39.75" customHeight="1" x14ac:dyDescent="0.2">
      <c r="A1572" s="292">
        <v>371</v>
      </c>
      <c r="B1572" s="168" t="s">
        <v>2036</v>
      </c>
      <c r="C1572" s="169"/>
      <c r="D1572" s="294" t="s">
        <v>107</v>
      </c>
      <c r="E1572" s="295"/>
      <c r="F1572" s="295"/>
      <c r="G1572" s="295"/>
      <c r="H1572" s="295"/>
      <c r="I1572" s="193" t="s">
        <v>2037</v>
      </c>
      <c r="J1572" s="215" t="s">
        <v>1002</v>
      </c>
      <c r="K1572" s="258">
        <v>18000</v>
      </c>
      <c r="L1572" s="297" t="s">
        <v>111</v>
      </c>
      <c r="M1572" s="259" t="s">
        <v>2038</v>
      </c>
      <c r="AV1572" s="138"/>
      <c r="AW1572" s="138"/>
      <c r="AX1572" s="138"/>
      <c r="AY1572" s="138"/>
      <c r="AZ1572" s="138"/>
      <c r="BA1572" s="138"/>
      <c r="BB1572" s="138"/>
      <c r="BC1572" s="138"/>
      <c r="BD1572" s="138"/>
      <c r="BE1572" s="138"/>
      <c r="BF1572" s="138"/>
      <c r="BG1572" s="138"/>
      <c r="BH1572" s="138"/>
      <c r="BI1572" s="138"/>
      <c r="BJ1572" s="138"/>
      <c r="BK1572" s="138"/>
      <c r="BL1572" s="138"/>
      <c r="BM1572" s="138"/>
      <c r="BN1572" s="138"/>
      <c r="BO1572" s="138"/>
    </row>
    <row r="1573" spans="1:67" ht="45" customHeight="1" x14ac:dyDescent="0.2">
      <c r="A1573" s="292">
        <v>372</v>
      </c>
      <c r="B1573" s="168" t="s">
        <v>2039</v>
      </c>
      <c r="C1573" s="169"/>
      <c r="D1573" s="294" t="s">
        <v>107</v>
      </c>
      <c r="E1573" s="295"/>
      <c r="F1573" s="295"/>
      <c r="G1573" s="295"/>
      <c r="H1573" s="295"/>
      <c r="I1573" s="193" t="s">
        <v>2040</v>
      </c>
      <c r="J1573" s="215" t="s">
        <v>1002</v>
      </c>
      <c r="K1573" s="258">
        <v>18000</v>
      </c>
      <c r="L1573" s="297" t="s">
        <v>111</v>
      </c>
      <c r="M1573" s="259" t="s">
        <v>2041</v>
      </c>
      <c r="AV1573" s="138"/>
      <c r="AW1573" s="138"/>
      <c r="AX1573" s="138"/>
      <c r="AY1573" s="138"/>
      <c r="AZ1573" s="138"/>
      <c r="BA1573" s="138"/>
      <c r="BB1573" s="138"/>
      <c r="BC1573" s="138"/>
      <c r="BD1573" s="138"/>
      <c r="BE1573" s="138"/>
      <c r="BF1573" s="138"/>
      <c r="BG1573" s="138"/>
      <c r="BH1573" s="138"/>
      <c r="BI1573" s="138"/>
      <c r="BJ1573" s="138"/>
      <c r="BK1573" s="138"/>
      <c r="BL1573" s="138"/>
      <c r="BM1573" s="138"/>
      <c r="BN1573" s="138"/>
      <c r="BO1573" s="138"/>
    </row>
    <row r="1574" spans="1:67" ht="75" customHeight="1" x14ac:dyDescent="0.2">
      <c r="A1574" s="292">
        <v>373</v>
      </c>
      <c r="B1574" s="376" t="s">
        <v>2042</v>
      </c>
      <c r="C1574" s="376"/>
      <c r="D1574" s="433" t="s">
        <v>25</v>
      </c>
      <c r="E1574" s="295"/>
      <c r="F1574" s="295" t="s">
        <v>1239</v>
      </c>
      <c r="G1574" s="295" t="s">
        <v>2043</v>
      </c>
      <c r="H1574" s="434" t="s">
        <v>1127</v>
      </c>
      <c r="I1574" s="435" t="s">
        <v>2044</v>
      </c>
      <c r="J1574" s="436" t="s">
        <v>1002</v>
      </c>
      <c r="K1574" s="282">
        <v>420000</v>
      </c>
      <c r="L1574" s="390" t="s">
        <v>2043</v>
      </c>
      <c r="M1574" s="281" t="s">
        <v>2045</v>
      </c>
      <c r="AV1574" s="138"/>
      <c r="AW1574" s="138"/>
      <c r="AX1574" s="138"/>
      <c r="AY1574" s="138"/>
      <c r="AZ1574" s="138"/>
      <c r="BA1574" s="138"/>
      <c r="BB1574" s="138"/>
      <c r="BC1574" s="138"/>
      <c r="BD1574" s="138"/>
      <c r="BE1574" s="138"/>
      <c r="BF1574" s="138"/>
      <c r="BG1574" s="138"/>
      <c r="BH1574" s="138"/>
      <c r="BI1574" s="138"/>
      <c r="BJ1574" s="138"/>
      <c r="BK1574" s="138"/>
      <c r="BL1574" s="138"/>
      <c r="BM1574" s="138"/>
      <c r="BN1574" s="138"/>
      <c r="BO1574" s="138"/>
    </row>
    <row r="1575" spans="1:67" ht="75" customHeight="1" x14ac:dyDescent="0.2">
      <c r="A1575" s="292">
        <v>374</v>
      </c>
      <c r="B1575" s="376" t="s">
        <v>2046</v>
      </c>
      <c r="C1575" s="376"/>
      <c r="D1575" s="433" t="s">
        <v>25</v>
      </c>
      <c r="E1575" s="295"/>
      <c r="F1575" s="295" t="s">
        <v>1239</v>
      </c>
      <c r="G1575" s="295" t="s">
        <v>2047</v>
      </c>
      <c r="H1575" s="434" t="s">
        <v>750</v>
      </c>
      <c r="I1575" s="435" t="s">
        <v>2044</v>
      </c>
      <c r="J1575" s="436" t="s">
        <v>1002</v>
      </c>
      <c r="K1575" s="282">
        <v>400000</v>
      </c>
      <c r="L1575" s="390" t="s">
        <v>2047</v>
      </c>
      <c r="M1575" s="281" t="s">
        <v>2048</v>
      </c>
      <c r="AV1575" s="138"/>
      <c r="AW1575" s="138"/>
      <c r="AX1575" s="138"/>
      <c r="AY1575" s="138"/>
      <c r="AZ1575" s="138"/>
      <c r="BA1575" s="138"/>
      <c r="BB1575" s="138"/>
      <c r="BC1575" s="138"/>
      <c r="BD1575" s="138"/>
      <c r="BE1575" s="138"/>
      <c r="BF1575" s="138"/>
      <c r="BG1575" s="138"/>
      <c r="BH1575" s="138"/>
      <c r="BI1575" s="138"/>
      <c r="BJ1575" s="138"/>
      <c r="BK1575" s="138"/>
      <c r="BL1575" s="138"/>
      <c r="BM1575" s="138"/>
      <c r="BN1575" s="138"/>
      <c r="BO1575" s="138"/>
    </row>
    <row r="1576" spans="1:67" s="267" customFormat="1" ht="75" customHeight="1" x14ac:dyDescent="0.2">
      <c r="A1576" s="292">
        <v>375</v>
      </c>
      <c r="B1576" s="298" t="s">
        <v>2049</v>
      </c>
      <c r="C1576" s="299"/>
      <c r="D1576" s="295" t="s">
        <v>107</v>
      </c>
      <c r="E1576" s="295"/>
      <c r="F1576" s="295"/>
      <c r="G1576" s="295"/>
      <c r="H1576" s="295"/>
      <c r="I1576" s="280" t="s">
        <v>2050</v>
      </c>
      <c r="J1576" s="281" t="s">
        <v>1002</v>
      </c>
      <c r="K1576" s="282">
        <v>40000</v>
      </c>
      <c r="L1576" s="293" t="s">
        <v>111</v>
      </c>
      <c r="M1576" s="259" t="s">
        <v>2051</v>
      </c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  <c r="Z1576" s="138"/>
      <c r="AA1576" s="138"/>
      <c r="AB1576" s="138"/>
      <c r="AC1576" s="138"/>
      <c r="AD1576" s="138"/>
      <c r="AE1576" s="138"/>
      <c r="AF1576" s="138"/>
      <c r="AG1576" s="138"/>
      <c r="AH1576" s="138"/>
      <c r="AI1576" s="138"/>
      <c r="AJ1576" s="138"/>
      <c r="AK1576" s="138"/>
      <c r="AL1576" s="138"/>
      <c r="AM1576" s="138"/>
      <c r="AN1576" s="138"/>
      <c r="AO1576" s="138"/>
      <c r="AP1576" s="138"/>
      <c r="AQ1576" s="138"/>
      <c r="AR1576" s="138"/>
      <c r="AS1576" s="138"/>
      <c r="AT1576" s="138"/>
      <c r="AU1576" s="138"/>
      <c r="AV1576" s="138"/>
      <c r="AW1576" s="138"/>
      <c r="AX1576" s="138"/>
      <c r="AY1576" s="138"/>
      <c r="AZ1576" s="138"/>
      <c r="BA1576" s="138"/>
      <c r="BB1576" s="138"/>
      <c r="BC1576" s="138"/>
      <c r="BD1576" s="138"/>
      <c r="BE1576" s="138"/>
      <c r="BF1576" s="138"/>
      <c r="BG1576" s="138"/>
      <c r="BH1576" s="138"/>
      <c r="BI1576" s="138"/>
      <c r="BJ1576" s="138"/>
      <c r="BK1576" s="138"/>
      <c r="BL1576" s="138"/>
      <c r="BM1576" s="138"/>
      <c r="BN1576" s="138"/>
      <c r="BO1576" s="138"/>
    </row>
    <row r="1577" spans="1:67" s="267" customFormat="1" ht="75" customHeight="1" x14ac:dyDescent="0.2">
      <c r="A1577" s="292">
        <v>376</v>
      </c>
      <c r="B1577" s="298" t="s">
        <v>2052</v>
      </c>
      <c r="C1577" s="299"/>
      <c r="D1577" s="295" t="s">
        <v>107</v>
      </c>
      <c r="E1577" s="295"/>
      <c r="F1577" s="295"/>
      <c r="G1577" s="295"/>
      <c r="H1577" s="295"/>
      <c r="I1577" s="280" t="s">
        <v>2053</v>
      </c>
      <c r="J1577" s="281" t="s">
        <v>1002</v>
      </c>
      <c r="K1577" s="282">
        <v>35000</v>
      </c>
      <c r="L1577" s="293" t="s">
        <v>111</v>
      </c>
      <c r="M1577" s="259" t="s">
        <v>2054</v>
      </c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  <c r="Z1577" s="138"/>
      <c r="AA1577" s="138"/>
      <c r="AB1577" s="138"/>
      <c r="AC1577" s="138"/>
      <c r="AD1577" s="138"/>
      <c r="AE1577" s="138"/>
      <c r="AF1577" s="138"/>
      <c r="AG1577" s="138"/>
      <c r="AH1577" s="138"/>
      <c r="AI1577" s="138"/>
      <c r="AJ1577" s="138"/>
      <c r="AK1577" s="138"/>
      <c r="AL1577" s="138"/>
      <c r="AM1577" s="138"/>
      <c r="AN1577" s="138"/>
      <c r="AO1577" s="138"/>
      <c r="AP1577" s="138"/>
      <c r="AQ1577" s="138"/>
      <c r="AR1577" s="138"/>
      <c r="AS1577" s="138"/>
      <c r="AT1577" s="138"/>
      <c r="AU1577" s="138"/>
      <c r="AV1577" s="138"/>
      <c r="AW1577" s="138"/>
      <c r="AX1577" s="138"/>
      <c r="AY1577" s="138"/>
      <c r="AZ1577" s="138"/>
      <c r="BA1577" s="138"/>
      <c r="BB1577" s="138"/>
      <c r="BC1577" s="138"/>
      <c r="BD1577" s="138"/>
      <c r="BE1577" s="138"/>
      <c r="BF1577" s="138"/>
      <c r="BG1577" s="138"/>
      <c r="BH1577" s="138"/>
      <c r="BI1577" s="138"/>
      <c r="BJ1577" s="138"/>
      <c r="BK1577" s="138"/>
      <c r="BL1577" s="138"/>
      <c r="BM1577" s="138"/>
      <c r="BN1577" s="138"/>
      <c r="BO1577" s="138"/>
    </row>
    <row r="1578" spans="1:67" s="267" customFormat="1" ht="75" customHeight="1" x14ac:dyDescent="0.2">
      <c r="A1578" s="292">
        <v>377</v>
      </c>
      <c r="B1578" s="298" t="s">
        <v>2055</v>
      </c>
      <c r="C1578" s="299"/>
      <c r="D1578" s="295" t="s">
        <v>107</v>
      </c>
      <c r="E1578" s="295"/>
      <c r="F1578" s="295"/>
      <c r="G1578" s="295"/>
      <c r="H1578" s="295"/>
      <c r="I1578" s="280" t="s">
        <v>2053</v>
      </c>
      <c r="J1578" s="281" t="s">
        <v>1002</v>
      </c>
      <c r="K1578" s="282">
        <v>25000</v>
      </c>
      <c r="L1578" s="293" t="s">
        <v>111</v>
      </c>
      <c r="M1578" s="259" t="s">
        <v>2056</v>
      </c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  <c r="Z1578" s="138"/>
      <c r="AA1578" s="138"/>
      <c r="AB1578" s="138"/>
      <c r="AC1578" s="138"/>
      <c r="AD1578" s="138"/>
      <c r="AE1578" s="138"/>
      <c r="AF1578" s="138"/>
      <c r="AG1578" s="138"/>
      <c r="AH1578" s="138"/>
      <c r="AI1578" s="138"/>
      <c r="AJ1578" s="138"/>
      <c r="AK1578" s="138"/>
      <c r="AL1578" s="138"/>
      <c r="AM1578" s="138"/>
      <c r="AN1578" s="138"/>
      <c r="AO1578" s="138"/>
      <c r="AP1578" s="138"/>
      <c r="AQ1578" s="138"/>
      <c r="AR1578" s="138"/>
      <c r="AS1578" s="138"/>
      <c r="AT1578" s="138"/>
      <c r="AU1578" s="138"/>
      <c r="AV1578" s="138"/>
      <c r="AW1578" s="138"/>
      <c r="AX1578" s="138"/>
      <c r="AY1578" s="138"/>
      <c r="AZ1578" s="138"/>
      <c r="BA1578" s="138"/>
      <c r="BB1578" s="138"/>
      <c r="BC1578" s="138"/>
      <c r="BD1578" s="138"/>
      <c r="BE1578" s="138"/>
      <c r="BF1578" s="138"/>
      <c r="BG1578" s="138"/>
      <c r="BH1578" s="138"/>
      <c r="BI1578" s="138"/>
      <c r="BJ1578" s="138"/>
      <c r="BK1578" s="138"/>
      <c r="BL1578" s="138"/>
      <c r="BM1578" s="138"/>
      <c r="BN1578" s="138"/>
      <c r="BO1578" s="138"/>
    </row>
    <row r="1579" spans="1:67" s="267" customFormat="1" ht="75" customHeight="1" x14ac:dyDescent="0.2">
      <c r="A1579" s="292">
        <v>378</v>
      </c>
      <c r="B1579" s="298" t="s">
        <v>2057</v>
      </c>
      <c r="C1579" s="299"/>
      <c r="D1579" s="295" t="s">
        <v>107</v>
      </c>
      <c r="E1579" s="295"/>
      <c r="F1579" s="295"/>
      <c r="G1579" s="295"/>
      <c r="H1579" s="295"/>
      <c r="I1579" s="280" t="s">
        <v>2058</v>
      </c>
      <c r="J1579" s="281" t="s">
        <v>1002</v>
      </c>
      <c r="K1579" s="282">
        <v>30000</v>
      </c>
      <c r="L1579" s="293" t="s">
        <v>111</v>
      </c>
      <c r="M1579" s="259" t="s">
        <v>2059</v>
      </c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  <c r="Z1579" s="138"/>
      <c r="AA1579" s="138"/>
      <c r="AB1579" s="138"/>
      <c r="AC1579" s="138"/>
      <c r="AD1579" s="138"/>
      <c r="AE1579" s="138"/>
      <c r="AF1579" s="138"/>
      <c r="AG1579" s="138"/>
      <c r="AH1579" s="138"/>
      <c r="AI1579" s="138"/>
      <c r="AJ1579" s="138"/>
      <c r="AK1579" s="138"/>
      <c r="AL1579" s="138"/>
      <c r="AM1579" s="138"/>
      <c r="AN1579" s="138"/>
      <c r="AO1579" s="138"/>
      <c r="AP1579" s="138"/>
      <c r="AQ1579" s="138"/>
      <c r="AR1579" s="138"/>
      <c r="AS1579" s="138"/>
      <c r="AT1579" s="138"/>
      <c r="AU1579" s="138"/>
      <c r="AV1579" s="138"/>
      <c r="AW1579" s="138"/>
      <c r="AX1579" s="138"/>
      <c r="AY1579" s="138"/>
      <c r="AZ1579" s="138"/>
      <c r="BA1579" s="138"/>
      <c r="BB1579" s="138"/>
      <c r="BC1579" s="138"/>
      <c r="BD1579" s="138"/>
      <c r="BE1579" s="138"/>
      <c r="BF1579" s="138"/>
      <c r="BG1579" s="138"/>
      <c r="BH1579" s="138"/>
      <c r="BI1579" s="138"/>
      <c r="BJ1579" s="138"/>
      <c r="BK1579" s="138"/>
      <c r="BL1579" s="138"/>
      <c r="BM1579" s="138"/>
      <c r="BN1579" s="138"/>
      <c r="BO1579" s="138"/>
    </row>
    <row r="1580" spans="1:67" s="267" customFormat="1" ht="75" customHeight="1" x14ac:dyDescent="0.2">
      <c r="A1580" s="292">
        <v>379</v>
      </c>
      <c r="B1580" s="298" t="s">
        <v>2060</v>
      </c>
      <c r="C1580" s="299"/>
      <c r="D1580" s="295" t="s">
        <v>107</v>
      </c>
      <c r="E1580" s="295"/>
      <c r="F1580" s="295"/>
      <c r="G1580" s="295"/>
      <c r="H1580" s="295"/>
      <c r="I1580" s="280" t="s">
        <v>2053</v>
      </c>
      <c r="J1580" s="281" t="s">
        <v>1002</v>
      </c>
      <c r="K1580" s="282">
        <v>20000</v>
      </c>
      <c r="L1580" s="293" t="s">
        <v>111</v>
      </c>
      <c r="M1580" s="259" t="s">
        <v>2061</v>
      </c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  <c r="Z1580" s="138"/>
      <c r="AA1580" s="138"/>
      <c r="AB1580" s="138"/>
      <c r="AC1580" s="138"/>
      <c r="AD1580" s="138"/>
      <c r="AE1580" s="138"/>
      <c r="AF1580" s="138"/>
      <c r="AG1580" s="138"/>
      <c r="AH1580" s="138"/>
      <c r="AI1580" s="138"/>
      <c r="AJ1580" s="138"/>
      <c r="AK1580" s="138"/>
      <c r="AL1580" s="138"/>
      <c r="AM1580" s="138"/>
      <c r="AN1580" s="138"/>
      <c r="AO1580" s="138"/>
      <c r="AP1580" s="138"/>
      <c r="AQ1580" s="138"/>
      <c r="AR1580" s="138"/>
      <c r="AS1580" s="138"/>
      <c r="AT1580" s="138"/>
      <c r="AU1580" s="138"/>
      <c r="AV1580" s="138"/>
      <c r="AW1580" s="138"/>
      <c r="AX1580" s="138"/>
      <c r="AY1580" s="138"/>
      <c r="AZ1580" s="138"/>
      <c r="BA1580" s="138"/>
      <c r="BB1580" s="138"/>
      <c r="BC1580" s="138"/>
      <c r="BD1580" s="138"/>
      <c r="BE1580" s="138"/>
      <c r="BF1580" s="138"/>
      <c r="BG1580" s="138"/>
      <c r="BH1580" s="138"/>
      <c r="BI1580" s="138"/>
      <c r="BJ1580" s="138"/>
      <c r="BK1580" s="138"/>
      <c r="BL1580" s="138"/>
      <c r="BM1580" s="138"/>
      <c r="BN1580" s="138"/>
      <c r="BO1580" s="138"/>
    </row>
    <row r="1581" spans="1:67" s="267" customFormat="1" ht="28.5" customHeight="1" x14ac:dyDescent="0.2">
      <c r="A1581" s="167">
        <v>380</v>
      </c>
      <c r="B1581" s="301" t="s">
        <v>2062</v>
      </c>
      <c r="C1581" s="302"/>
      <c r="D1581" s="170" t="s">
        <v>107</v>
      </c>
      <c r="E1581" s="170"/>
      <c r="F1581" s="170"/>
      <c r="G1581" s="170"/>
      <c r="H1581" s="170"/>
      <c r="I1581" s="274" t="s">
        <v>2063</v>
      </c>
      <c r="J1581" s="275" t="s">
        <v>1002</v>
      </c>
      <c r="K1581" s="276">
        <f>25000*60%</f>
        <v>15000</v>
      </c>
      <c r="L1581" s="175" t="s">
        <v>111</v>
      </c>
      <c r="M1581" s="175" t="s">
        <v>2064</v>
      </c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  <c r="Z1581" s="138"/>
      <c r="AA1581" s="138"/>
      <c r="AB1581" s="138"/>
      <c r="AC1581" s="138"/>
      <c r="AD1581" s="138"/>
      <c r="AE1581" s="138"/>
      <c r="AF1581" s="138"/>
      <c r="AG1581" s="138"/>
      <c r="AH1581" s="138"/>
      <c r="AI1581" s="138"/>
      <c r="AJ1581" s="138"/>
      <c r="AK1581" s="138"/>
      <c r="AL1581" s="138"/>
      <c r="AM1581" s="138"/>
      <c r="AN1581" s="138"/>
      <c r="AO1581" s="138"/>
      <c r="AP1581" s="138"/>
      <c r="AQ1581" s="138"/>
      <c r="AR1581" s="138"/>
      <c r="AS1581" s="138"/>
      <c r="AT1581" s="138"/>
      <c r="AU1581" s="138"/>
      <c r="AV1581" s="138"/>
      <c r="AW1581" s="138"/>
      <c r="AX1581" s="138"/>
      <c r="AY1581" s="138"/>
      <c r="AZ1581" s="138"/>
      <c r="BA1581" s="138"/>
      <c r="BB1581" s="138"/>
      <c r="BC1581" s="138"/>
      <c r="BD1581" s="138"/>
      <c r="BE1581" s="138"/>
      <c r="BF1581" s="138"/>
      <c r="BG1581" s="138"/>
      <c r="BH1581" s="138"/>
      <c r="BI1581" s="138"/>
      <c r="BJ1581" s="138"/>
      <c r="BK1581" s="138"/>
      <c r="BL1581" s="138"/>
      <c r="BM1581" s="138"/>
      <c r="BN1581" s="138"/>
      <c r="BO1581" s="138"/>
    </row>
    <row r="1582" spans="1:67" s="267" customFormat="1" ht="27.75" customHeight="1" x14ac:dyDescent="0.2">
      <c r="A1582" s="177"/>
      <c r="B1582" s="286"/>
      <c r="C1582" s="287"/>
      <c r="D1582" s="180"/>
      <c r="E1582" s="180"/>
      <c r="F1582" s="180"/>
      <c r="G1582" s="180"/>
      <c r="H1582" s="180"/>
      <c r="I1582" s="188" t="s">
        <v>2065</v>
      </c>
      <c r="J1582" s="270" t="s">
        <v>1002</v>
      </c>
      <c r="K1582" s="214">
        <f>25000*20%</f>
        <v>5000</v>
      </c>
      <c r="L1582" s="185"/>
      <c r="M1582" s="185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  <c r="Z1582" s="138"/>
      <c r="AA1582" s="138"/>
      <c r="AB1582" s="138"/>
      <c r="AC1582" s="138"/>
      <c r="AD1582" s="138"/>
      <c r="AE1582" s="138"/>
      <c r="AF1582" s="138"/>
      <c r="AG1582" s="138"/>
      <c r="AH1582" s="138"/>
      <c r="AI1582" s="138"/>
      <c r="AJ1582" s="138"/>
      <c r="AK1582" s="138"/>
      <c r="AL1582" s="138"/>
      <c r="AM1582" s="138"/>
      <c r="AN1582" s="138"/>
      <c r="AO1582" s="138"/>
      <c r="AP1582" s="138"/>
      <c r="AQ1582" s="138"/>
      <c r="AR1582" s="138"/>
      <c r="AS1582" s="138"/>
      <c r="AT1582" s="138"/>
      <c r="AU1582" s="138"/>
      <c r="AV1582" s="138"/>
      <c r="AW1582" s="138"/>
      <c r="AX1582" s="138"/>
      <c r="AY1582" s="138"/>
      <c r="AZ1582" s="138"/>
      <c r="BA1582" s="138"/>
      <c r="BB1582" s="138"/>
      <c r="BC1582" s="138"/>
      <c r="BD1582" s="138"/>
      <c r="BE1582" s="138"/>
      <c r="BF1582" s="138"/>
      <c r="BG1582" s="138"/>
      <c r="BH1582" s="138"/>
      <c r="BI1582" s="138"/>
      <c r="BJ1582" s="138"/>
      <c r="BK1582" s="138"/>
      <c r="BL1582" s="138"/>
      <c r="BM1582" s="138"/>
      <c r="BN1582" s="138"/>
      <c r="BO1582" s="138"/>
    </row>
    <row r="1583" spans="1:67" s="267" customFormat="1" ht="28.5" customHeight="1" x14ac:dyDescent="0.2">
      <c r="A1583" s="177"/>
      <c r="B1583" s="286"/>
      <c r="C1583" s="287"/>
      <c r="D1583" s="180"/>
      <c r="E1583" s="180"/>
      <c r="F1583" s="180"/>
      <c r="G1583" s="180"/>
      <c r="H1583" s="180"/>
      <c r="I1583" s="188" t="s">
        <v>2066</v>
      </c>
      <c r="J1583" s="270" t="s">
        <v>1002</v>
      </c>
      <c r="K1583" s="214">
        <f>25000*20%</f>
        <v>5000</v>
      </c>
      <c r="L1583" s="185"/>
      <c r="M1583" s="185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  <c r="Z1583" s="138"/>
      <c r="AA1583" s="138"/>
      <c r="AB1583" s="138"/>
      <c r="AC1583" s="138"/>
      <c r="AD1583" s="138"/>
      <c r="AE1583" s="138"/>
      <c r="AF1583" s="138"/>
      <c r="AG1583" s="138"/>
      <c r="AH1583" s="138"/>
      <c r="AI1583" s="138"/>
      <c r="AJ1583" s="138"/>
      <c r="AK1583" s="138"/>
      <c r="AL1583" s="138"/>
      <c r="AM1583" s="138"/>
      <c r="AN1583" s="138"/>
      <c r="AO1583" s="138"/>
      <c r="AP1583" s="138"/>
      <c r="AQ1583" s="138"/>
      <c r="AR1583" s="138"/>
      <c r="AS1583" s="138"/>
      <c r="AT1583" s="138"/>
      <c r="AU1583" s="138"/>
      <c r="AV1583" s="138"/>
      <c r="AW1583" s="138"/>
      <c r="AX1583" s="138"/>
      <c r="AY1583" s="138"/>
      <c r="AZ1583" s="138"/>
      <c r="BA1583" s="138"/>
      <c r="BB1583" s="138"/>
      <c r="BC1583" s="138"/>
      <c r="BD1583" s="138"/>
      <c r="BE1583" s="138"/>
      <c r="BF1583" s="138"/>
      <c r="BG1583" s="138"/>
      <c r="BH1583" s="138"/>
      <c r="BI1583" s="138"/>
      <c r="BJ1583" s="138"/>
      <c r="BK1583" s="138"/>
      <c r="BL1583" s="138"/>
      <c r="BM1583" s="138"/>
      <c r="BN1583" s="138"/>
      <c r="BO1583" s="138"/>
    </row>
    <row r="1584" spans="1:67" s="267" customFormat="1" ht="29.25" customHeight="1" x14ac:dyDescent="0.2">
      <c r="A1584" s="189"/>
      <c r="B1584" s="288"/>
      <c r="C1584" s="289"/>
      <c r="D1584" s="192"/>
      <c r="E1584" s="192"/>
      <c r="F1584" s="192"/>
      <c r="G1584" s="192"/>
      <c r="H1584" s="192"/>
      <c r="I1584" s="193"/>
      <c r="J1584" s="369"/>
      <c r="K1584" s="290">
        <f>SUM(K1581:K1583)</f>
        <v>25000</v>
      </c>
      <c r="L1584" s="197"/>
      <c r="M1584" s="197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  <c r="Z1584" s="138"/>
      <c r="AA1584" s="138"/>
      <c r="AB1584" s="138"/>
      <c r="AC1584" s="138"/>
      <c r="AD1584" s="138"/>
      <c r="AE1584" s="138"/>
      <c r="AF1584" s="138"/>
      <c r="AG1584" s="138"/>
      <c r="AH1584" s="138"/>
      <c r="AI1584" s="138"/>
      <c r="AJ1584" s="138"/>
      <c r="AK1584" s="138"/>
      <c r="AL1584" s="138"/>
      <c r="AM1584" s="138"/>
      <c r="AN1584" s="138"/>
      <c r="AO1584" s="138"/>
      <c r="AP1584" s="138"/>
      <c r="AQ1584" s="138"/>
      <c r="AR1584" s="138"/>
      <c r="AS1584" s="138"/>
      <c r="AT1584" s="138"/>
      <c r="AU1584" s="138"/>
      <c r="AV1584" s="138"/>
      <c r="AW1584" s="138"/>
      <c r="AX1584" s="138"/>
      <c r="AY1584" s="138"/>
      <c r="AZ1584" s="138"/>
      <c r="BA1584" s="138"/>
      <c r="BB1584" s="138"/>
      <c r="BC1584" s="138"/>
      <c r="BD1584" s="138"/>
      <c r="BE1584" s="138"/>
      <c r="BF1584" s="138"/>
      <c r="BG1584" s="138"/>
      <c r="BH1584" s="138"/>
      <c r="BI1584" s="138"/>
      <c r="BJ1584" s="138"/>
      <c r="BK1584" s="138"/>
      <c r="BL1584" s="138"/>
      <c r="BM1584" s="138"/>
      <c r="BN1584" s="138"/>
      <c r="BO1584" s="138"/>
    </row>
    <row r="1585" spans="1:67" ht="48" x14ac:dyDescent="0.2">
      <c r="A1585" s="167">
        <v>381</v>
      </c>
      <c r="B1585" s="168" t="s">
        <v>2067</v>
      </c>
      <c r="C1585" s="169"/>
      <c r="D1585" s="170" t="s">
        <v>107</v>
      </c>
      <c r="E1585" s="170"/>
      <c r="F1585" s="170"/>
      <c r="G1585" s="170"/>
      <c r="H1585" s="170" t="s">
        <v>137</v>
      </c>
      <c r="I1585" s="217" t="s">
        <v>2068</v>
      </c>
      <c r="J1585" s="198" t="s">
        <v>571</v>
      </c>
      <c r="K1585" s="206">
        <f>12000*75%</f>
        <v>9000</v>
      </c>
      <c r="L1585" s="174" t="s">
        <v>111</v>
      </c>
      <c r="M1585" s="175" t="s">
        <v>2069</v>
      </c>
      <c r="AV1585" s="138"/>
      <c r="AW1585" s="138"/>
      <c r="AX1585" s="138"/>
      <c r="AY1585" s="138"/>
      <c r="AZ1585" s="138"/>
      <c r="BA1585" s="138"/>
      <c r="BB1585" s="138"/>
      <c r="BC1585" s="138"/>
      <c r="BD1585" s="138"/>
      <c r="BE1585" s="138"/>
      <c r="BF1585" s="138"/>
      <c r="BG1585" s="138"/>
      <c r="BH1585" s="138"/>
      <c r="BI1585" s="138"/>
      <c r="BJ1585" s="138"/>
      <c r="BK1585" s="138"/>
      <c r="BL1585" s="138"/>
      <c r="BM1585" s="138"/>
      <c r="BN1585" s="138"/>
      <c r="BO1585" s="138"/>
    </row>
    <row r="1586" spans="1:67" ht="48" x14ac:dyDescent="0.2">
      <c r="A1586" s="177"/>
      <c r="B1586" s="178"/>
      <c r="C1586" s="179"/>
      <c r="D1586" s="180"/>
      <c r="E1586" s="180"/>
      <c r="F1586" s="180"/>
      <c r="G1586" s="180"/>
      <c r="H1586" s="180"/>
      <c r="I1586" s="171" t="s">
        <v>2070</v>
      </c>
      <c r="J1586" s="172" t="s">
        <v>664</v>
      </c>
      <c r="K1586" s="229">
        <f>12000*15%</f>
        <v>1800</v>
      </c>
      <c r="L1586" s="184"/>
      <c r="M1586" s="185"/>
      <c r="AV1586" s="138"/>
      <c r="AW1586" s="138"/>
      <c r="AX1586" s="138"/>
      <c r="AY1586" s="138"/>
      <c r="AZ1586" s="138"/>
      <c r="BA1586" s="138"/>
      <c r="BB1586" s="138"/>
      <c r="BC1586" s="138"/>
      <c r="BD1586" s="138"/>
      <c r="BE1586" s="138"/>
      <c r="BF1586" s="138"/>
      <c r="BG1586" s="138"/>
      <c r="BH1586" s="138"/>
      <c r="BI1586" s="138"/>
      <c r="BJ1586" s="138"/>
      <c r="BK1586" s="138"/>
      <c r="BL1586" s="138"/>
      <c r="BM1586" s="138"/>
      <c r="BN1586" s="138"/>
      <c r="BO1586" s="138"/>
    </row>
    <row r="1587" spans="1:67" x14ac:dyDescent="0.2">
      <c r="A1587" s="177"/>
      <c r="B1587" s="178"/>
      <c r="C1587" s="179"/>
      <c r="D1587" s="180"/>
      <c r="E1587" s="180"/>
      <c r="F1587" s="180"/>
      <c r="G1587" s="180"/>
      <c r="H1587" s="180"/>
      <c r="I1587" s="188" t="s">
        <v>2071</v>
      </c>
      <c r="J1587" s="182" t="s">
        <v>571</v>
      </c>
      <c r="K1587" s="208">
        <f>12000*10%</f>
        <v>1200</v>
      </c>
      <c r="L1587" s="184"/>
      <c r="M1587" s="185"/>
      <c r="AV1587" s="138"/>
      <c r="AW1587" s="138"/>
      <c r="AX1587" s="138"/>
      <c r="AY1587" s="138"/>
      <c r="AZ1587" s="138"/>
      <c r="BA1587" s="138"/>
      <c r="BB1587" s="138"/>
      <c r="BC1587" s="138"/>
      <c r="BD1587" s="138"/>
      <c r="BE1587" s="138"/>
      <c r="BF1587" s="138"/>
      <c r="BG1587" s="138"/>
      <c r="BH1587" s="138"/>
      <c r="BI1587" s="138"/>
      <c r="BJ1587" s="138"/>
      <c r="BK1587" s="138"/>
      <c r="BL1587" s="138"/>
      <c r="BM1587" s="138"/>
      <c r="BN1587" s="138"/>
      <c r="BO1587" s="138"/>
    </row>
    <row r="1588" spans="1:67" x14ac:dyDescent="0.2">
      <c r="A1588" s="189"/>
      <c r="B1588" s="190"/>
      <c r="C1588" s="191"/>
      <c r="D1588" s="192"/>
      <c r="E1588" s="192"/>
      <c r="F1588" s="192"/>
      <c r="G1588" s="192"/>
      <c r="H1588" s="192"/>
      <c r="I1588" s="193"/>
      <c r="J1588" s="215"/>
      <c r="K1588" s="437">
        <f>SUM(K1585:K1587)</f>
        <v>12000</v>
      </c>
      <c r="L1588" s="191"/>
      <c r="M1588" s="197"/>
      <c r="AV1588" s="138"/>
      <c r="AW1588" s="138"/>
      <c r="AX1588" s="138"/>
      <c r="AY1588" s="138"/>
      <c r="AZ1588" s="138"/>
      <c r="BA1588" s="138"/>
      <c r="BB1588" s="138"/>
      <c r="BC1588" s="138"/>
      <c r="BD1588" s="138"/>
      <c r="BE1588" s="138"/>
      <c r="BF1588" s="138"/>
      <c r="BG1588" s="138"/>
      <c r="BH1588" s="138"/>
      <c r="BI1588" s="138"/>
      <c r="BJ1588" s="138"/>
      <c r="BK1588" s="138"/>
      <c r="BL1588" s="138"/>
      <c r="BM1588" s="138"/>
      <c r="BN1588" s="138"/>
      <c r="BO1588" s="138"/>
    </row>
    <row r="1589" spans="1:67" x14ac:dyDescent="0.2">
      <c r="A1589" s="167">
        <v>382</v>
      </c>
      <c r="B1589" s="168" t="s">
        <v>2072</v>
      </c>
      <c r="C1589" s="169"/>
      <c r="D1589" s="170" t="s">
        <v>107</v>
      </c>
      <c r="E1589" s="170"/>
      <c r="F1589" s="170"/>
      <c r="G1589" s="170"/>
      <c r="H1589" s="246" t="s">
        <v>164</v>
      </c>
      <c r="I1589" s="217" t="s">
        <v>2073</v>
      </c>
      <c r="J1589" s="265" t="s">
        <v>1387</v>
      </c>
      <c r="K1589" s="266">
        <f>9000*50%</f>
        <v>4500</v>
      </c>
      <c r="L1589" s="169" t="s">
        <v>111</v>
      </c>
      <c r="M1589" s="175" t="s">
        <v>2074</v>
      </c>
      <c r="AV1589" s="138"/>
      <c r="AW1589" s="138"/>
      <c r="AX1589" s="138"/>
      <c r="AY1589" s="138"/>
      <c r="AZ1589" s="138"/>
      <c r="BA1589" s="138"/>
      <c r="BB1589" s="138"/>
      <c r="BC1589" s="138"/>
      <c r="BD1589" s="138"/>
      <c r="BE1589" s="138"/>
      <c r="BF1589" s="138"/>
      <c r="BG1589" s="138"/>
      <c r="BH1589" s="138"/>
      <c r="BI1589" s="138"/>
      <c r="BJ1589" s="138"/>
      <c r="BK1589" s="138"/>
      <c r="BL1589" s="138"/>
      <c r="BM1589" s="138"/>
      <c r="BN1589" s="138"/>
      <c r="BO1589" s="138"/>
    </row>
    <row r="1590" spans="1:67" x14ac:dyDescent="0.2">
      <c r="A1590" s="177"/>
      <c r="B1590" s="178"/>
      <c r="C1590" s="179"/>
      <c r="D1590" s="180"/>
      <c r="E1590" s="180"/>
      <c r="F1590" s="180"/>
      <c r="G1590" s="180"/>
      <c r="H1590" s="248"/>
      <c r="I1590" s="188" t="s">
        <v>2075</v>
      </c>
      <c r="J1590" s="270" t="s">
        <v>1387</v>
      </c>
      <c r="K1590" s="214">
        <f>9000*20%</f>
        <v>1800</v>
      </c>
      <c r="L1590" s="179"/>
      <c r="M1590" s="185"/>
      <c r="AV1590" s="138"/>
      <c r="AW1590" s="138"/>
      <c r="AX1590" s="138"/>
      <c r="AY1590" s="138"/>
      <c r="AZ1590" s="138"/>
      <c r="BA1590" s="138"/>
      <c r="BB1590" s="138"/>
      <c r="BC1590" s="138"/>
      <c r="BD1590" s="138"/>
      <c r="BE1590" s="138"/>
      <c r="BF1590" s="138"/>
      <c r="BG1590" s="138"/>
      <c r="BH1590" s="138"/>
      <c r="BI1590" s="138"/>
      <c r="BJ1590" s="138"/>
      <c r="BK1590" s="138"/>
      <c r="BL1590" s="138"/>
      <c r="BM1590" s="138"/>
      <c r="BN1590" s="138"/>
      <c r="BO1590" s="138"/>
    </row>
    <row r="1591" spans="1:67" ht="24" customHeight="1" x14ac:dyDescent="0.2">
      <c r="A1591" s="177"/>
      <c r="B1591" s="178"/>
      <c r="C1591" s="179"/>
      <c r="D1591" s="180"/>
      <c r="E1591" s="180"/>
      <c r="F1591" s="180"/>
      <c r="G1591" s="180"/>
      <c r="H1591" s="248"/>
      <c r="I1591" s="188" t="s">
        <v>1411</v>
      </c>
      <c r="J1591" s="270" t="s">
        <v>1387</v>
      </c>
      <c r="K1591" s="214">
        <f>9000*20%</f>
        <v>1800</v>
      </c>
      <c r="L1591" s="179"/>
      <c r="M1591" s="185"/>
      <c r="AV1591" s="138"/>
      <c r="AW1591" s="138"/>
      <c r="AX1591" s="138"/>
      <c r="AY1591" s="138"/>
      <c r="AZ1591" s="138"/>
      <c r="BA1591" s="138"/>
      <c r="BB1591" s="138"/>
      <c r="BC1591" s="138"/>
      <c r="BD1591" s="138"/>
      <c r="BE1591" s="138"/>
      <c r="BF1591" s="138"/>
      <c r="BG1591" s="138"/>
      <c r="BH1591" s="138"/>
      <c r="BI1591" s="138"/>
      <c r="BJ1591" s="138"/>
      <c r="BK1591" s="138"/>
      <c r="BL1591" s="138"/>
      <c r="BM1591" s="138"/>
      <c r="BN1591" s="138"/>
      <c r="BO1591" s="138"/>
    </row>
    <row r="1592" spans="1:67" x14ac:dyDescent="0.2">
      <c r="A1592" s="177"/>
      <c r="B1592" s="178"/>
      <c r="C1592" s="179"/>
      <c r="D1592" s="180"/>
      <c r="E1592" s="180"/>
      <c r="F1592" s="180"/>
      <c r="G1592" s="180"/>
      <c r="H1592" s="248"/>
      <c r="I1592" s="188" t="s">
        <v>2076</v>
      </c>
      <c r="J1592" s="270" t="s">
        <v>1387</v>
      </c>
      <c r="K1592" s="214">
        <f>9000*10%</f>
        <v>900</v>
      </c>
      <c r="L1592" s="179"/>
      <c r="M1592" s="185"/>
      <c r="AV1592" s="138"/>
      <c r="AW1592" s="138"/>
      <c r="AX1592" s="138"/>
      <c r="AY1592" s="138"/>
      <c r="AZ1592" s="138"/>
      <c r="BA1592" s="138"/>
      <c r="BB1592" s="138"/>
      <c r="BC1592" s="138"/>
      <c r="BD1592" s="138"/>
      <c r="BE1592" s="138"/>
      <c r="BF1592" s="138"/>
      <c r="BG1592" s="138"/>
      <c r="BH1592" s="138"/>
      <c r="BI1592" s="138"/>
      <c r="BJ1592" s="138"/>
      <c r="BK1592" s="138"/>
      <c r="BL1592" s="138"/>
      <c r="BM1592" s="138"/>
      <c r="BN1592" s="138"/>
      <c r="BO1592" s="138"/>
    </row>
    <row r="1593" spans="1:67" x14ac:dyDescent="0.2">
      <c r="A1593" s="189"/>
      <c r="B1593" s="190"/>
      <c r="C1593" s="191"/>
      <c r="D1593" s="192"/>
      <c r="E1593" s="192"/>
      <c r="F1593" s="192"/>
      <c r="G1593" s="192"/>
      <c r="H1593" s="249"/>
      <c r="I1593" s="203"/>
      <c r="J1593" s="273"/>
      <c r="K1593" s="245">
        <f>SUM(K1589:K1592)</f>
        <v>9000</v>
      </c>
      <c r="L1593" s="191"/>
      <c r="M1593" s="197"/>
      <c r="AV1593" s="138"/>
      <c r="AW1593" s="138"/>
      <c r="AX1593" s="138"/>
      <c r="AY1593" s="138"/>
      <c r="AZ1593" s="138"/>
      <c r="BA1593" s="138"/>
      <c r="BB1593" s="138"/>
      <c r="BC1593" s="138"/>
      <c r="BD1593" s="138"/>
      <c r="BE1593" s="138"/>
      <c r="BF1593" s="138"/>
      <c r="BG1593" s="138"/>
      <c r="BH1593" s="138"/>
      <c r="BI1593" s="138"/>
      <c r="BJ1593" s="138"/>
      <c r="BK1593" s="138"/>
      <c r="BL1593" s="138"/>
      <c r="BM1593" s="138"/>
      <c r="BN1593" s="138"/>
      <c r="BO1593" s="138"/>
    </row>
    <row r="1594" spans="1:67" x14ac:dyDescent="0.2">
      <c r="A1594" s="167">
        <v>383</v>
      </c>
      <c r="B1594" s="168" t="s">
        <v>2077</v>
      </c>
      <c r="C1594" s="169"/>
      <c r="D1594" s="170" t="s">
        <v>107</v>
      </c>
      <c r="E1594" s="170"/>
      <c r="F1594" s="170"/>
      <c r="G1594" s="170"/>
      <c r="H1594" s="246" t="s">
        <v>108</v>
      </c>
      <c r="I1594" s="274" t="s">
        <v>2078</v>
      </c>
      <c r="J1594" s="275" t="s">
        <v>1387</v>
      </c>
      <c r="K1594" s="276">
        <f>9000*40%</f>
        <v>3600</v>
      </c>
      <c r="L1594" s="169" t="s">
        <v>111</v>
      </c>
      <c r="M1594" s="175" t="s">
        <v>2079</v>
      </c>
      <c r="AV1594" s="138"/>
      <c r="AW1594" s="138"/>
      <c r="AX1594" s="138"/>
      <c r="AY1594" s="138"/>
      <c r="AZ1594" s="138"/>
      <c r="BA1594" s="138"/>
      <c r="BB1594" s="138"/>
      <c r="BC1594" s="138"/>
      <c r="BD1594" s="138"/>
      <c r="BE1594" s="138"/>
      <c r="BF1594" s="138"/>
      <c r="BG1594" s="138"/>
      <c r="BH1594" s="138"/>
      <c r="BI1594" s="138"/>
      <c r="BJ1594" s="138"/>
      <c r="BK1594" s="138"/>
      <c r="BL1594" s="138"/>
      <c r="BM1594" s="138"/>
      <c r="BN1594" s="138"/>
      <c r="BO1594" s="138"/>
    </row>
    <row r="1595" spans="1:67" ht="48" x14ac:dyDescent="0.2">
      <c r="A1595" s="177"/>
      <c r="B1595" s="178"/>
      <c r="C1595" s="179"/>
      <c r="D1595" s="180"/>
      <c r="E1595" s="180"/>
      <c r="F1595" s="180"/>
      <c r="G1595" s="180"/>
      <c r="H1595" s="248"/>
      <c r="I1595" s="188" t="s">
        <v>2080</v>
      </c>
      <c r="J1595" s="270" t="s">
        <v>1387</v>
      </c>
      <c r="K1595" s="214">
        <f>9000*35%</f>
        <v>3150</v>
      </c>
      <c r="L1595" s="179"/>
      <c r="M1595" s="185"/>
      <c r="AV1595" s="138"/>
      <c r="AW1595" s="138"/>
      <c r="AX1595" s="138"/>
      <c r="AY1595" s="138"/>
      <c r="AZ1595" s="138"/>
      <c r="BA1595" s="138"/>
      <c r="BB1595" s="138"/>
      <c r="BC1595" s="138"/>
      <c r="BD1595" s="138"/>
      <c r="BE1595" s="138"/>
      <c r="BF1595" s="138"/>
      <c r="BG1595" s="138"/>
      <c r="BH1595" s="138"/>
      <c r="BI1595" s="138"/>
      <c r="BJ1595" s="138"/>
      <c r="BK1595" s="138"/>
      <c r="BL1595" s="138"/>
      <c r="BM1595" s="138"/>
      <c r="BN1595" s="138"/>
      <c r="BO1595" s="138"/>
    </row>
    <row r="1596" spans="1:67" ht="48" x14ac:dyDescent="0.2">
      <c r="A1596" s="177"/>
      <c r="B1596" s="178"/>
      <c r="C1596" s="179"/>
      <c r="D1596" s="180"/>
      <c r="E1596" s="180"/>
      <c r="F1596" s="180"/>
      <c r="G1596" s="180"/>
      <c r="H1596" s="248"/>
      <c r="I1596" s="188" t="s">
        <v>2081</v>
      </c>
      <c r="J1596" s="270" t="s">
        <v>1387</v>
      </c>
      <c r="K1596" s="214">
        <f>9000*15%</f>
        <v>1350</v>
      </c>
      <c r="L1596" s="179"/>
      <c r="M1596" s="185"/>
      <c r="AV1596" s="138"/>
      <c r="AW1596" s="138"/>
      <c r="AX1596" s="138"/>
      <c r="AY1596" s="138"/>
      <c r="AZ1596" s="138"/>
      <c r="BA1596" s="138"/>
      <c r="BB1596" s="138"/>
      <c r="BC1596" s="138"/>
      <c r="BD1596" s="138"/>
      <c r="BE1596" s="138"/>
      <c r="BF1596" s="138"/>
      <c r="BG1596" s="138"/>
      <c r="BH1596" s="138"/>
      <c r="BI1596" s="138"/>
      <c r="BJ1596" s="138"/>
      <c r="BK1596" s="138"/>
      <c r="BL1596" s="138"/>
      <c r="BM1596" s="138"/>
      <c r="BN1596" s="138"/>
      <c r="BO1596" s="138"/>
    </row>
    <row r="1597" spans="1:67" x14ac:dyDescent="0.2">
      <c r="A1597" s="177"/>
      <c r="B1597" s="178"/>
      <c r="C1597" s="179"/>
      <c r="D1597" s="180"/>
      <c r="E1597" s="180"/>
      <c r="F1597" s="180"/>
      <c r="G1597" s="180"/>
      <c r="H1597" s="248"/>
      <c r="I1597" s="188" t="s">
        <v>2082</v>
      </c>
      <c r="J1597" s="270" t="s">
        <v>1387</v>
      </c>
      <c r="K1597" s="214">
        <f>9000*10%</f>
        <v>900</v>
      </c>
      <c r="L1597" s="179"/>
      <c r="M1597" s="185"/>
      <c r="AV1597" s="138"/>
      <c r="AW1597" s="138"/>
      <c r="AX1597" s="138"/>
      <c r="AY1597" s="138"/>
      <c r="AZ1597" s="138"/>
      <c r="BA1597" s="138"/>
      <c r="BB1597" s="138"/>
      <c r="BC1597" s="138"/>
      <c r="BD1597" s="138"/>
      <c r="BE1597" s="138"/>
      <c r="BF1597" s="138"/>
      <c r="BG1597" s="138"/>
      <c r="BH1597" s="138"/>
      <c r="BI1597" s="138"/>
      <c r="BJ1597" s="138"/>
      <c r="BK1597" s="138"/>
      <c r="BL1597" s="138"/>
      <c r="BM1597" s="138"/>
      <c r="BN1597" s="138"/>
      <c r="BO1597" s="138"/>
    </row>
    <row r="1598" spans="1:67" x14ac:dyDescent="0.2">
      <c r="A1598" s="189"/>
      <c r="B1598" s="190"/>
      <c r="C1598" s="191"/>
      <c r="D1598" s="192"/>
      <c r="E1598" s="192"/>
      <c r="F1598" s="192"/>
      <c r="G1598" s="192"/>
      <c r="H1598" s="249"/>
      <c r="I1598" s="181"/>
      <c r="J1598" s="305"/>
      <c r="K1598" s="199"/>
      <c r="L1598" s="191"/>
      <c r="M1598" s="197"/>
      <c r="AV1598" s="138"/>
      <c r="AW1598" s="138"/>
      <c r="AX1598" s="138"/>
      <c r="AY1598" s="138"/>
      <c r="AZ1598" s="138"/>
      <c r="BA1598" s="138"/>
      <c r="BB1598" s="138"/>
      <c r="BC1598" s="138"/>
      <c r="BD1598" s="138"/>
      <c r="BE1598" s="138"/>
      <c r="BF1598" s="138"/>
      <c r="BG1598" s="138"/>
      <c r="BH1598" s="138"/>
      <c r="BI1598" s="138"/>
      <c r="BJ1598" s="138"/>
      <c r="BK1598" s="138"/>
      <c r="BL1598" s="138"/>
      <c r="BM1598" s="138"/>
      <c r="BN1598" s="138"/>
      <c r="BO1598" s="138"/>
    </row>
    <row r="1599" spans="1:67" x14ac:dyDescent="0.2">
      <c r="A1599" s="167">
        <v>384</v>
      </c>
      <c r="B1599" s="168" t="s">
        <v>2083</v>
      </c>
      <c r="C1599" s="169"/>
      <c r="D1599" s="170" t="s">
        <v>107</v>
      </c>
      <c r="E1599" s="170"/>
      <c r="F1599" s="170"/>
      <c r="G1599" s="170"/>
      <c r="H1599" s="246"/>
      <c r="I1599" s="217" t="s">
        <v>2084</v>
      </c>
      <c r="J1599" s="265" t="s">
        <v>1387</v>
      </c>
      <c r="K1599" s="266">
        <f>9000*90%</f>
        <v>8100</v>
      </c>
      <c r="L1599" s="169" t="s">
        <v>111</v>
      </c>
      <c r="M1599" s="175" t="s">
        <v>2085</v>
      </c>
      <c r="AV1599" s="138"/>
      <c r="AW1599" s="138"/>
      <c r="AX1599" s="138"/>
      <c r="AY1599" s="138"/>
      <c r="AZ1599" s="138"/>
      <c r="BA1599" s="138"/>
      <c r="BB1599" s="138"/>
      <c r="BC1599" s="138"/>
      <c r="BD1599" s="138"/>
      <c r="BE1599" s="138"/>
      <c r="BF1599" s="138"/>
      <c r="BG1599" s="138"/>
      <c r="BH1599" s="138"/>
      <c r="BI1599" s="138"/>
      <c r="BJ1599" s="138"/>
      <c r="BK1599" s="138"/>
      <c r="BL1599" s="138"/>
      <c r="BM1599" s="138"/>
      <c r="BN1599" s="138"/>
      <c r="BO1599" s="138"/>
    </row>
    <row r="1600" spans="1:67" x14ac:dyDescent="0.2">
      <c r="A1600" s="177"/>
      <c r="B1600" s="178"/>
      <c r="C1600" s="179"/>
      <c r="D1600" s="180"/>
      <c r="E1600" s="180"/>
      <c r="F1600" s="180"/>
      <c r="G1600" s="180"/>
      <c r="H1600" s="248"/>
      <c r="I1600" s="188" t="s">
        <v>2086</v>
      </c>
      <c r="J1600" s="270" t="s">
        <v>1387</v>
      </c>
      <c r="K1600" s="214">
        <f>9000*10%</f>
        <v>900</v>
      </c>
      <c r="L1600" s="179"/>
      <c r="M1600" s="185"/>
      <c r="AV1600" s="138"/>
      <c r="AW1600" s="138"/>
      <c r="AX1600" s="138"/>
      <c r="AY1600" s="138"/>
      <c r="AZ1600" s="138"/>
      <c r="BA1600" s="138"/>
      <c r="BB1600" s="138"/>
      <c r="BC1600" s="138"/>
      <c r="BD1600" s="138"/>
      <c r="BE1600" s="138"/>
      <c r="BF1600" s="138"/>
      <c r="BG1600" s="138"/>
      <c r="BH1600" s="138"/>
      <c r="BI1600" s="138"/>
      <c r="BJ1600" s="138"/>
      <c r="BK1600" s="138"/>
      <c r="BL1600" s="138"/>
      <c r="BM1600" s="138"/>
      <c r="BN1600" s="138"/>
      <c r="BO1600" s="138"/>
    </row>
    <row r="1601" spans="1:67" x14ac:dyDescent="0.2">
      <c r="A1601" s="189"/>
      <c r="B1601" s="190"/>
      <c r="C1601" s="191"/>
      <c r="D1601" s="192"/>
      <c r="E1601" s="192"/>
      <c r="F1601" s="192"/>
      <c r="G1601" s="192"/>
      <c r="H1601" s="249"/>
      <c r="I1601" s="203"/>
      <c r="J1601" s="273"/>
      <c r="K1601" s="245">
        <f>SUM(K1599:K1600)</f>
        <v>9000</v>
      </c>
      <c r="L1601" s="191"/>
      <c r="M1601" s="197"/>
      <c r="AV1601" s="138"/>
      <c r="AW1601" s="138"/>
      <c r="AX1601" s="138"/>
      <c r="AY1601" s="138"/>
      <c r="AZ1601" s="138"/>
      <c r="BA1601" s="138"/>
      <c r="BB1601" s="138"/>
      <c r="BC1601" s="138"/>
      <c r="BD1601" s="138"/>
      <c r="BE1601" s="138"/>
      <c r="BF1601" s="138"/>
      <c r="BG1601" s="138"/>
      <c r="BH1601" s="138"/>
      <c r="BI1601" s="138"/>
      <c r="BJ1601" s="138"/>
      <c r="BK1601" s="138"/>
      <c r="BL1601" s="138"/>
      <c r="BM1601" s="138"/>
      <c r="BN1601" s="138"/>
      <c r="BO1601" s="138"/>
    </row>
    <row r="1602" spans="1:67" x14ac:dyDescent="0.2">
      <c r="A1602" s="167">
        <v>385</v>
      </c>
      <c r="B1602" s="168" t="s">
        <v>2087</v>
      </c>
      <c r="C1602" s="169"/>
      <c r="D1602" s="170" t="s">
        <v>107</v>
      </c>
      <c r="E1602" s="170"/>
      <c r="F1602" s="170"/>
      <c r="G1602" s="170"/>
      <c r="H1602" s="246"/>
      <c r="I1602" s="274" t="s">
        <v>2088</v>
      </c>
      <c r="J1602" s="275" t="s">
        <v>1387</v>
      </c>
      <c r="K1602" s="276">
        <f>9000*50%</f>
        <v>4500</v>
      </c>
      <c r="L1602" s="169" t="s">
        <v>111</v>
      </c>
      <c r="M1602" s="175" t="s">
        <v>2089</v>
      </c>
      <c r="AV1602" s="138"/>
      <c r="AW1602" s="138"/>
      <c r="AX1602" s="138"/>
      <c r="AY1602" s="138"/>
      <c r="AZ1602" s="138"/>
      <c r="BA1602" s="138"/>
      <c r="BB1602" s="138"/>
      <c r="BC1602" s="138"/>
      <c r="BD1602" s="138"/>
      <c r="BE1602" s="138"/>
      <c r="BF1602" s="138"/>
      <c r="BG1602" s="138"/>
      <c r="BH1602" s="138"/>
      <c r="BI1602" s="138"/>
      <c r="BJ1602" s="138"/>
      <c r="BK1602" s="138"/>
      <c r="BL1602" s="138"/>
      <c r="BM1602" s="138"/>
      <c r="BN1602" s="138"/>
      <c r="BO1602" s="138"/>
    </row>
    <row r="1603" spans="1:67" ht="48" x14ac:dyDescent="0.2">
      <c r="A1603" s="177"/>
      <c r="B1603" s="178"/>
      <c r="C1603" s="179"/>
      <c r="D1603" s="180"/>
      <c r="E1603" s="180"/>
      <c r="F1603" s="180"/>
      <c r="G1603" s="180"/>
      <c r="H1603" s="248"/>
      <c r="I1603" s="188" t="s">
        <v>1603</v>
      </c>
      <c r="J1603" s="270" t="s">
        <v>1387</v>
      </c>
      <c r="K1603" s="214">
        <f>9000*20%</f>
        <v>1800</v>
      </c>
      <c r="L1603" s="179"/>
      <c r="M1603" s="185"/>
      <c r="AV1603" s="138"/>
      <c r="AW1603" s="138"/>
      <c r="AX1603" s="138"/>
      <c r="AY1603" s="138"/>
      <c r="AZ1603" s="138"/>
      <c r="BA1603" s="138"/>
      <c r="BB1603" s="138"/>
      <c r="BC1603" s="138"/>
      <c r="BD1603" s="138"/>
      <c r="BE1603" s="138"/>
      <c r="BF1603" s="138"/>
      <c r="BG1603" s="138"/>
      <c r="BH1603" s="138"/>
      <c r="BI1603" s="138"/>
      <c r="BJ1603" s="138"/>
      <c r="BK1603" s="138"/>
      <c r="BL1603" s="138"/>
      <c r="BM1603" s="138"/>
      <c r="BN1603" s="138"/>
      <c r="BO1603" s="138"/>
    </row>
    <row r="1604" spans="1:67" x14ac:dyDescent="0.2">
      <c r="A1604" s="177"/>
      <c r="B1604" s="178"/>
      <c r="C1604" s="179"/>
      <c r="D1604" s="180"/>
      <c r="E1604" s="180"/>
      <c r="F1604" s="180"/>
      <c r="G1604" s="180"/>
      <c r="H1604" s="248"/>
      <c r="I1604" s="188" t="s">
        <v>2090</v>
      </c>
      <c r="J1604" s="270" t="s">
        <v>1387</v>
      </c>
      <c r="K1604" s="214">
        <f>9000*20%</f>
        <v>1800</v>
      </c>
      <c r="L1604" s="179"/>
      <c r="M1604" s="185"/>
      <c r="AV1604" s="138"/>
      <c r="AW1604" s="138"/>
      <c r="AX1604" s="138"/>
      <c r="AY1604" s="138"/>
      <c r="AZ1604" s="138"/>
      <c r="BA1604" s="138"/>
      <c r="BB1604" s="138"/>
      <c r="BC1604" s="138"/>
      <c r="BD1604" s="138"/>
      <c r="BE1604" s="138"/>
      <c r="BF1604" s="138"/>
      <c r="BG1604" s="138"/>
      <c r="BH1604" s="138"/>
      <c r="BI1604" s="138"/>
      <c r="BJ1604" s="138"/>
      <c r="BK1604" s="138"/>
      <c r="BL1604" s="138"/>
      <c r="BM1604" s="138"/>
      <c r="BN1604" s="138"/>
      <c r="BO1604" s="138"/>
    </row>
    <row r="1605" spans="1:67" ht="48" x14ac:dyDescent="0.2">
      <c r="A1605" s="177"/>
      <c r="B1605" s="178"/>
      <c r="C1605" s="179"/>
      <c r="D1605" s="180"/>
      <c r="E1605" s="180"/>
      <c r="F1605" s="180"/>
      <c r="G1605" s="180"/>
      <c r="H1605" s="248"/>
      <c r="I1605" s="188" t="s">
        <v>2091</v>
      </c>
      <c r="J1605" s="270" t="s">
        <v>190</v>
      </c>
      <c r="K1605" s="214">
        <f>9000*10%</f>
        <v>900</v>
      </c>
      <c r="L1605" s="179"/>
      <c r="M1605" s="185"/>
      <c r="AV1605" s="138"/>
      <c r="AW1605" s="138"/>
      <c r="AX1605" s="138"/>
      <c r="AY1605" s="138"/>
      <c r="AZ1605" s="138"/>
      <c r="BA1605" s="138"/>
      <c r="BB1605" s="138"/>
      <c r="BC1605" s="138"/>
      <c r="BD1605" s="138"/>
      <c r="BE1605" s="138"/>
      <c r="BF1605" s="138"/>
      <c r="BG1605" s="138"/>
      <c r="BH1605" s="138"/>
      <c r="BI1605" s="138"/>
      <c r="BJ1605" s="138"/>
      <c r="BK1605" s="138"/>
      <c r="BL1605" s="138"/>
      <c r="BM1605" s="138"/>
      <c r="BN1605" s="138"/>
      <c r="BO1605" s="138"/>
    </row>
    <row r="1606" spans="1:67" x14ac:dyDescent="0.2">
      <c r="A1606" s="189"/>
      <c r="B1606" s="190"/>
      <c r="C1606" s="191"/>
      <c r="D1606" s="192"/>
      <c r="E1606" s="192"/>
      <c r="F1606" s="192"/>
      <c r="G1606" s="192"/>
      <c r="H1606" s="249"/>
      <c r="I1606" s="181"/>
      <c r="J1606" s="305"/>
      <c r="K1606" s="199">
        <f>SUM(K1602:K1605)</f>
        <v>9000</v>
      </c>
      <c r="L1606" s="191"/>
      <c r="M1606" s="197"/>
      <c r="AV1606" s="138"/>
      <c r="AW1606" s="138"/>
      <c r="AX1606" s="138"/>
      <c r="AY1606" s="138"/>
      <c r="AZ1606" s="138"/>
      <c r="BA1606" s="138"/>
      <c r="BB1606" s="138"/>
      <c r="BC1606" s="138"/>
      <c r="BD1606" s="138"/>
      <c r="BE1606" s="138"/>
      <c r="BF1606" s="138"/>
      <c r="BG1606" s="138"/>
      <c r="BH1606" s="138"/>
      <c r="BI1606" s="138"/>
      <c r="BJ1606" s="138"/>
      <c r="BK1606" s="138"/>
      <c r="BL1606" s="138"/>
      <c r="BM1606" s="138"/>
      <c r="BN1606" s="138"/>
      <c r="BO1606" s="138"/>
    </row>
    <row r="1607" spans="1:67" x14ac:dyDescent="0.2">
      <c r="A1607" s="167">
        <v>386</v>
      </c>
      <c r="B1607" s="168" t="s">
        <v>2092</v>
      </c>
      <c r="C1607" s="169"/>
      <c r="D1607" s="170" t="s">
        <v>107</v>
      </c>
      <c r="E1607" s="170"/>
      <c r="F1607" s="170"/>
      <c r="G1607" s="170"/>
      <c r="H1607" s="246" t="s">
        <v>137</v>
      </c>
      <c r="I1607" s="217" t="s">
        <v>2093</v>
      </c>
      <c r="J1607" s="265" t="s">
        <v>1387</v>
      </c>
      <c r="K1607" s="266">
        <f>12000*60%</f>
        <v>7200</v>
      </c>
      <c r="L1607" s="169" t="s">
        <v>111</v>
      </c>
      <c r="M1607" s="175" t="s">
        <v>2094</v>
      </c>
      <c r="AV1607" s="138"/>
      <c r="AW1607" s="138"/>
      <c r="AX1607" s="138"/>
      <c r="AY1607" s="138"/>
      <c r="AZ1607" s="138"/>
      <c r="BA1607" s="138"/>
      <c r="BB1607" s="138"/>
      <c r="BC1607" s="138"/>
      <c r="BD1607" s="138"/>
      <c r="BE1607" s="138"/>
      <c r="BF1607" s="138"/>
      <c r="BG1607" s="138"/>
      <c r="BH1607" s="138"/>
      <c r="BI1607" s="138"/>
      <c r="BJ1607" s="138"/>
      <c r="BK1607" s="138"/>
      <c r="BL1607" s="138"/>
      <c r="BM1607" s="138"/>
      <c r="BN1607" s="138"/>
      <c r="BO1607" s="138"/>
    </row>
    <row r="1608" spans="1:67" x14ac:dyDescent="0.2">
      <c r="A1608" s="177"/>
      <c r="B1608" s="178"/>
      <c r="C1608" s="179"/>
      <c r="D1608" s="180"/>
      <c r="E1608" s="180"/>
      <c r="F1608" s="180"/>
      <c r="G1608" s="180"/>
      <c r="H1608" s="248"/>
      <c r="I1608" s="188" t="s">
        <v>2090</v>
      </c>
      <c r="J1608" s="270" t="s">
        <v>1387</v>
      </c>
      <c r="K1608" s="214">
        <f>12000*20%</f>
        <v>2400</v>
      </c>
      <c r="L1608" s="179"/>
      <c r="M1608" s="185"/>
      <c r="AV1608" s="138"/>
      <c r="AW1608" s="138"/>
      <c r="AX1608" s="138"/>
      <c r="AY1608" s="138"/>
      <c r="AZ1608" s="138"/>
      <c r="BA1608" s="138"/>
      <c r="BB1608" s="138"/>
      <c r="BC1608" s="138"/>
      <c r="BD1608" s="138"/>
      <c r="BE1608" s="138"/>
      <c r="BF1608" s="138"/>
      <c r="BG1608" s="138"/>
      <c r="BH1608" s="138"/>
      <c r="BI1608" s="138"/>
      <c r="BJ1608" s="138"/>
      <c r="BK1608" s="138"/>
      <c r="BL1608" s="138"/>
      <c r="BM1608" s="138"/>
      <c r="BN1608" s="138"/>
      <c r="BO1608" s="138"/>
    </row>
    <row r="1609" spans="1:67" ht="48" x14ac:dyDescent="0.2">
      <c r="A1609" s="177"/>
      <c r="B1609" s="178"/>
      <c r="C1609" s="179"/>
      <c r="D1609" s="180"/>
      <c r="E1609" s="180"/>
      <c r="F1609" s="180"/>
      <c r="G1609" s="180"/>
      <c r="H1609" s="248"/>
      <c r="I1609" s="188" t="s">
        <v>1603</v>
      </c>
      <c r="J1609" s="270" t="s">
        <v>1387</v>
      </c>
      <c r="K1609" s="214">
        <f>12000*20%</f>
        <v>2400</v>
      </c>
      <c r="L1609" s="179"/>
      <c r="M1609" s="185"/>
      <c r="AV1609" s="138"/>
      <c r="AW1609" s="138"/>
      <c r="AX1609" s="138"/>
      <c r="AY1609" s="138"/>
      <c r="AZ1609" s="138"/>
      <c r="BA1609" s="138"/>
      <c r="BB1609" s="138"/>
      <c r="BC1609" s="138"/>
      <c r="BD1609" s="138"/>
      <c r="BE1609" s="138"/>
      <c r="BF1609" s="138"/>
      <c r="BG1609" s="138"/>
      <c r="BH1609" s="138"/>
      <c r="BI1609" s="138"/>
      <c r="BJ1609" s="138"/>
      <c r="BK1609" s="138"/>
      <c r="BL1609" s="138"/>
      <c r="BM1609" s="138"/>
      <c r="BN1609" s="138"/>
      <c r="BO1609" s="138"/>
    </row>
    <row r="1610" spans="1:67" x14ac:dyDescent="0.2">
      <c r="A1610" s="189"/>
      <c r="B1610" s="190"/>
      <c r="C1610" s="191"/>
      <c r="D1610" s="192"/>
      <c r="E1610" s="192"/>
      <c r="F1610" s="192"/>
      <c r="G1610" s="192"/>
      <c r="H1610" s="249"/>
      <c r="I1610" s="203"/>
      <c r="J1610" s="273"/>
      <c r="K1610" s="245">
        <f>SUM(K1607:K1609)</f>
        <v>12000</v>
      </c>
      <c r="L1610" s="191"/>
      <c r="M1610" s="197"/>
      <c r="AV1610" s="138"/>
      <c r="AW1610" s="138"/>
      <c r="AX1610" s="138"/>
      <c r="AY1610" s="138"/>
      <c r="AZ1610" s="138"/>
      <c r="BA1610" s="138"/>
      <c r="BB1610" s="138"/>
      <c r="BC1610" s="138"/>
      <c r="BD1610" s="138"/>
      <c r="BE1610" s="138"/>
      <c r="BF1610" s="138"/>
      <c r="BG1610" s="138"/>
      <c r="BH1610" s="138"/>
      <c r="BI1610" s="138"/>
      <c r="BJ1610" s="138"/>
      <c r="BK1610" s="138"/>
      <c r="BL1610" s="138"/>
      <c r="BM1610" s="138"/>
      <c r="BN1610" s="138"/>
      <c r="BO1610" s="138"/>
    </row>
    <row r="1611" spans="1:67" x14ac:dyDescent="0.2">
      <c r="A1611" s="167">
        <v>387</v>
      </c>
      <c r="B1611" s="168" t="s">
        <v>2095</v>
      </c>
      <c r="C1611" s="169"/>
      <c r="D1611" s="170" t="s">
        <v>107</v>
      </c>
      <c r="E1611" s="170"/>
      <c r="F1611" s="170"/>
      <c r="G1611" s="170"/>
      <c r="H1611" s="246"/>
      <c r="I1611" s="274" t="s">
        <v>2096</v>
      </c>
      <c r="J1611" s="275" t="s">
        <v>1387</v>
      </c>
      <c r="K1611" s="276">
        <f>9000*50%</f>
        <v>4500</v>
      </c>
      <c r="L1611" s="169" t="s">
        <v>111</v>
      </c>
      <c r="M1611" s="175" t="s">
        <v>2097</v>
      </c>
      <c r="AV1611" s="138"/>
      <c r="AW1611" s="138"/>
      <c r="AX1611" s="138"/>
      <c r="AY1611" s="138"/>
      <c r="AZ1611" s="138"/>
      <c r="BA1611" s="138"/>
      <c r="BB1611" s="138"/>
      <c r="BC1611" s="138"/>
      <c r="BD1611" s="138"/>
      <c r="BE1611" s="138"/>
      <c r="BF1611" s="138"/>
      <c r="BG1611" s="138"/>
      <c r="BH1611" s="138"/>
      <c r="BI1611" s="138"/>
      <c r="BJ1611" s="138"/>
      <c r="BK1611" s="138"/>
      <c r="BL1611" s="138"/>
      <c r="BM1611" s="138"/>
      <c r="BN1611" s="138"/>
      <c r="BO1611" s="138"/>
    </row>
    <row r="1612" spans="1:67" x14ac:dyDescent="0.2">
      <c r="A1612" s="177"/>
      <c r="B1612" s="178"/>
      <c r="C1612" s="179"/>
      <c r="D1612" s="180"/>
      <c r="E1612" s="180"/>
      <c r="F1612" s="180"/>
      <c r="G1612" s="180"/>
      <c r="H1612" s="248"/>
      <c r="I1612" s="188" t="s">
        <v>2098</v>
      </c>
      <c r="J1612" s="270" t="s">
        <v>1387</v>
      </c>
      <c r="K1612" s="214">
        <f>9000*20%</f>
        <v>1800</v>
      </c>
      <c r="L1612" s="179"/>
      <c r="M1612" s="185"/>
      <c r="AV1612" s="138"/>
      <c r="AW1612" s="138"/>
      <c r="AX1612" s="138"/>
      <c r="AY1612" s="138"/>
      <c r="AZ1612" s="138"/>
      <c r="BA1612" s="138"/>
      <c r="BB1612" s="138"/>
      <c r="BC1612" s="138"/>
      <c r="BD1612" s="138"/>
      <c r="BE1612" s="138"/>
      <c r="BF1612" s="138"/>
      <c r="BG1612" s="138"/>
      <c r="BH1612" s="138"/>
      <c r="BI1612" s="138"/>
      <c r="BJ1612" s="138"/>
      <c r="BK1612" s="138"/>
      <c r="BL1612" s="138"/>
      <c r="BM1612" s="138"/>
      <c r="BN1612" s="138"/>
      <c r="BO1612" s="138"/>
    </row>
    <row r="1613" spans="1:67" x14ac:dyDescent="0.2">
      <c r="A1613" s="177"/>
      <c r="B1613" s="178"/>
      <c r="C1613" s="179"/>
      <c r="D1613" s="180"/>
      <c r="E1613" s="180"/>
      <c r="F1613" s="180"/>
      <c r="G1613" s="180"/>
      <c r="H1613" s="248"/>
      <c r="I1613" s="188" t="s">
        <v>2099</v>
      </c>
      <c r="J1613" s="270" t="s">
        <v>1387</v>
      </c>
      <c r="K1613" s="214">
        <f>9000*20%</f>
        <v>1800</v>
      </c>
      <c r="L1613" s="179"/>
      <c r="M1613" s="185"/>
      <c r="AV1613" s="138"/>
      <c r="AW1613" s="138"/>
      <c r="AX1613" s="138"/>
      <c r="AY1613" s="138"/>
      <c r="AZ1613" s="138"/>
      <c r="BA1613" s="138"/>
      <c r="BB1613" s="138"/>
      <c r="BC1613" s="138"/>
      <c r="BD1613" s="138"/>
      <c r="BE1613" s="138"/>
      <c r="BF1613" s="138"/>
      <c r="BG1613" s="138"/>
      <c r="BH1613" s="138"/>
      <c r="BI1613" s="138"/>
      <c r="BJ1613" s="138"/>
      <c r="BK1613" s="138"/>
      <c r="BL1613" s="138"/>
      <c r="BM1613" s="138"/>
      <c r="BN1613" s="138"/>
      <c r="BO1613" s="138"/>
    </row>
    <row r="1614" spans="1:67" x14ac:dyDescent="0.2">
      <c r="A1614" s="177"/>
      <c r="B1614" s="178"/>
      <c r="C1614" s="179"/>
      <c r="D1614" s="180"/>
      <c r="E1614" s="180"/>
      <c r="F1614" s="180"/>
      <c r="G1614" s="180"/>
      <c r="H1614" s="248"/>
      <c r="I1614" s="188" t="s">
        <v>2100</v>
      </c>
      <c r="J1614" s="270" t="s">
        <v>1387</v>
      </c>
      <c r="K1614" s="214">
        <f>9000*10%</f>
        <v>900</v>
      </c>
      <c r="L1614" s="179"/>
      <c r="M1614" s="185"/>
      <c r="AV1614" s="138"/>
      <c r="AW1614" s="138"/>
      <c r="AX1614" s="138"/>
      <c r="AY1614" s="138"/>
      <c r="AZ1614" s="138"/>
      <c r="BA1614" s="138"/>
      <c r="BB1614" s="138"/>
      <c r="BC1614" s="138"/>
      <c r="BD1614" s="138"/>
      <c r="BE1614" s="138"/>
      <c r="BF1614" s="138"/>
      <c r="BG1614" s="138"/>
      <c r="BH1614" s="138"/>
      <c r="BI1614" s="138"/>
      <c r="BJ1614" s="138"/>
      <c r="BK1614" s="138"/>
      <c r="BL1614" s="138"/>
      <c r="BM1614" s="138"/>
      <c r="BN1614" s="138"/>
      <c r="BO1614" s="138"/>
    </row>
    <row r="1615" spans="1:67" x14ac:dyDescent="0.2">
      <c r="A1615" s="189"/>
      <c r="B1615" s="190"/>
      <c r="C1615" s="191"/>
      <c r="D1615" s="192"/>
      <c r="E1615" s="192"/>
      <c r="F1615" s="192"/>
      <c r="G1615" s="192"/>
      <c r="H1615" s="249"/>
      <c r="I1615" s="181"/>
      <c r="J1615" s="305"/>
      <c r="K1615" s="199">
        <f>SUM(K1611:K1614)</f>
        <v>9000</v>
      </c>
      <c r="L1615" s="191"/>
      <c r="M1615" s="197"/>
      <c r="AV1615" s="138"/>
      <c r="AW1615" s="138"/>
      <c r="AX1615" s="138"/>
      <c r="AY1615" s="138"/>
      <c r="AZ1615" s="138"/>
      <c r="BA1615" s="138"/>
      <c r="BB1615" s="138"/>
      <c r="BC1615" s="138"/>
      <c r="BD1615" s="138"/>
      <c r="BE1615" s="138"/>
      <c r="BF1615" s="138"/>
      <c r="BG1615" s="138"/>
      <c r="BH1615" s="138"/>
      <c r="BI1615" s="138"/>
      <c r="BJ1615" s="138"/>
      <c r="BK1615" s="138"/>
      <c r="BL1615" s="138"/>
      <c r="BM1615" s="138"/>
      <c r="BN1615" s="138"/>
      <c r="BO1615" s="138"/>
    </row>
    <row r="1616" spans="1:67" x14ac:dyDescent="0.2">
      <c r="A1616" s="167">
        <v>388</v>
      </c>
      <c r="B1616" s="168" t="s">
        <v>2101</v>
      </c>
      <c r="C1616" s="169"/>
      <c r="D1616" s="170" t="s">
        <v>107</v>
      </c>
      <c r="E1616" s="170"/>
      <c r="F1616" s="170"/>
      <c r="G1616" s="170"/>
      <c r="H1616" s="246"/>
      <c r="I1616" s="217" t="s">
        <v>2102</v>
      </c>
      <c r="J1616" s="265" t="s">
        <v>1387</v>
      </c>
      <c r="K1616" s="266">
        <f>6000*60%</f>
        <v>3600</v>
      </c>
      <c r="L1616" s="169" t="s">
        <v>111</v>
      </c>
      <c r="M1616" s="175" t="s">
        <v>2103</v>
      </c>
      <c r="AV1616" s="138"/>
      <c r="AW1616" s="138"/>
      <c r="AX1616" s="138"/>
      <c r="AY1616" s="138"/>
      <c r="AZ1616" s="138"/>
      <c r="BA1616" s="138"/>
      <c r="BB1616" s="138"/>
      <c r="BC1616" s="138"/>
      <c r="BD1616" s="138"/>
      <c r="BE1616" s="138"/>
      <c r="BF1616" s="138"/>
      <c r="BG1616" s="138"/>
      <c r="BH1616" s="138"/>
      <c r="BI1616" s="138"/>
      <c r="BJ1616" s="138"/>
      <c r="BK1616" s="138"/>
      <c r="BL1616" s="138"/>
      <c r="BM1616" s="138"/>
      <c r="BN1616" s="138"/>
      <c r="BO1616" s="138"/>
    </row>
    <row r="1617" spans="1:67" x14ac:dyDescent="0.2">
      <c r="A1617" s="177"/>
      <c r="B1617" s="178"/>
      <c r="C1617" s="179"/>
      <c r="D1617" s="180"/>
      <c r="E1617" s="180"/>
      <c r="F1617" s="180"/>
      <c r="G1617" s="180"/>
      <c r="H1617" s="248"/>
      <c r="I1617" s="188" t="s">
        <v>2104</v>
      </c>
      <c r="J1617" s="270" t="s">
        <v>1387</v>
      </c>
      <c r="K1617" s="214">
        <f>6000*20%</f>
        <v>1200</v>
      </c>
      <c r="L1617" s="179"/>
      <c r="M1617" s="185"/>
      <c r="AV1617" s="138"/>
      <c r="AW1617" s="138"/>
      <c r="AX1617" s="138"/>
      <c r="AY1617" s="138"/>
      <c r="AZ1617" s="138"/>
      <c r="BA1617" s="138"/>
      <c r="BB1617" s="138"/>
      <c r="BC1617" s="138"/>
      <c r="BD1617" s="138"/>
      <c r="BE1617" s="138"/>
      <c r="BF1617" s="138"/>
      <c r="BG1617" s="138"/>
      <c r="BH1617" s="138"/>
      <c r="BI1617" s="138"/>
      <c r="BJ1617" s="138"/>
      <c r="BK1617" s="138"/>
      <c r="BL1617" s="138"/>
      <c r="BM1617" s="138"/>
      <c r="BN1617" s="138"/>
      <c r="BO1617" s="138"/>
    </row>
    <row r="1618" spans="1:67" x14ac:dyDescent="0.2">
      <c r="A1618" s="177"/>
      <c r="B1618" s="178"/>
      <c r="C1618" s="179"/>
      <c r="D1618" s="180"/>
      <c r="E1618" s="180"/>
      <c r="F1618" s="180"/>
      <c r="G1618" s="180"/>
      <c r="H1618" s="248"/>
      <c r="I1618" s="188" t="s">
        <v>2105</v>
      </c>
      <c r="J1618" s="270" t="s">
        <v>1387</v>
      </c>
      <c r="K1618" s="214">
        <f>6000*20%</f>
        <v>1200</v>
      </c>
      <c r="L1618" s="179"/>
      <c r="M1618" s="185"/>
      <c r="AV1618" s="138"/>
      <c r="AW1618" s="138"/>
      <c r="AX1618" s="138"/>
      <c r="AY1618" s="138"/>
      <c r="AZ1618" s="138"/>
      <c r="BA1618" s="138"/>
      <c r="BB1618" s="138"/>
      <c r="BC1618" s="138"/>
      <c r="BD1618" s="138"/>
      <c r="BE1618" s="138"/>
      <c r="BF1618" s="138"/>
      <c r="BG1618" s="138"/>
      <c r="BH1618" s="138"/>
      <c r="BI1618" s="138"/>
      <c r="BJ1618" s="138"/>
      <c r="BK1618" s="138"/>
      <c r="BL1618" s="138"/>
      <c r="BM1618" s="138"/>
      <c r="BN1618" s="138"/>
      <c r="BO1618" s="138"/>
    </row>
    <row r="1619" spans="1:67" x14ac:dyDescent="0.2">
      <c r="A1619" s="189"/>
      <c r="B1619" s="190"/>
      <c r="C1619" s="191"/>
      <c r="D1619" s="192"/>
      <c r="E1619" s="192"/>
      <c r="F1619" s="192"/>
      <c r="G1619" s="192"/>
      <c r="H1619" s="249"/>
      <c r="I1619" s="203"/>
      <c r="J1619" s="273"/>
      <c r="K1619" s="245">
        <f>SUM(K1616:K1618)</f>
        <v>6000</v>
      </c>
      <c r="L1619" s="191"/>
      <c r="M1619" s="197"/>
      <c r="AV1619" s="138"/>
      <c r="AW1619" s="138"/>
      <c r="AX1619" s="138"/>
      <c r="AY1619" s="138"/>
      <c r="AZ1619" s="138"/>
      <c r="BA1619" s="138"/>
      <c r="BB1619" s="138"/>
      <c r="BC1619" s="138"/>
      <c r="BD1619" s="138"/>
      <c r="BE1619" s="138"/>
      <c r="BF1619" s="138"/>
      <c r="BG1619" s="138"/>
      <c r="BH1619" s="138"/>
      <c r="BI1619" s="138"/>
      <c r="BJ1619" s="138"/>
      <c r="BK1619" s="138"/>
      <c r="BL1619" s="138"/>
      <c r="BM1619" s="138"/>
      <c r="BN1619" s="138"/>
      <c r="BO1619" s="138"/>
    </row>
    <row r="1620" spans="1:67" x14ac:dyDescent="0.2">
      <c r="A1620" s="167">
        <v>389</v>
      </c>
      <c r="B1620" s="168" t="s">
        <v>2106</v>
      </c>
      <c r="C1620" s="169"/>
      <c r="D1620" s="170" t="s">
        <v>107</v>
      </c>
      <c r="E1620" s="170"/>
      <c r="F1620" s="170"/>
      <c r="G1620" s="170"/>
      <c r="H1620" s="246"/>
      <c r="I1620" s="274" t="s">
        <v>2107</v>
      </c>
      <c r="J1620" s="275" t="s">
        <v>1387</v>
      </c>
      <c r="K1620" s="276">
        <f>9000*50%</f>
        <v>4500</v>
      </c>
      <c r="L1620" s="169" t="s">
        <v>111</v>
      </c>
      <c r="M1620" s="175" t="s">
        <v>2108</v>
      </c>
      <c r="AV1620" s="138"/>
      <c r="AW1620" s="138"/>
      <c r="AX1620" s="138"/>
      <c r="AY1620" s="138"/>
      <c r="AZ1620" s="138"/>
      <c r="BA1620" s="138"/>
      <c r="BB1620" s="138"/>
      <c r="BC1620" s="138"/>
      <c r="BD1620" s="138"/>
      <c r="BE1620" s="138"/>
      <c r="BF1620" s="138"/>
      <c r="BG1620" s="138"/>
      <c r="BH1620" s="138"/>
      <c r="BI1620" s="138"/>
      <c r="BJ1620" s="138"/>
      <c r="BK1620" s="138"/>
      <c r="BL1620" s="138"/>
      <c r="BM1620" s="138"/>
      <c r="BN1620" s="138"/>
      <c r="BO1620" s="138"/>
    </row>
    <row r="1621" spans="1:67" ht="22.5" customHeight="1" x14ac:dyDescent="0.2">
      <c r="A1621" s="177"/>
      <c r="B1621" s="178"/>
      <c r="C1621" s="179"/>
      <c r="D1621" s="180"/>
      <c r="E1621" s="180"/>
      <c r="F1621" s="180"/>
      <c r="G1621" s="180"/>
      <c r="H1621" s="248"/>
      <c r="I1621" s="188" t="s">
        <v>1411</v>
      </c>
      <c r="J1621" s="270" t="s">
        <v>1387</v>
      </c>
      <c r="K1621" s="214">
        <f>9000*20%</f>
        <v>1800</v>
      </c>
      <c r="L1621" s="179"/>
      <c r="M1621" s="185"/>
      <c r="AV1621" s="138"/>
      <c r="AW1621" s="138"/>
      <c r="AX1621" s="138"/>
      <c r="AY1621" s="138"/>
      <c r="AZ1621" s="138"/>
      <c r="BA1621" s="138"/>
      <c r="BB1621" s="138"/>
      <c r="BC1621" s="138"/>
      <c r="BD1621" s="138"/>
      <c r="BE1621" s="138"/>
      <c r="BF1621" s="138"/>
      <c r="BG1621" s="138"/>
      <c r="BH1621" s="138"/>
      <c r="BI1621" s="138"/>
      <c r="BJ1621" s="138"/>
      <c r="BK1621" s="138"/>
      <c r="BL1621" s="138"/>
      <c r="BM1621" s="138"/>
      <c r="BN1621" s="138"/>
      <c r="BO1621" s="138"/>
    </row>
    <row r="1622" spans="1:67" x14ac:dyDescent="0.2">
      <c r="A1622" s="177"/>
      <c r="B1622" s="178"/>
      <c r="C1622" s="179"/>
      <c r="D1622" s="180"/>
      <c r="E1622" s="180"/>
      <c r="F1622" s="180"/>
      <c r="G1622" s="180"/>
      <c r="H1622" s="248"/>
      <c r="I1622" s="188" t="s">
        <v>2105</v>
      </c>
      <c r="J1622" s="270" t="s">
        <v>1387</v>
      </c>
      <c r="K1622" s="214">
        <f>9000*20%</f>
        <v>1800</v>
      </c>
      <c r="L1622" s="179"/>
      <c r="M1622" s="185"/>
      <c r="AV1622" s="138"/>
      <c r="AW1622" s="138"/>
      <c r="AX1622" s="138"/>
      <c r="AY1622" s="138"/>
      <c r="AZ1622" s="138"/>
      <c r="BA1622" s="138"/>
      <c r="BB1622" s="138"/>
      <c r="BC1622" s="138"/>
      <c r="BD1622" s="138"/>
      <c r="BE1622" s="138"/>
      <c r="BF1622" s="138"/>
      <c r="BG1622" s="138"/>
      <c r="BH1622" s="138"/>
      <c r="BI1622" s="138"/>
      <c r="BJ1622" s="138"/>
      <c r="BK1622" s="138"/>
      <c r="BL1622" s="138"/>
      <c r="BM1622" s="138"/>
      <c r="BN1622" s="138"/>
      <c r="BO1622" s="138"/>
    </row>
    <row r="1623" spans="1:67" x14ac:dyDescent="0.2">
      <c r="A1623" s="177"/>
      <c r="B1623" s="178"/>
      <c r="C1623" s="179"/>
      <c r="D1623" s="180"/>
      <c r="E1623" s="180"/>
      <c r="F1623" s="180"/>
      <c r="G1623" s="180"/>
      <c r="H1623" s="248"/>
      <c r="I1623" s="188" t="s">
        <v>2109</v>
      </c>
      <c r="J1623" s="270" t="s">
        <v>1387</v>
      </c>
      <c r="K1623" s="214">
        <f>9000*10%</f>
        <v>900</v>
      </c>
      <c r="L1623" s="179"/>
      <c r="M1623" s="185"/>
      <c r="AV1623" s="138"/>
      <c r="AW1623" s="138"/>
      <c r="AX1623" s="138"/>
      <c r="AY1623" s="138"/>
      <c r="AZ1623" s="138"/>
      <c r="BA1623" s="138"/>
      <c r="BB1623" s="138"/>
      <c r="BC1623" s="138"/>
      <c r="BD1623" s="138"/>
      <c r="BE1623" s="138"/>
      <c r="BF1623" s="138"/>
      <c r="BG1623" s="138"/>
      <c r="BH1623" s="138"/>
      <c r="BI1623" s="138"/>
      <c r="BJ1623" s="138"/>
      <c r="BK1623" s="138"/>
      <c r="BL1623" s="138"/>
      <c r="BM1623" s="138"/>
      <c r="BN1623" s="138"/>
      <c r="BO1623" s="138"/>
    </row>
    <row r="1624" spans="1:67" x14ac:dyDescent="0.2">
      <c r="A1624" s="189"/>
      <c r="B1624" s="190"/>
      <c r="C1624" s="191"/>
      <c r="D1624" s="192"/>
      <c r="E1624" s="192"/>
      <c r="F1624" s="192"/>
      <c r="G1624" s="192"/>
      <c r="H1624" s="249"/>
      <c r="I1624" s="181"/>
      <c r="J1624" s="305"/>
      <c r="K1624" s="199">
        <f>SUM(K1620:K1623)</f>
        <v>9000</v>
      </c>
      <c r="L1624" s="191"/>
      <c r="M1624" s="197"/>
      <c r="AV1624" s="138"/>
      <c r="AW1624" s="138"/>
      <c r="AX1624" s="138"/>
      <c r="AY1624" s="138"/>
      <c r="AZ1624" s="138"/>
      <c r="BA1624" s="138"/>
      <c r="BB1624" s="138"/>
      <c r="BC1624" s="138"/>
      <c r="BD1624" s="138"/>
      <c r="BE1624" s="138"/>
      <c r="BF1624" s="138"/>
      <c r="BG1624" s="138"/>
      <c r="BH1624" s="138"/>
      <c r="BI1624" s="138"/>
      <c r="BJ1624" s="138"/>
      <c r="BK1624" s="138"/>
      <c r="BL1624" s="138"/>
      <c r="BM1624" s="138"/>
      <c r="BN1624" s="138"/>
      <c r="BO1624" s="138"/>
    </row>
    <row r="1625" spans="1:67" x14ac:dyDescent="0.2">
      <c r="A1625" s="167">
        <v>390</v>
      </c>
      <c r="B1625" s="168" t="s">
        <v>2110</v>
      </c>
      <c r="C1625" s="169"/>
      <c r="D1625" s="170" t="s">
        <v>107</v>
      </c>
      <c r="E1625" s="170"/>
      <c r="F1625" s="170"/>
      <c r="G1625" s="170"/>
      <c r="H1625" s="246" t="s">
        <v>108</v>
      </c>
      <c r="I1625" s="217" t="s">
        <v>2111</v>
      </c>
      <c r="J1625" s="265" t="s">
        <v>1387</v>
      </c>
      <c r="K1625" s="266">
        <f>9000*50%</f>
        <v>4500</v>
      </c>
      <c r="L1625" s="169" t="s">
        <v>111</v>
      </c>
      <c r="M1625" s="175" t="s">
        <v>2112</v>
      </c>
      <c r="AV1625" s="138"/>
      <c r="AW1625" s="138"/>
      <c r="AX1625" s="138"/>
      <c r="AY1625" s="138"/>
      <c r="AZ1625" s="138"/>
      <c r="BA1625" s="138"/>
      <c r="BB1625" s="138"/>
      <c r="BC1625" s="138"/>
      <c r="BD1625" s="138"/>
      <c r="BE1625" s="138"/>
      <c r="BF1625" s="138"/>
      <c r="BG1625" s="138"/>
      <c r="BH1625" s="138"/>
      <c r="BI1625" s="138"/>
      <c r="BJ1625" s="138"/>
      <c r="BK1625" s="138"/>
      <c r="BL1625" s="138"/>
      <c r="BM1625" s="138"/>
      <c r="BN1625" s="138"/>
      <c r="BO1625" s="138"/>
    </row>
    <row r="1626" spans="1:67" ht="22.5" customHeight="1" x14ac:dyDescent="0.2">
      <c r="A1626" s="177"/>
      <c r="B1626" s="178"/>
      <c r="C1626" s="179"/>
      <c r="D1626" s="180"/>
      <c r="E1626" s="180"/>
      <c r="F1626" s="180"/>
      <c r="G1626" s="180"/>
      <c r="H1626" s="248"/>
      <c r="I1626" s="188" t="s">
        <v>1411</v>
      </c>
      <c r="J1626" s="270" t="s">
        <v>1387</v>
      </c>
      <c r="K1626" s="214">
        <f>9000*20%</f>
        <v>1800</v>
      </c>
      <c r="L1626" s="179"/>
      <c r="M1626" s="185"/>
      <c r="AV1626" s="138"/>
      <c r="AW1626" s="138"/>
      <c r="AX1626" s="138"/>
      <c r="AY1626" s="138"/>
      <c r="AZ1626" s="138"/>
      <c r="BA1626" s="138"/>
      <c r="BB1626" s="138"/>
      <c r="BC1626" s="138"/>
      <c r="BD1626" s="138"/>
      <c r="BE1626" s="138"/>
      <c r="BF1626" s="138"/>
      <c r="BG1626" s="138"/>
      <c r="BH1626" s="138"/>
      <c r="BI1626" s="138"/>
      <c r="BJ1626" s="138"/>
      <c r="BK1626" s="138"/>
      <c r="BL1626" s="138"/>
      <c r="BM1626" s="138"/>
      <c r="BN1626" s="138"/>
      <c r="BO1626" s="138"/>
    </row>
    <row r="1627" spans="1:67" x14ac:dyDescent="0.2">
      <c r="A1627" s="177"/>
      <c r="B1627" s="178"/>
      <c r="C1627" s="179"/>
      <c r="D1627" s="180"/>
      <c r="E1627" s="180"/>
      <c r="F1627" s="180"/>
      <c r="G1627" s="180"/>
      <c r="H1627" s="248"/>
      <c r="I1627" s="188" t="s">
        <v>2075</v>
      </c>
      <c r="J1627" s="270" t="s">
        <v>1387</v>
      </c>
      <c r="K1627" s="214">
        <f>9000*20%</f>
        <v>1800</v>
      </c>
      <c r="L1627" s="179"/>
      <c r="M1627" s="185"/>
      <c r="AV1627" s="138"/>
      <c r="AW1627" s="138"/>
      <c r="AX1627" s="138"/>
      <c r="AY1627" s="138"/>
      <c r="AZ1627" s="138"/>
      <c r="BA1627" s="138"/>
      <c r="BB1627" s="138"/>
      <c r="BC1627" s="138"/>
      <c r="BD1627" s="138"/>
      <c r="BE1627" s="138"/>
      <c r="BF1627" s="138"/>
      <c r="BG1627" s="138"/>
      <c r="BH1627" s="138"/>
      <c r="BI1627" s="138"/>
      <c r="BJ1627" s="138"/>
      <c r="BK1627" s="138"/>
      <c r="BL1627" s="138"/>
      <c r="BM1627" s="138"/>
      <c r="BN1627" s="138"/>
      <c r="BO1627" s="138"/>
    </row>
    <row r="1628" spans="1:67" x14ac:dyDescent="0.2">
      <c r="A1628" s="177"/>
      <c r="B1628" s="178"/>
      <c r="C1628" s="179"/>
      <c r="D1628" s="180"/>
      <c r="E1628" s="180"/>
      <c r="F1628" s="180"/>
      <c r="G1628" s="180"/>
      <c r="H1628" s="248"/>
      <c r="I1628" s="188" t="s">
        <v>2109</v>
      </c>
      <c r="J1628" s="270" t="s">
        <v>1387</v>
      </c>
      <c r="K1628" s="214">
        <f>9000*10%</f>
        <v>900</v>
      </c>
      <c r="L1628" s="179"/>
      <c r="M1628" s="185"/>
      <c r="AV1628" s="138"/>
      <c r="AW1628" s="138"/>
      <c r="AX1628" s="138"/>
      <c r="AY1628" s="138"/>
      <c r="AZ1628" s="138"/>
      <c r="BA1628" s="138"/>
      <c r="BB1628" s="138"/>
      <c r="BC1628" s="138"/>
      <c r="BD1628" s="138"/>
      <c r="BE1628" s="138"/>
      <c r="BF1628" s="138"/>
      <c r="BG1628" s="138"/>
      <c r="BH1628" s="138"/>
      <c r="BI1628" s="138"/>
      <c r="BJ1628" s="138"/>
      <c r="BK1628" s="138"/>
      <c r="BL1628" s="138"/>
      <c r="BM1628" s="138"/>
      <c r="BN1628" s="138"/>
      <c r="BO1628" s="138"/>
    </row>
    <row r="1629" spans="1:67" x14ac:dyDescent="0.2">
      <c r="A1629" s="189"/>
      <c r="B1629" s="190"/>
      <c r="C1629" s="191"/>
      <c r="D1629" s="192"/>
      <c r="E1629" s="192"/>
      <c r="F1629" s="192"/>
      <c r="G1629" s="192"/>
      <c r="H1629" s="249"/>
      <c r="I1629" s="203"/>
      <c r="J1629" s="273"/>
      <c r="K1629" s="245">
        <f>SUM(K1625:K1628)</f>
        <v>9000</v>
      </c>
      <c r="L1629" s="191"/>
      <c r="M1629" s="197"/>
      <c r="AV1629" s="138"/>
      <c r="AW1629" s="138"/>
      <c r="AX1629" s="138"/>
      <c r="AY1629" s="138"/>
      <c r="AZ1629" s="138"/>
      <c r="BA1629" s="138"/>
      <c r="BB1629" s="138"/>
      <c r="BC1629" s="138"/>
      <c r="BD1629" s="138"/>
      <c r="BE1629" s="138"/>
      <c r="BF1629" s="138"/>
      <c r="BG1629" s="138"/>
      <c r="BH1629" s="138"/>
      <c r="BI1629" s="138"/>
      <c r="BJ1629" s="138"/>
      <c r="BK1629" s="138"/>
      <c r="BL1629" s="138"/>
      <c r="BM1629" s="138"/>
      <c r="BN1629" s="138"/>
      <c r="BO1629" s="138"/>
    </row>
    <row r="1630" spans="1:67" ht="75.75" customHeight="1" x14ac:dyDescent="0.2">
      <c r="A1630" s="231">
        <v>391</v>
      </c>
      <c r="B1630" s="253" t="s">
        <v>2113</v>
      </c>
      <c r="C1630" s="254" t="s">
        <v>2113</v>
      </c>
      <c r="D1630" s="256" t="s">
        <v>107</v>
      </c>
      <c r="E1630" s="256"/>
      <c r="F1630" s="256"/>
      <c r="G1630" s="256"/>
      <c r="H1630" s="257"/>
      <c r="I1630" s="280" t="s">
        <v>2114</v>
      </c>
      <c r="J1630" s="300" t="s">
        <v>1387</v>
      </c>
      <c r="K1630" s="282">
        <v>12600</v>
      </c>
      <c r="L1630" s="293" t="s">
        <v>111</v>
      </c>
      <c r="M1630" s="215" t="s">
        <v>2115</v>
      </c>
      <c r="AV1630" s="138"/>
      <c r="AW1630" s="138"/>
      <c r="AX1630" s="138"/>
      <c r="AY1630" s="138"/>
      <c r="AZ1630" s="138"/>
      <c r="BA1630" s="138"/>
      <c r="BB1630" s="138"/>
      <c r="BC1630" s="138"/>
      <c r="BD1630" s="138"/>
      <c r="BE1630" s="138"/>
      <c r="BF1630" s="138"/>
      <c r="BG1630" s="138"/>
      <c r="BH1630" s="138"/>
      <c r="BI1630" s="138"/>
      <c r="BJ1630" s="138"/>
      <c r="BK1630" s="138"/>
      <c r="BL1630" s="138"/>
      <c r="BM1630" s="138"/>
      <c r="BN1630" s="138"/>
      <c r="BO1630" s="138"/>
    </row>
    <row r="1631" spans="1:67" ht="81.75" customHeight="1" x14ac:dyDescent="0.2">
      <c r="A1631" s="231">
        <v>392</v>
      </c>
      <c r="B1631" s="253" t="s">
        <v>2116</v>
      </c>
      <c r="C1631" s="254" t="s">
        <v>2116</v>
      </c>
      <c r="D1631" s="256" t="s">
        <v>107</v>
      </c>
      <c r="E1631" s="256"/>
      <c r="F1631" s="256"/>
      <c r="G1631" s="256"/>
      <c r="H1631" s="257"/>
      <c r="I1631" s="280" t="s">
        <v>2114</v>
      </c>
      <c r="J1631" s="300" t="s">
        <v>1387</v>
      </c>
      <c r="K1631" s="282">
        <v>9000</v>
      </c>
      <c r="L1631" s="293" t="s">
        <v>111</v>
      </c>
      <c r="M1631" s="215" t="s">
        <v>2117</v>
      </c>
      <c r="AV1631" s="138"/>
      <c r="AW1631" s="138"/>
      <c r="AX1631" s="138"/>
      <c r="AY1631" s="138"/>
      <c r="AZ1631" s="138"/>
      <c r="BA1631" s="138"/>
      <c r="BB1631" s="138"/>
      <c r="BC1631" s="138"/>
      <c r="BD1631" s="138"/>
      <c r="BE1631" s="138"/>
      <c r="BF1631" s="138"/>
      <c r="BG1631" s="138"/>
      <c r="BH1631" s="138"/>
      <c r="BI1631" s="138"/>
      <c r="BJ1631" s="138"/>
      <c r="BK1631" s="138"/>
      <c r="BL1631" s="138"/>
      <c r="BM1631" s="138"/>
      <c r="BN1631" s="138"/>
      <c r="BO1631" s="138"/>
    </row>
    <row r="1632" spans="1:67" x14ac:dyDescent="0.2">
      <c r="A1632" s="167">
        <v>393</v>
      </c>
      <c r="B1632" s="168" t="s">
        <v>2118</v>
      </c>
      <c r="C1632" s="169"/>
      <c r="D1632" s="170" t="s">
        <v>107</v>
      </c>
      <c r="E1632" s="170"/>
      <c r="F1632" s="170"/>
      <c r="G1632" s="170"/>
      <c r="H1632" s="246" t="s">
        <v>108</v>
      </c>
      <c r="I1632" s="274" t="s">
        <v>2119</v>
      </c>
      <c r="J1632" s="275" t="s">
        <v>1387</v>
      </c>
      <c r="K1632" s="276">
        <f>7500*50%</f>
        <v>3750</v>
      </c>
      <c r="L1632" s="169" t="s">
        <v>111</v>
      </c>
      <c r="M1632" s="175" t="s">
        <v>2120</v>
      </c>
      <c r="AV1632" s="138"/>
      <c r="AW1632" s="138"/>
      <c r="AX1632" s="138"/>
      <c r="AY1632" s="138"/>
      <c r="AZ1632" s="138"/>
      <c r="BA1632" s="138"/>
      <c r="BB1632" s="138"/>
      <c r="BC1632" s="138"/>
      <c r="BD1632" s="138"/>
      <c r="BE1632" s="138"/>
      <c r="BF1632" s="138"/>
      <c r="BG1632" s="138"/>
      <c r="BH1632" s="138"/>
      <c r="BI1632" s="138"/>
      <c r="BJ1632" s="138"/>
      <c r="BK1632" s="138"/>
      <c r="BL1632" s="138"/>
      <c r="BM1632" s="138"/>
      <c r="BN1632" s="138"/>
      <c r="BO1632" s="138"/>
    </row>
    <row r="1633" spans="1:67" x14ac:dyDescent="0.2">
      <c r="A1633" s="177"/>
      <c r="B1633" s="178"/>
      <c r="C1633" s="179"/>
      <c r="D1633" s="180"/>
      <c r="E1633" s="180"/>
      <c r="F1633" s="180"/>
      <c r="G1633" s="180"/>
      <c r="H1633" s="248"/>
      <c r="I1633" s="188" t="s">
        <v>2121</v>
      </c>
      <c r="J1633" s="270" t="s">
        <v>1387</v>
      </c>
      <c r="K1633" s="214">
        <f>7500*30%</f>
        <v>2250</v>
      </c>
      <c r="L1633" s="179"/>
      <c r="M1633" s="185"/>
      <c r="AV1633" s="138"/>
      <c r="AW1633" s="138"/>
      <c r="AX1633" s="138"/>
      <c r="AY1633" s="138"/>
      <c r="AZ1633" s="138"/>
      <c r="BA1633" s="138"/>
      <c r="BB1633" s="138"/>
      <c r="BC1633" s="138"/>
      <c r="BD1633" s="138"/>
      <c r="BE1633" s="138"/>
      <c r="BF1633" s="138"/>
      <c r="BG1633" s="138"/>
      <c r="BH1633" s="138"/>
      <c r="BI1633" s="138"/>
      <c r="BJ1633" s="138"/>
      <c r="BK1633" s="138"/>
      <c r="BL1633" s="138"/>
      <c r="BM1633" s="138"/>
      <c r="BN1633" s="138"/>
      <c r="BO1633" s="138"/>
    </row>
    <row r="1634" spans="1:67" x14ac:dyDescent="0.2">
      <c r="A1634" s="177"/>
      <c r="B1634" s="178"/>
      <c r="C1634" s="179"/>
      <c r="D1634" s="180"/>
      <c r="E1634" s="180"/>
      <c r="F1634" s="180"/>
      <c r="G1634" s="180"/>
      <c r="H1634" s="248"/>
      <c r="I1634" s="188" t="s">
        <v>2122</v>
      </c>
      <c r="J1634" s="270" t="s">
        <v>1387</v>
      </c>
      <c r="K1634" s="214">
        <f>7500*10%</f>
        <v>750</v>
      </c>
      <c r="L1634" s="179"/>
      <c r="M1634" s="185"/>
      <c r="AV1634" s="138"/>
      <c r="AW1634" s="138"/>
      <c r="AX1634" s="138"/>
      <c r="AY1634" s="138"/>
      <c r="AZ1634" s="138"/>
      <c r="BA1634" s="138"/>
      <c r="BB1634" s="138"/>
      <c r="BC1634" s="138"/>
      <c r="BD1634" s="138"/>
      <c r="BE1634" s="138"/>
      <c r="BF1634" s="138"/>
      <c r="BG1634" s="138"/>
      <c r="BH1634" s="138"/>
      <c r="BI1634" s="138"/>
      <c r="BJ1634" s="138"/>
      <c r="BK1634" s="138"/>
      <c r="BL1634" s="138"/>
      <c r="BM1634" s="138"/>
      <c r="BN1634" s="138"/>
      <c r="BO1634" s="138"/>
    </row>
    <row r="1635" spans="1:67" x14ac:dyDescent="0.2">
      <c r="A1635" s="177"/>
      <c r="B1635" s="178"/>
      <c r="C1635" s="179"/>
      <c r="D1635" s="180"/>
      <c r="E1635" s="180"/>
      <c r="F1635" s="180"/>
      <c r="G1635" s="180"/>
      <c r="H1635" s="248"/>
      <c r="I1635" s="188" t="s">
        <v>2123</v>
      </c>
      <c r="J1635" s="270" t="s">
        <v>594</v>
      </c>
      <c r="K1635" s="214">
        <f>7500*10%</f>
        <v>750</v>
      </c>
      <c r="L1635" s="179"/>
      <c r="M1635" s="185"/>
      <c r="AV1635" s="138"/>
      <c r="AW1635" s="138"/>
      <c r="AX1635" s="138"/>
      <c r="AY1635" s="138"/>
      <c r="AZ1635" s="138"/>
      <c r="BA1635" s="138"/>
      <c r="BB1635" s="138"/>
      <c r="BC1635" s="138"/>
      <c r="BD1635" s="138"/>
      <c r="BE1635" s="138"/>
      <c r="BF1635" s="138"/>
      <c r="BG1635" s="138"/>
      <c r="BH1635" s="138"/>
      <c r="BI1635" s="138"/>
      <c r="BJ1635" s="138"/>
      <c r="BK1635" s="138"/>
      <c r="BL1635" s="138"/>
      <c r="BM1635" s="138"/>
      <c r="BN1635" s="138"/>
      <c r="BO1635" s="138"/>
    </row>
    <row r="1636" spans="1:67" x14ac:dyDescent="0.2">
      <c r="A1636" s="189"/>
      <c r="B1636" s="190"/>
      <c r="C1636" s="191"/>
      <c r="D1636" s="192"/>
      <c r="E1636" s="192"/>
      <c r="F1636" s="192"/>
      <c r="G1636" s="192"/>
      <c r="H1636" s="249"/>
      <c r="I1636" s="181"/>
      <c r="J1636" s="204"/>
      <c r="K1636" s="199">
        <f>SUM(K1632:K1635)</f>
        <v>7500</v>
      </c>
      <c r="L1636" s="191"/>
      <c r="M1636" s="197"/>
      <c r="AV1636" s="138"/>
      <c r="AW1636" s="138"/>
      <c r="AX1636" s="138"/>
      <c r="AY1636" s="138"/>
      <c r="AZ1636" s="138"/>
      <c r="BA1636" s="138"/>
      <c r="BB1636" s="138"/>
      <c r="BC1636" s="138"/>
      <c r="BD1636" s="138"/>
      <c r="BE1636" s="138"/>
      <c r="BF1636" s="138"/>
      <c r="BG1636" s="138"/>
      <c r="BH1636" s="138"/>
      <c r="BI1636" s="138"/>
      <c r="BJ1636" s="138"/>
      <c r="BK1636" s="138"/>
      <c r="BL1636" s="138"/>
      <c r="BM1636" s="138"/>
      <c r="BN1636" s="138"/>
      <c r="BO1636" s="138"/>
    </row>
    <row r="1637" spans="1:67" x14ac:dyDescent="0.2">
      <c r="A1637" s="167">
        <v>394</v>
      </c>
      <c r="B1637" s="168" t="s">
        <v>2124</v>
      </c>
      <c r="C1637" s="169"/>
      <c r="D1637" s="170" t="s">
        <v>107</v>
      </c>
      <c r="E1637" s="170"/>
      <c r="F1637" s="170"/>
      <c r="G1637" s="170"/>
      <c r="H1637" s="246"/>
      <c r="I1637" s="217" t="s">
        <v>2125</v>
      </c>
      <c r="J1637" s="275" t="s">
        <v>1387</v>
      </c>
      <c r="K1637" s="266">
        <f>7500*50%</f>
        <v>3750</v>
      </c>
      <c r="L1637" s="169" t="s">
        <v>111</v>
      </c>
      <c r="M1637" s="175" t="s">
        <v>2126</v>
      </c>
      <c r="AV1637" s="138"/>
      <c r="AW1637" s="138"/>
      <c r="AX1637" s="138"/>
      <c r="AY1637" s="138"/>
      <c r="AZ1637" s="138"/>
      <c r="BA1637" s="138"/>
      <c r="BB1637" s="138"/>
      <c r="BC1637" s="138"/>
      <c r="BD1637" s="138"/>
      <c r="BE1637" s="138"/>
      <c r="BF1637" s="138"/>
      <c r="BG1637" s="138"/>
      <c r="BH1637" s="138"/>
      <c r="BI1637" s="138"/>
      <c r="BJ1637" s="138"/>
      <c r="BK1637" s="138"/>
      <c r="BL1637" s="138"/>
      <c r="BM1637" s="138"/>
      <c r="BN1637" s="138"/>
      <c r="BO1637" s="138"/>
    </row>
    <row r="1638" spans="1:67" x14ac:dyDescent="0.2">
      <c r="A1638" s="177"/>
      <c r="B1638" s="178"/>
      <c r="C1638" s="179"/>
      <c r="D1638" s="180"/>
      <c r="E1638" s="180"/>
      <c r="F1638" s="180"/>
      <c r="G1638" s="180"/>
      <c r="H1638" s="248"/>
      <c r="I1638" s="188" t="s">
        <v>2127</v>
      </c>
      <c r="J1638" s="270" t="s">
        <v>1387</v>
      </c>
      <c r="K1638" s="214">
        <f>7500*25%</f>
        <v>1875</v>
      </c>
      <c r="L1638" s="179"/>
      <c r="M1638" s="185"/>
      <c r="AV1638" s="138"/>
      <c r="AW1638" s="138"/>
      <c r="AX1638" s="138"/>
      <c r="AY1638" s="138"/>
      <c r="AZ1638" s="138"/>
      <c r="BA1638" s="138"/>
      <c r="BB1638" s="138"/>
      <c r="BC1638" s="138"/>
      <c r="BD1638" s="138"/>
      <c r="BE1638" s="138"/>
      <c r="BF1638" s="138"/>
      <c r="BG1638" s="138"/>
      <c r="BH1638" s="138"/>
      <c r="BI1638" s="138"/>
      <c r="BJ1638" s="138"/>
      <c r="BK1638" s="138"/>
      <c r="BL1638" s="138"/>
      <c r="BM1638" s="138"/>
      <c r="BN1638" s="138"/>
      <c r="BO1638" s="138"/>
    </row>
    <row r="1639" spans="1:67" x14ac:dyDescent="0.2">
      <c r="A1639" s="177"/>
      <c r="B1639" s="178"/>
      <c r="C1639" s="179"/>
      <c r="D1639" s="180"/>
      <c r="E1639" s="180"/>
      <c r="F1639" s="180"/>
      <c r="G1639" s="180"/>
      <c r="H1639" s="248"/>
      <c r="I1639" s="188" t="s">
        <v>784</v>
      </c>
      <c r="J1639" s="270" t="s">
        <v>594</v>
      </c>
      <c r="K1639" s="214">
        <f>7500*25%</f>
        <v>1875</v>
      </c>
      <c r="L1639" s="179"/>
      <c r="M1639" s="185"/>
      <c r="AV1639" s="138"/>
      <c r="AW1639" s="138"/>
      <c r="AX1639" s="138"/>
      <c r="AY1639" s="138"/>
      <c r="AZ1639" s="138"/>
      <c r="BA1639" s="138"/>
      <c r="BB1639" s="138"/>
      <c r="BC1639" s="138"/>
      <c r="BD1639" s="138"/>
      <c r="BE1639" s="138"/>
      <c r="BF1639" s="138"/>
      <c r="BG1639" s="138"/>
      <c r="BH1639" s="138"/>
      <c r="BI1639" s="138"/>
      <c r="BJ1639" s="138"/>
      <c r="BK1639" s="138"/>
      <c r="BL1639" s="138"/>
      <c r="BM1639" s="138"/>
      <c r="BN1639" s="138"/>
      <c r="BO1639" s="138"/>
    </row>
    <row r="1640" spans="1:67" x14ac:dyDescent="0.2">
      <c r="A1640" s="189"/>
      <c r="B1640" s="190"/>
      <c r="C1640" s="191"/>
      <c r="D1640" s="192"/>
      <c r="E1640" s="192"/>
      <c r="F1640" s="192"/>
      <c r="G1640" s="192"/>
      <c r="H1640" s="249"/>
      <c r="I1640" s="181"/>
      <c r="J1640" s="305"/>
      <c r="K1640" s="199">
        <f>SUM(K1637:K1639)</f>
        <v>7500</v>
      </c>
      <c r="L1640" s="191"/>
      <c r="M1640" s="197"/>
      <c r="AV1640" s="138"/>
      <c r="AW1640" s="138"/>
      <c r="AX1640" s="138"/>
      <c r="AY1640" s="138"/>
      <c r="AZ1640" s="138"/>
      <c r="BA1640" s="138"/>
      <c r="BB1640" s="138"/>
      <c r="BC1640" s="138"/>
      <c r="BD1640" s="138"/>
      <c r="BE1640" s="138"/>
      <c r="BF1640" s="138"/>
      <c r="BG1640" s="138"/>
      <c r="BH1640" s="138"/>
      <c r="BI1640" s="138"/>
      <c r="BJ1640" s="138"/>
      <c r="BK1640" s="138"/>
      <c r="BL1640" s="138"/>
      <c r="BM1640" s="138"/>
      <c r="BN1640" s="138"/>
      <c r="BO1640" s="138"/>
    </row>
    <row r="1641" spans="1:67" x14ac:dyDescent="0.2">
      <c r="A1641" s="167">
        <v>395</v>
      </c>
      <c r="B1641" s="168" t="s">
        <v>2128</v>
      </c>
      <c r="C1641" s="169"/>
      <c r="D1641" s="170" t="s">
        <v>107</v>
      </c>
      <c r="E1641" s="170"/>
      <c r="F1641" s="170"/>
      <c r="G1641" s="170"/>
      <c r="H1641" s="246"/>
      <c r="I1641" s="217" t="s">
        <v>2129</v>
      </c>
      <c r="J1641" s="265" t="s">
        <v>1387</v>
      </c>
      <c r="K1641" s="266">
        <f>9000*70%</f>
        <v>6300</v>
      </c>
      <c r="L1641" s="169" t="s">
        <v>111</v>
      </c>
      <c r="M1641" s="175" t="s">
        <v>2130</v>
      </c>
      <c r="AV1641" s="138"/>
      <c r="AW1641" s="138"/>
      <c r="AX1641" s="138"/>
      <c r="AY1641" s="138"/>
      <c r="AZ1641" s="138"/>
      <c r="BA1641" s="138"/>
      <c r="BB1641" s="138"/>
      <c r="BC1641" s="138"/>
      <c r="BD1641" s="138"/>
      <c r="BE1641" s="138"/>
      <c r="BF1641" s="138"/>
      <c r="BG1641" s="138"/>
      <c r="BH1641" s="138"/>
      <c r="BI1641" s="138"/>
      <c r="BJ1641" s="138"/>
      <c r="BK1641" s="138"/>
      <c r="BL1641" s="138"/>
      <c r="BM1641" s="138"/>
      <c r="BN1641" s="138"/>
      <c r="BO1641" s="138"/>
    </row>
    <row r="1642" spans="1:67" ht="48" x14ac:dyDescent="0.2">
      <c r="A1642" s="177"/>
      <c r="B1642" s="178"/>
      <c r="C1642" s="179"/>
      <c r="D1642" s="180"/>
      <c r="E1642" s="180"/>
      <c r="F1642" s="180"/>
      <c r="G1642" s="180"/>
      <c r="H1642" s="248"/>
      <c r="I1642" s="188" t="s">
        <v>1386</v>
      </c>
      <c r="J1642" s="270" t="s">
        <v>1387</v>
      </c>
      <c r="K1642" s="214">
        <f t="shared" ref="K1642:K1647" si="34">9000*5%</f>
        <v>450</v>
      </c>
      <c r="L1642" s="179"/>
      <c r="M1642" s="185"/>
      <c r="AV1642" s="138"/>
      <c r="AW1642" s="138"/>
      <c r="AX1642" s="138"/>
      <c r="AY1642" s="138"/>
      <c r="AZ1642" s="138"/>
      <c r="BA1642" s="138"/>
      <c r="BB1642" s="138"/>
      <c r="BC1642" s="138"/>
      <c r="BD1642" s="138"/>
      <c r="BE1642" s="138"/>
      <c r="BF1642" s="138"/>
      <c r="BG1642" s="138"/>
      <c r="BH1642" s="138"/>
      <c r="BI1642" s="138"/>
      <c r="BJ1642" s="138"/>
      <c r="BK1642" s="138"/>
      <c r="BL1642" s="138"/>
      <c r="BM1642" s="138"/>
      <c r="BN1642" s="138"/>
      <c r="BO1642" s="138"/>
    </row>
    <row r="1643" spans="1:67" x14ac:dyDescent="0.2">
      <c r="A1643" s="177"/>
      <c r="B1643" s="178"/>
      <c r="C1643" s="179"/>
      <c r="D1643" s="180"/>
      <c r="E1643" s="180"/>
      <c r="F1643" s="180"/>
      <c r="G1643" s="180"/>
      <c r="H1643" s="248"/>
      <c r="I1643" s="188" t="s">
        <v>2131</v>
      </c>
      <c r="J1643" s="270" t="s">
        <v>1387</v>
      </c>
      <c r="K1643" s="214">
        <f t="shared" si="34"/>
        <v>450</v>
      </c>
      <c r="L1643" s="179"/>
      <c r="M1643" s="185"/>
      <c r="AV1643" s="138"/>
      <c r="AW1643" s="138"/>
      <c r="AX1643" s="138"/>
      <c r="AY1643" s="138"/>
      <c r="AZ1643" s="138"/>
      <c r="BA1643" s="138"/>
      <c r="BB1643" s="138"/>
      <c r="BC1643" s="138"/>
      <c r="BD1643" s="138"/>
      <c r="BE1643" s="138"/>
      <c r="BF1643" s="138"/>
      <c r="BG1643" s="138"/>
      <c r="BH1643" s="138"/>
      <c r="BI1643" s="138"/>
      <c r="BJ1643" s="138"/>
      <c r="BK1643" s="138"/>
      <c r="BL1643" s="138"/>
      <c r="BM1643" s="138"/>
      <c r="BN1643" s="138"/>
      <c r="BO1643" s="138"/>
    </row>
    <row r="1644" spans="1:67" x14ac:dyDescent="0.2">
      <c r="A1644" s="177"/>
      <c r="B1644" s="178"/>
      <c r="C1644" s="179"/>
      <c r="D1644" s="180"/>
      <c r="E1644" s="180"/>
      <c r="F1644" s="180"/>
      <c r="G1644" s="180"/>
      <c r="H1644" s="248"/>
      <c r="I1644" s="188" t="s">
        <v>1390</v>
      </c>
      <c r="J1644" s="270" t="s">
        <v>1387</v>
      </c>
      <c r="K1644" s="214">
        <f t="shared" si="34"/>
        <v>450</v>
      </c>
      <c r="L1644" s="179"/>
      <c r="M1644" s="185"/>
      <c r="AV1644" s="138"/>
      <c r="AW1644" s="138"/>
      <c r="AX1644" s="138"/>
      <c r="AY1644" s="138"/>
      <c r="AZ1644" s="138"/>
      <c r="BA1644" s="138"/>
      <c r="BB1644" s="138"/>
      <c r="BC1644" s="138"/>
      <c r="BD1644" s="138"/>
      <c r="BE1644" s="138"/>
      <c r="BF1644" s="138"/>
      <c r="BG1644" s="138"/>
      <c r="BH1644" s="138"/>
      <c r="BI1644" s="138"/>
      <c r="BJ1644" s="138"/>
      <c r="BK1644" s="138"/>
      <c r="BL1644" s="138"/>
      <c r="BM1644" s="138"/>
      <c r="BN1644" s="138"/>
      <c r="BO1644" s="138"/>
    </row>
    <row r="1645" spans="1:67" x14ac:dyDescent="0.2">
      <c r="A1645" s="177"/>
      <c r="B1645" s="178"/>
      <c r="C1645" s="179"/>
      <c r="D1645" s="180"/>
      <c r="E1645" s="180"/>
      <c r="F1645" s="180"/>
      <c r="G1645" s="180"/>
      <c r="H1645" s="248"/>
      <c r="I1645" s="188" t="s">
        <v>1552</v>
      </c>
      <c r="J1645" s="270" t="s">
        <v>664</v>
      </c>
      <c r="K1645" s="214">
        <f t="shared" si="34"/>
        <v>450</v>
      </c>
      <c r="L1645" s="179"/>
      <c r="M1645" s="185"/>
      <c r="AV1645" s="138"/>
      <c r="AW1645" s="138"/>
      <c r="AX1645" s="138"/>
      <c r="AY1645" s="138"/>
      <c r="AZ1645" s="138"/>
      <c r="BA1645" s="138"/>
      <c r="BB1645" s="138"/>
      <c r="BC1645" s="138"/>
      <c r="BD1645" s="138"/>
      <c r="BE1645" s="138"/>
      <c r="BF1645" s="138"/>
      <c r="BG1645" s="138"/>
      <c r="BH1645" s="138"/>
      <c r="BI1645" s="138"/>
      <c r="BJ1645" s="138"/>
      <c r="BK1645" s="138"/>
      <c r="BL1645" s="138"/>
      <c r="BM1645" s="138"/>
      <c r="BN1645" s="138"/>
      <c r="BO1645" s="138"/>
    </row>
    <row r="1646" spans="1:67" x14ac:dyDescent="0.2">
      <c r="A1646" s="177"/>
      <c r="B1646" s="178"/>
      <c r="C1646" s="179"/>
      <c r="D1646" s="180"/>
      <c r="E1646" s="180"/>
      <c r="F1646" s="180"/>
      <c r="G1646" s="180"/>
      <c r="H1646" s="248"/>
      <c r="I1646" s="188" t="s">
        <v>2132</v>
      </c>
      <c r="J1646" s="270" t="s">
        <v>664</v>
      </c>
      <c r="K1646" s="214">
        <f t="shared" si="34"/>
        <v>450</v>
      </c>
      <c r="L1646" s="179"/>
      <c r="M1646" s="185"/>
      <c r="AV1646" s="138"/>
      <c r="AW1646" s="138"/>
      <c r="AX1646" s="138"/>
      <c r="AY1646" s="138"/>
      <c r="AZ1646" s="138"/>
      <c r="BA1646" s="138"/>
      <c r="BB1646" s="138"/>
      <c r="BC1646" s="138"/>
      <c r="BD1646" s="138"/>
      <c r="BE1646" s="138"/>
      <c r="BF1646" s="138"/>
      <c r="BG1646" s="138"/>
      <c r="BH1646" s="138"/>
      <c r="BI1646" s="138"/>
      <c r="BJ1646" s="138"/>
      <c r="BK1646" s="138"/>
      <c r="BL1646" s="138"/>
      <c r="BM1646" s="138"/>
      <c r="BN1646" s="138"/>
      <c r="BO1646" s="138"/>
    </row>
    <row r="1647" spans="1:67" x14ac:dyDescent="0.2">
      <c r="A1647" s="177"/>
      <c r="B1647" s="178"/>
      <c r="C1647" s="179"/>
      <c r="D1647" s="180"/>
      <c r="E1647" s="180"/>
      <c r="F1647" s="180"/>
      <c r="G1647" s="180"/>
      <c r="H1647" s="248"/>
      <c r="I1647" s="188" t="s">
        <v>2133</v>
      </c>
      <c r="J1647" s="270" t="s">
        <v>664</v>
      </c>
      <c r="K1647" s="214">
        <f t="shared" si="34"/>
        <v>450</v>
      </c>
      <c r="L1647" s="179"/>
      <c r="M1647" s="185"/>
      <c r="AV1647" s="138"/>
      <c r="AW1647" s="138"/>
      <c r="AX1647" s="138"/>
      <c r="AY1647" s="138"/>
      <c r="AZ1647" s="138"/>
      <c r="BA1647" s="138"/>
      <c r="BB1647" s="138"/>
      <c r="BC1647" s="138"/>
      <c r="BD1647" s="138"/>
      <c r="BE1647" s="138"/>
      <c r="BF1647" s="138"/>
      <c r="BG1647" s="138"/>
      <c r="BH1647" s="138"/>
      <c r="BI1647" s="138"/>
      <c r="BJ1647" s="138"/>
      <c r="BK1647" s="138"/>
      <c r="BL1647" s="138"/>
      <c r="BM1647" s="138"/>
      <c r="BN1647" s="138"/>
      <c r="BO1647" s="138"/>
    </row>
    <row r="1648" spans="1:67" x14ac:dyDescent="0.2">
      <c r="A1648" s="189"/>
      <c r="B1648" s="190"/>
      <c r="C1648" s="191"/>
      <c r="D1648" s="192"/>
      <c r="E1648" s="192"/>
      <c r="F1648" s="192"/>
      <c r="G1648" s="192"/>
      <c r="H1648" s="249"/>
      <c r="I1648" s="203"/>
      <c r="J1648" s="273"/>
      <c r="K1648" s="245">
        <f>SUM(K1641:K1647)</f>
        <v>9000</v>
      </c>
      <c r="L1648" s="191"/>
      <c r="M1648" s="197"/>
      <c r="AV1648" s="138"/>
      <c r="AW1648" s="138"/>
      <c r="AX1648" s="138"/>
      <c r="AY1648" s="138"/>
      <c r="AZ1648" s="138"/>
      <c r="BA1648" s="138"/>
      <c r="BB1648" s="138"/>
      <c r="BC1648" s="138"/>
      <c r="BD1648" s="138"/>
      <c r="BE1648" s="138"/>
      <c r="BF1648" s="138"/>
      <c r="BG1648" s="138"/>
      <c r="BH1648" s="138"/>
      <c r="BI1648" s="138"/>
      <c r="BJ1648" s="138"/>
      <c r="BK1648" s="138"/>
      <c r="BL1648" s="138"/>
      <c r="BM1648" s="138"/>
      <c r="BN1648" s="138"/>
      <c r="BO1648" s="138"/>
    </row>
    <row r="1649" spans="1:67" x14ac:dyDescent="0.2">
      <c r="A1649" s="167">
        <v>396</v>
      </c>
      <c r="B1649" s="168" t="s">
        <v>2134</v>
      </c>
      <c r="C1649" s="169"/>
      <c r="D1649" s="170" t="s">
        <v>107</v>
      </c>
      <c r="E1649" s="170"/>
      <c r="F1649" s="170"/>
      <c r="G1649" s="170"/>
      <c r="H1649" s="246"/>
      <c r="I1649" s="274" t="s">
        <v>2135</v>
      </c>
      <c r="J1649" s="275" t="s">
        <v>1387</v>
      </c>
      <c r="K1649" s="276">
        <f>12000*80%</f>
        <v>9600</v>
      </c>
      <c r="L1649" s="169" t="s">
        <v>111</v>
      </c>
      <c r="M1649" s="175" t="s">
        <v>2136</v>
      </c>
      <c r="AV1649" s="138"/>
      <c r="AW1649" s="138"/>
      <c r="AX1649" s="138"/>
      <c r="AY1649" s="138"/>
      <c r="AZ1649" s="138"/>
      <c r="BA1649" s="138"/>
      <c r="BB1649" s="138"/>
      <c r="BC1649" s="138"/>
      <c r="BD1649" s="138"/>
      <c r="BE1649" s="138"/>
      <c r="BF1649" s="138"/>
      <c r="BG1649" s="138"/>
      <c r="BH1649" s="138"/>
      <c r="BI1649" s="138"/>
      <c r="BJ1649" s="138"/>
      <c r="BK1649" s="138"/>
      <c r="BL1649" s="138"/>
      <c r="BM1649" s="138"/>
      <c r="BN1649" s="138"/>
      <c r="BO1649" s="138"/>
    </row>
    <row r="1650" spans="1:67" x14ac:dyDescent="0.2">
      <c r="A1650" s="177"/>
      <c r="B1650" s="178"/>
      <c r="C1650" s="179"/>
      <c r="D1650" s="180"/>
      <c r="E1650" s="180"/>
      <c r="F1650" s="180"/>
      <c r="G1650" s="180"/>
      <c r="H1650" s="248"/>
      <c r="I1650" s="188" t="s">
        <v>2137</v>
      </c>
      <c r="J1650" s="270" t="s">
        <v>1387</v>
      </c>
      <c r="K1650" s="214">
        <f>12000*10%</f>
        <v>1200</v>
      </c>
      <c r="L1650" s="179"/>
      <c r="M1650" s="185"/>
      <c r="AV1650" s="138"/>
      <c r="AW1650" s="138"/>
      <c r="AX1650" s="138"/>
      <c r="AY1650" s="138"/>
      <c r="AZ1650" s="138"/>
      <c r="BA1650" s="138"/>
      <c r="BB1650" s="138"/>
      <c r="BC1650" s="138"/>
      <c r="BD1650" s="138"/>
      <c r="BE1650" s="138"/>
      <c r="BF1650" s="138"/>
      <c r="BG1650" s="138"/>
      <c r="BH1650" s="138"/>
      <c r="BI1650" s="138"/>
      <c r="BJ1650" s="138"/>
      <c r="BK1650" s="138"/>
      <c r="BL1650" s="138"/>
      <c r="BM1650" s="138"/>
      <c r="BN1650" s="138"/>
      <c r="BO1650" s="138"/>
    </row>
    <row r="1651" spans="1:67" x14ac:dyDescent="0.2">
      <c r="A1651" s="177"/>
      <c r="B1651" s="178"/>
      <c r="C1651" s="179"/>
      <c r="D1651" s="180"/>
      <c r="E1651" s="180"/>
      <c r="F1651" s="180"/>
      <c r="G1651" s="180"/>
      <c r="H1651" s="248"/>
      <c r="I1651" s="188" t="s">
        <v>2138</v>
      </c>
      <c r="J1651" s="270" t="s">
        <v>1387</v>
      </c>
      <c r="K1651" s="214">
        <f>12000*10%</f>
        <v>1200</v>
      </c>
      <c r="L1651" s="179"/>
      <c r="M1651" s="185"/>
      <c r="AV1651" s="138"/>
      <c r="AW1651" s="138"/>
      <c r="AX1651" s="138"/>
      <c r="AY1651" s="138"/>
      <c r="AZ1651" s="138"/>
      <c r="BA1651" s="138"/>
      <c r="BB1651" s="138"/>
      <c r="BC1651" s="138"/>
      <c r="BD1651" s="138"/>
      <c r="BE1651" s="138"/>
      <c r="BF1651" s="138"/>
      <c r="BG1651" s="138"/>
      <c r="BH1651" s="138"/>
      <c r="BI1651" s="138"/>
      <c r="BJ1651" s="138"/>
      <c r="BK1651" s="138"/>
      <c r="BL1651" s="138"/>
      <c r="BM1651" s="138"/>
      <c r="BN1651" s="138"/>
      <c r="BO1651" s="138"/>
    </row>
    <row r="1652" spans="1:67" x14ac:dyDescent="0.2">
      <c r="A1652" s="189"/>
      <c r="B1652" s="190"/>
      <c r="C1652" s="191"/>
      <c r="D1652" s="192"/>
      <c r="E1652" s="192"/>
      <c r="F1652" s="192"/>
      <c r="G1652" s="192"/>
      <c r="H1652" s="249"/>
      <c r="I1652" s="181"/>
      <c r="J1652" s="305"/>
      <c r="K1652" s="199">
        <f>SUM(K1649:K1651)</f>
        <v>12000</v>
      </c>
      <c r="L1652" s="191"/>
      <c r="M1652" s="197"/>
      <c r="AV1652" s="138"/>
      <c r="AW1652" s="138"/>
      <c r="AX1652" s="138"/>
      <c r="AY1652" s="138"/>
      <c r="AZ1652" s="138"/>
      <c r="BA1652" s="138"/>
      <c r="BB1652" s="138"/>
      <c r="BC1652" s="138"/>
      <c r="BD1652" s="138"/>
      <c r="BE1652" s="138"/>
      <c r="BF1652" s="138"/>
      <c r="BG1652" s="138"/>
      <c r="BH1652" s="138"/>
      <c r="BI1652" s="138"/>
      <c r="BJ1652" s="138"/>
      <c r="BK1652" s="138"/>
      <c r="BL1652" s="138"/>
      <c r="BM1652" s="138"/>
      <c r="BN1652" s="138"/>
      <c r="BO1652" s="138"/>
    </row>
    <row r="1653" spans="1:67" x14ac:dyDescent="0.2">
      <c r="A1653" s="167">
        <v>397</v>
      </c>
      <c r="B1653" s="168" t="s">
        <v>2139</v>
      </c>
      <c r="C1653" s="169"/>
      <c r="D1653" s="170" t="s">
        <v>107</v>
      </c>
      <c r="E1653" s="170"/>
      <c r="F1653" s="170"/>
      <c r="G1653" s="170"/>
      <c r="H1653" s="246"/>
      <c r="I1653" s="217" t="s">
        <v>2140</v>
      </c>
      <c r="J1653" s="265" t="s">
        <v>1387</v>
      </c>
      <c r="K1653" s="266">
        <f>9000*50%</f>
        <v>4500</v>
      </c>
      <c r="L1653" s="169" t="s">
        <v>111</v>
      </c>
      <c r="M1653" s="175" t="s">
        <v>2141</v>
      </c>
      <c r="AV1653" s="138"/>
      <c r="AW1653" s="138"/>
      <c r="AX1653" s="138"/>
      <c r="AY1653" s="138"/>
      <c r="AZ1653" s="138"/>
      <c r="BA1653" s="138"/>
      <c r="BB1653" s="138"/>
      <c r="BC1653" s="138"/>
      <c r="BD1653" s="138"/>
      <c r="BE1653" s="138"/>
      <c r="BF1653" s="138"/>
      <c r="BG1653" s="138"/>
      <c r="BH1653" s="138"/>
      <c r="BI1653" s="138"/>
      <c r="BJ1653" s="138"/>
      <c r="BK1653" s="138"/>
      <c r="BL1653" s="138"/>
      <c r="BM1653" s="138"/>
      <c r="BN1653" s="138"/>
      <c r="BO1653" s="138"/>
    </row>
    <row r="1654" spans="1:67" x14ac:dyDescent="0.2">
      <c r="A1654" s="177"/>
      <c r="B1654" s="178"/>
      <c r="C1654" s="179"/>
      <c r="D1654" s="180"/>
      <c r="E1654" s="180"/>
      <c r="F1654" s="180"/>
      <c r="G1654" s="180"/>
      <c r="H1654" s="248"/>
      <c r="I1654" s="188" t="s">
        <v>2137</v>
      </c>
      <c r="J1654" s="270" t="s">
        <v>1387</v>
      </c>
      <c r="K1654" s="214">
        <f>9000*10%</f>
        <v>900</v>
      </c>
      <c r="L1654" s="179"/>
      <c r="M1654" s="185"/>
      <c r="AV1654" s="138"/>
      <c r="AW1654" s="138"/>
      <c r="AX1654" s="138"/>
      <c r="AY1654" s="138"/>
      <c r="AZ1654" s="138"/>
      <c r="BA1654" s="138"/>
      <c r="BB1654" s="138"/>
      <c r="BC1654" s="138"/>
      <c r="BD1654" s="138"/>
      <c r="BE1654" s="138"/>
      <c r="BF1654" s="138"/>
      <c r="BG1654" s="138"/>
      <c r="BH1654" s="138"/>
      <c r="BI1654" s="138"/>
      <c r="BJ1654" s="138"/>
      <c r="BK1654" s="138"/>
      <c r="BL1654" s="138"/>
      <c r="BM1654" s="138"/>
      <c r="BN1654" s="138"/>
      <c r="BO1654" s="138"/>
    </row>
    <row r="1655" spans="1:67" x14ac:dyDescent="0.2">
      <c r="A1655" s="177"/>
      <c r="B1655" s="178"/>
      <c r="C1655" s="179"/>
      <c r="D1655" s="180"/>
      <c r="E1655" s="180"/>
      <c r="F1655" s="180"/>
      <c r="G1655" s="180"/>
      <c r="H1655" s="248"/>
      <c r="I1655" s="188" t="s">
        <v>2138</v>
      </c>
      <c r="J1655" s="270" t="s">
        <v>1387</v>
      </c>
      <c r="K1655" s="214">
        <f>9000*10%</f>
        <v>900</v>
      </c>
      <c r="L1655" s="179"/>
      <c r="M1655" s="185"/>
      <c r="AV1655" s="138"/>
      <c r="AW1655" s="138"/>
      <c r="AX1655" s="138"/>
      <c r="AY1655" s="138"/>
      <c r="AZ1655" s="138"/>
      <c r="BA1655" s="138"/>
      <c r="BB1655" s="138"/>
      <c r="BC1655" s="138"/>
      <c r="BD1655" s="138"/>
      <c r="BE1655" s="138"/>
      <c r="BF1655" s="138"/>
      <c r="BG1655" s="138"/>
      <c r="BH1655" s="138"/>
      <c r="BI1655" s="138"/>
      <c r="BJ1655" s="138"/>
      <c r="BK1655" s="138"/>
      <c r="BL1655" s="138"/>
      <c r="BM1655" s="138"/>
      <c r="BN1655" s="138"/>
      <c r="BO1655" s="138"/>
    </row>
    <row r="1656" spans="1:67" x14ac:dyDescent="0.2">
      <c r="A1656" s="177"/>
      <c r="B1656" s="178"/>
      <c r="C1656" s="179"/>
      <c r="D1656" s="180"/>
      <c r="E1656" s="180"/>
      <c r="F1656" s="180"/>
      <c r="G1656" s="180"/>
      <c r="H1656" s="248"/>
      <c r="I1656" s="188" t="s">
        <v>603</v>
      </c>
      <c r="J1656" s="270" t="s">
        <v>190</v>
      </c>
      <c r="K1656" s="214">
        <f>9000*10%</f>
        <v>900</v>
      </c>
      <c r="L1656" s="179"/>
      <c r="M1656" s="185"/>
      <c r="AV1656" s="138"/>
      <c r="AW1656" s="138"/>
      <c r="AX1656" s="138"/>
      <c r="AY1656" s="138"/>
      <c r="AZ1656" s="138"/>
      <c r="BA1656" s="138"/>
      <c r="BB1656" s="138"/>
      <c r="BC1656" s="138"/>
      <c r="BD1656" s="138"/>
      <c r="BE1656" s="138"/>
      <c r="BF1656" s="138"/>
      <c r="BG1656" s="138"/>
      <c r="BH1656" s="138"/>
      <c r="BI1656" s="138"/>
      <c r="BJ1656" s="138"/>
      <c r="BK1656" s="138"/>
      <c r="BL1656" s="138"/>
      <c r="BM1656" s="138"/>
      <c r="BN1656" s="138"/>
      <c r="BO1656" s="138"/>
    </row>
    <row r="1657" spans="1:67" x14ac:dyDescent="0.2">
      <c r="A1657" s="177"/>
      <c r="B1657" s="178"/>
      <c r="C1657" s="179"/>
      <c r="D1657" s="180"/>
      <c r="E1657" s="180"/>
      <c r="F1657" s="180"/>
      <c r="G1657" s="180"/>
      <c r="H1657" s="248"/>
      <c r="I1657" s="188" t="s">
        <v>2142</v>
      </c>
      <c r="J1657" s="270" t="s">
        <v>190</v>
      </c>
      <c r="K1657" s="214">
        <f>9000*5%</f>
        <v>450</v>
      </c>
      <c r="L1657" s="179"/>
      <c r="M1657" s="185"/>
      <c r="AV1657" s="138"/>
      <c r="AW1657" s="138"/>
      <c r="AX1657" s="138"/>
      <c r="AY1657" s="138"/>
      <c r="AZ1657" s="138"/>
      <c r="BA1657" s="138"/>
      <c r="BB1657" s="138"/>
      <c r="BC1657" s="138"/>
      <c r="BD1657" s="138"/>
      <c r="BE1657" s="138"/>
      <c r="BF1657" s="138"/>
      <c r="BG1657" s="138"/>
      <c r="BH1657" s="138"/>
      <c r="BI1657" s="138"/>
      <c r="BJ1657" s="138"/>
      <c r="BK1657" s="138"/>
      <c r="BL1657" s="138"/>
      <c r="BM1657" s="138"/>
      <c r="BN1657" s="138"/>
      <c r="BO1657" s="138"/>
    </row>
    <row r="1658" spans="1:67" x14ac:dyDescent="0.2">
      <c r="A1658" s="177"/>
      <c r="B1658" s="178"/>
      <c r="C1658" s="179"/>
      <c r="D1658" s="180"/>
      <c r="E1658" s="180"/>
      <c r="F1658" s="180"/>
      <c r="G1658" s="180"/>
      <c r="H1658" s="248"/>
      <c r="I1658" s="188" t="s">
        <v>2143</v>
      </c>
      <c r="J1658" s="270" t="s">
        <v>1387</v>
      </c>
      <c r="K1658" s="214">
        <f>9000*10%</f>
        <v>900</v>
      </c>
      <c r="L1658" s="179"/>
      <c r="M1658" s="185"/>
      <c r="AV1658" s="138"/>
      <c r="AW1658" s="138"/>
      <c r="AX1658" s="138"/>
      <c r="AY1658" s="138"/>
      <c r="AZ1658" s="138"/>
      <c r="BA1658" s="138"/>
      <c r="BB1658" s="138"/>
      <c r="BC1658" s="138"/>
      <c r="BD1658" s="138"/>
      <c r="BE1658" s="138"/>
      <c r="BF1658" s="138"/>
      <c r="BG1658" s="138"/>
      <c r="BH1658" s="138"/>
      <c r="BI1658" s="138"/>
      <c r="BJ1658" s="138"/>
      <c r="BK1658" s="138"/>
      <c r="BL1658" s="138"/>
      <c r="BM1658" s="138"/>
      <c r="BN1658" s="138"/>
      <c r="BO1658" s="138"/>
    </row>
    <row r="1659" spans="1:67" x14ac:dyDescent="0.2">
      <c r="A1659" s="177"/>
      <c r="B1659" s="178"/>
      <c r="C1659" s="179"/>
      <c r="D1659" s="180"/>
      <c r="E1659" s="180"/>
      <c r="F1659" s="180"/>
      <c r="G1659" s="180"/>
      <c r="H1659" s="248"/>
      <c r="I1659" s="188" t="s">
        <v>2144</v>
      </c>
      <c r="J1659" s="270" t="s">
        <v>1387</v>
      </c>
      <c r="K1659" s="214">
        <f>9000*5%</f>
        <v>450</v>
      </c>
      <c r="L1659" s="179"/>
      <c r="M1659" s="185"/>
      <c r="AV1659" s="138"/>
      <c r="AW1659" s="138"/>
      <c r="AX1659" s="138"/>
      <c r="AY1659" s="138"/>
      <c r="AZ1659" s="138"/>
      <c r="BA1659" s="138"/>
      <c r="BB1659" s="138"/>
      <c r="BC1659" s="138"/>
      <c r="BD1659" s="138"/>
      <c r="BE1659" s="138"/>
      <c r="BF1659" s="138"/>
      <c r="BG1659" s="138"/>
      <c r="BH1659" s="138"/>
      <c r="BI1659" s="138"/>
      <c r="BJ1659" s="138"/>
      <c r="BK1659" s="138"/>
      <c r="BL1659" s="138"/>
      <c r="BM1659" s="138"/>
      <c r="BN1659" s="138"/>
      <c r="BO1659" s="138"/>
    </row>
    <row r="1660" spans="1:67" x14ac:dyDescent="0.2">
      <c r="A1660" s="189"/>
      <c r="B1660" s="190"/>
      <c r="C1660" s="191"/>
      <c r="D1660" s="192"/>
      <c r="E1660" s="192"/>
      <c r="F1660" s="192"/>
      <c r="G1660" s="192"/>
      <c r="H1660" s="249"/>
      <c r="I1660" s="203"/>
      <c r="J1660" s="273"/>
      <c r="K1660" s="245">
        <f>SUM(K1653:K1659)</f>
        <v>9000</v>
      </c>
      <c r="L1660" s="191"/>
      <c r="M1660" s="197"/>
      <c r="AV1660" s="138"/>
      <c r="AW1660" s="138"/>
      <c r="AX1660" s="138"/>
      <c r="AY1660" s="138"/>
      <c r="AZ1660" s="138"/>
      <c r="BA1660" s="138"/>
      <c r="BB1660" s="138"/>
      <c r="BC1660" s="138"/>
      <c r="BD1660" s="138"/>
      <c r="BE1660" s="138"/>
      <c r="BF1660" s="138"/>
      <c r="BG1660" s="138"/>
      <c r="BH1660" s="138"/>
      <c r="BI1660" s="138"/>
      <c r="BJ1660" s="138"/>
      <c r="BK1660" s="138"/>
      <c r="BL1660" s="138"/>
      <c r="BM1660" s="138"/>
      <c r="BN1660" s="138"/>
      <c r="BO1660" s="138"/>
    </row>
    <row r="1661" spans="1:67" ht="48" x14ac:dyDescent="0.2">
      <c r="A1661" s="167">
        <v>398</v>
      </c>
      <c r="B1661" s="168" t="s">
        <v>2145</v>
      </c>
      <c r="C1661" s="169"/>
      <c r="D1661" s="170" t="s">
        <v>107</v>
      </c>
      <c r="E1661" s="170"/>
      <c r="F1661" s="170"/>
      <c r="G1661" s="170"/>
      <c r="H1661" s="246"/>
      <c r="I1661" s="274" t="s">
        <v>2146</v>
      </c>
      <c r="J1661" s="275" t="s">
        <v>1387</v>
      </c>
      <c r="K1661" s="276">
        <f>6600*65%</f>
        <v>4290</v>
      </c>
      <c r="L1661" s="169" t="s">
        <v>111</v>
      </c>
      <c r="M1661" s="175" t="s">
        <v>2147</v>
      </c>
      <c r="AV1661" s="138"/>
      <c r="AW1661" s="138"/>
      <c r="AX1661" s="138"/>
      <c r="AY1661" s="138"/>
      <c r="AZ1661" s="138"/>
      <c r="BA1661" s="138"/>
      <c r="BB1661" s="138"/>
      <c r="BC1661" s="138"/>
      <c r="BD1661" s="138"/>
      <c r="BE1661" s="138"/>
      <c r="BF1661" s="138"/>
      <c r="BG1661" s="138"/>
      <c r="BH1661" s="138"/>
      <c r="BI1661" s="138"/>
      <c r="BJ1661" s="138"/>
      <c r="BK1661" s="138"/>
      <c r="BL1661" s="138"/>
      <c r="BM1661" s="138"/>
      <c r="BN1661" s="138"/>
      <c r="BO1661" s="138"/>
    </row>
    <row r="1662" spans="1:67" x14ac:dyDescent="0.2">
      <c r="A1662" s="177"/>
      <c r="B1662" s="178"/>
      <c r="C1662" s="179"/>
      <c r="D1662" s="180"/>
      <c r="E1662" s="180"/>
      <c r="F1662" s="180"/>
      <c r="G1662" s="180"/>
      <c r="H1662" s="248"/>
      <c r="I1662" s="188" t="s">
        <v>2148</v>
      </c>
      <c r="J1662" s="270" t="s">
        <v>1097</v>
      </c>
      <c r="K1662" s="214">
        <f>6600*10%</f>
        <v>660</v>
      </c>
      <c r="L1662" s="179"/>
      <c r="M1662" s="185"/>
      <c r="AV1662" s="138"/>
      <c r="AW1662" s="138"/>
      <c r="AX1662" s="138"/>
      <c r="AY1662" s="138"/>
      <c r="AZ1662" s="138"/>
      <c r="BA1662" s="138"/>
      <c r="BB1662" s="138"/>
      <c r="BC1662" s="138"/>
      <c r="BD1662" s="138"/>
      <c r="BE1662" s="138"/>
      <c r="BF1662" s="138"/>
      <c r="BG1662" s="138"/>
      <c r="BH1662" s="138"/>
      <c r="BI1662" s="138"/>
      <c r="BJ1662" s="138"/>
      <c r="BK1662" s="138"/>
      <c r="BL1662" s="138"/>
      <c r="BM1662" s="138"/>
      <c r="BN1662" s="138"/>
      <c r="BO1662" s="138"/>
    </row>
    <row r="1663" spans="1:67" x14ac:dyDescent="0.2">
      <c r="A1663" s="177"/>
      <c r="B1663" s="178"/>
      <c r="C1663" s="179"/>
      <c r="D1663" s="180"/>
      <c r="E1663" s="180"/>
      <c r="F1663" s="180"/>
      <c r="G1663" s="180"/>
      <c r="H1663" s="248"/>
      <c r="I1663" s="188" t="s">
        <v>2149</v>
      </c>
      <c r="J1663" s="270" t="s">
        <v>1387</v>
      </c>
      <c r="K1663" s="214">
        <f>6600*10%</f>
        <v>660</v>
      </c>
      <c r="L1663" s="179"/>
      <c r="M1663" s="185"/>
      <c r="AV1663" s="138"/>
      <c r="AW1663" s="138"/>
      <c r="AX1663" s="138"/>
      <c r="AY1663" s="138"/>
      <c r="AZ1663" s="138"/>
      <c r="BA1663" s="138"/>
      <c r="BB1663" s="138"/>
      <c r="BC1663" s="138"/>
      <c r="BD1663" s="138"/>
      <c r="BE1663" s="138"/>
      <c r="BF1663" s="138"/>
      <c r="BG1663" s="138"/>
      <c r="BH1663" s="138"/>
      <c r="BI1663" s="138"/>
      <c r="BJ1663" s="138"/>
      <c r="BK1663" s="138"/>
      <c r="BL1663" s="138"/>
      <c r="BM1663" s="138"/>
      <c r="BN1663" s="138"/>
      <c r="BO1663" s="138"/>
    </row>
    <row r="1664" spans="1:67" x14ac:dyDescent="0.2">
      <c r="A1664" s="177"/>
      <c r="B1664" s="178"/>
      <c r="C1664" s="179"/>
      <c r="D1664" s="180"/>
      <c r="E1664" s="180"/>
      <c r="F1664" s="180"/>
      <c r="G1664" s="180"/>
      <c r="H1664" s="248"/>
      <c r="I1664" s="188" t="s">
        <v>2150</v>
      </c>
      <c r="J1664" s="270" t="s">
        <v>1387</v>
      </c>
      <c r="K1664" s="214">
        <f>6600*10%</f>
        <v>660</v>
      </c>
      <c r="L1664" s="179"/>
      <c r="M1664" s="185"/>
      <c r="AV1664" s="138"/>
      <c r="AW1664" s="138"/>
      <c r="AX1664" s="138"/>
      <c r="AY1664" s="138"/>
      <c r="AZ1664" s="138"/>
      <c r="BA1664" s="138"/>
      <c r="BB1664" s="138"/>
      <c r="BC1664" s="138"/>
      <c r="BD1664" s="138"/>
      <c r="BE1664" s="138"/>
      <c r="BF1664" s="138"/>
      <c r="BG1664" s="138"/>
      <c r="BH1664" s="138"/>
      <c r="BI1664" s="138"/>
      <c r="BJ1664" s="138"/>
      <c r="BK1664" s="138"/>
      <c r="BL1664" s="138"/>
      <c r="BM1664" s="138"/>
      <c r="BN1664" s="138"/>
      <c r="BO1664" s="138"/>
    </row>
    <row r="1665" spans="1:67" x14ac:dyDescent="0.2">
      <c r="A1665" s="177"/>
      <c r="B1665" s="178"/>
      <c r="C1665" s="179"/>
      <c r="D1665" s="180"/>
      <c r="E1665" s="180"/>
      <c r="F1665" s="180"/>
      <c r="G1665" s="180"/>
      <c r="H1665" s="248"/>
      <c r="I1665" s="188" t="s">
        <v>1390</v>
      </c>
      <c r="J1665" s="270" t="s">
        <v>1387</v>
      </c>
      <c r="K1665" s="214">
        <f>6600*5%</f>
        <v>330</v>
      </c>
      <c r="L1665" s="179"/>
      <c r="M1665" s="185"/>
      <c r="AV1665" s="138"/>
      <c r="AW1665" s="138"/>
      <c r="AX1665" s="138"/>
      <c r="AY1665" s="138"/>
      <c r="AZ1665" s="138"/>
      <c r="BA1665" s="138"/>
      <c r="BB1665" s="138"/>
      <c r="BC1665" s="138"/>
      <c r="BD1665" s="138"/>
      <c r="BE1665" s="138"/>
      <c r="BF1665" s="138"/>
      <c r="BG1665" s="138"/>
      <c r="BH1665" s="138"/>
      <c r="BI1665" s="138"/>
      <c r="BJ1665" s="138"/>
      <c r="BK1665" s="138"/>
      <c r="BL1665" s="138"/>
      <c r="BM1665" s="138"/>
      <c r="BN1665" s="138"/>
      <c r="BO1665" s="138"/>
    </row>
    <row r="1666" spans="1:67" x14ac:dyDescent="0.2">
      <c r="A1666" s="189"/>
      <c r="B1666" s="190"/>
      <c r="C1666" s="191"/>
      <c r="D1666" s="192"/>
      <c r="E1666" s="192"/>
      <c r="F1666" s="192"/>
      <c r="G1666" s="192"/>
      <c r="H1666" s="249"/>
      <c r="I1666" s="181"/>
      <c r="J1666" s="305"/>
      <c r="K1666" s="199">
        <f>SUM(K1661:K1665)</f>
        <v>6600</v>
      </c>
      <c r="L1666" s="191"/>
      <c r="M1666" s="197"/>
      <c r="AV1666" s="138"/>
      <c r="AW1666" s="138"/>
      <c r="AX1666" s="138"/>
      <c r="AY1666" s="138"/>
      <c r="AZ1666" s="138"/>
      <c r="BA1666" s="138"/>
      <c r="BB1666" s="138"/>
      <c r="BC1666" s="138"/>
      <c r="BD1666" s="138"/>
      <c r="BE1666" s="138"/>
      <c r="BF1666" s="138"/>
      <c r="BG1666" s="138"/>
      <c r="BH1666" s="138"/>
      <c r="BI1666" s="138"/>
      <c r="BJ1666" s="138"/>
      <c r="BK1666" s="138"/>
      <c r="BL1666" s="138"/>
      <c r="BM1666" s="138"/>
      <c r="BN1666" s="138"/>
      <c r="BO1666" s="138"/>
    </row>
    <row r="1667" spans="1:67" x14ac:dyDescent="0.2">
      <c r="A1667" s="167">
        <v>399</v>
      </c>
      <c r="B1667" s="168" t="s">
        <v>2151</v>
      </c>
      <c r="C1667" s="169"/>
      <c r="D1667" s="170" t="s">
        <v>107</v>
      </c>
      <c r="E1667" s="170"/>
      <c r="F1667" s="170"/>
      <c r="G1667" s="170"/>
      <c r="H1667" s="246"/>
      <c r="I1667" s="217" t="s">
        <v>2152</v>
      </c>
      <c r="J1667" s="265" t="s">
        <v>1387</v>
      </c>
      <c r="K1667" s="266">
        <f>11100*70%</f>
        <v>7769.9999999999991</v>
      </c>
      <c r="L1667" s="169" t="s">
        <v>111</v>
      </c>
      <c r="M1667" s="175" t="s">
        <v>2153</v>
      </c>
      <c r="AV1667" s="138"/>
      <c r="AW1667" s="138"/>
      <c r="AX1667" s="138"/>
      <c r="AY1667" s="138"/>
      <c r="AZ1667" s="138"/>
      <c r="BA1667" s="138"/>
      <c r="BB1667" s="138"/>
      <c r="BC1667" s="138"/>
      <c r="BD1667" s="138"/>
      <c r="BE1667" s="138"/>
      <c r="BF1667" s="138"/>
      <c r="BG1667" s="138"/>
      <c r="BH1667" s="138"/>
      <c r="BI1667" s="138"/>
      <c r="BJ1667" s="138"/>
      <c r="BK1667" s="138"/>
      <c r="BL1667" s="138"/>
      <c r="BM1667" s="138"/>
      <c r="BN1667" s="138"/>
      <c r="BO1667" s="138"/>
    </row>
    <row r="1668" spans="1:67" x14ac:dyDescent="0.2">
      <c r="A1668" s="177"/>
      <c r="B1668" s="178"/>
      <c r="C1668" s="179"/>
      <c r="D1668" s="180"/>
      <c r="E1668" s="180"/>
      <c r="F1668" s="180"/>
      <c r="G1668" s="180"/>
      <c r="H1668" s="248"/>
      <c r="I1668" s="188" t="s">
        <v>2154</v>
      </c>
      <c r="J1668" s="270" t="s">
        <v>1387</v>
      </c>
      <c r="K1668" s="214">
        <f t="shared" ref="K1668:K1673" si="35">11100*5%</f>
        <v>555</v>
      </c>
      <c r="L1668" s="179"/>
      <c r="M1668" s="185"/>
      <c r="AV1668" s="138"/>
      <c r="AW1668" s="138"/>
      <c r="AX1668" s="138"/>
      <c r="AY1668" s="138"/>
      <c r="AZ1668" s="138"/>
      <c r="BA1668" s="138"/>
      <c r="BB1668" s="138"/>
      <c r="BC1668" s="138"/>
      <c r="BD1668" s="138"/>
      <c r="BE1668" s="138"/>
      <c r="BF1668" s="138"/>
      <c r="BG1668" s="138"/>
      <c r="BH1668" s="138"/>
      <c r="BI1668" s="138"/>
      <c r="BJ1668" s="138"/>
      <c r="BK1668" s="138"/>
      <c r="BL1668" s="138"/>
      <c r="BM1668" s="138"/>
      <c r="BN1668" s="138"/>
      <c r="BO1668" s="138"/>
    </row>
    <row r="1669" spans="1:67" x14ac:dyDescent="0.2">
      <c r="A1669" s="177"/>
      <c r="B1669" s="178"/>
      <c r="C1669" s="179"/>
      <c r="D1669" s="180"/>
      <c r="E1669" s="180"/>
      <c r="F1669" s="180"/>
      <c r="G1669" s="180"/>
      <c r="H1669" s="248"/>
      <c r="I1669" s="188" t="s">
        <v>577</v>
      </c>
      <c r="J1669" s="270" t="s">
        <v>1387</v>
      </c>
      <c r="K1669" s="214">
        <f t="shared" si="35"/>
        <v>555</v>
      </c>
      <c r="L1669" s="179"/>
      <c r="M1669" s="185"/>
      <c r="AV1669" s="138"/>
      <c r="AW1669" s="138"/>
      <c r="AX1669" s="138"/>
      <c r="AY1669" s="138"/>
      <c r="AZ1669" s="138"/>
      <c r="BA1669" s="138"/>
      <c r="BB1669" s="138"/>
      <c r="BC1669" s="138"/>
      <c r="BD1669" s="138"/>
      <c r="BE1669" s="138"/>
      <c r="BF1669" s="138"/>
      <c r="BG1669" s="138"/>
      <c r="BH1669" s="138"/>
      <c r="BI1669" s="138"/>
      <c r="BJ1669" s="138"/>
      <c r="BK1669" s="138"/>
      <c r="BL1669" s="138"/>
      <c r="BM1669" s="138"/>
      <c r="BN1669" s="138"/>
      <c r="BO1669" s="138"/>
    </row>
    <row r="1670" spans="1:67" x14ac:dyDescent="0.2">
      <c r="A1670" s="177"/>
      <c r="B1670" s="178"/>
      <c r="C1670" s="179"/>
      <c r="D1670" s="180"/>
      <c r="E1670" s="180"/>
      <c r="F1670" s="180"/>
      <c r="G1670" s="180"/>
      <c r="H1670" s="248"/>
      <c r="I1670" s="188" t="s">
        <v>2155</v>
      </c>
      <c r="J1670" s="270" t="s">
        <v>1387</v>
      </c>
      <c r="K1670" s="214">
        <f t="shared" si="35"/>
        <v>555</v>
      </c>
      <c r="L1670" s="179"/>
      <c r="M1670" s="185"/>
      <c r="AV1670" s="138"/>
      <c r="AW1670" s="138"/>
      <c r="AX1670" s="138"/>
      <c r="AY1670" s="138"/>
      <c r="AZ1670" s="138"/>
      <c r="BA1670" s="138"/>
      <c r="BB1670" s="138"/>
      <c r="BC1670" s="138"/>
      <c r="BD1670" s="138"/>
      <c r="BE1670" s="138"/>
      <c r="BF1670" s="138"/>
      <c r="BG1670" s="138"/>
      <c r="BH1670" s="138"/>
      <c r="BI1670" s="138"/>
      <c r="BJ1670" s="138"/>
      <c r="BK1670" s="138"/>
      <c r="BL1670" s="138"/>
      <c r="BM1670" s="138"/>
      <c r="BN1670" s="138"/>
      <c r="BO1670" s="138"/>
    </row>
    <row r="1671" spans="1:67" x14ac:dyDescent="0.2">
      <c r="A1671" s="177"/>
      <c r="B1671" s="178"/>
      <c r="C1671" s="179"/>
      <c r="D1671" s="180"/>
      <c r="E1671" s="180"/>
      <c r="F1671" s="180"/>
      <c r="G1671" s="180"/>
      <c r="H1671" s="248"/>
      <c r="I1671" s="188" t="s">
        <v>2156</v>
      </c>
      <c r="J1671" s="270" t="s">
        <v>1387</v>
      </c>
      <c r="K1671" s="214">
        <f t="shared" si="35"/>
        <v>555</v>
      </c>
      <c r="L1671" s="179"/>
      <c r="M1671" s="185"/>
      <c r="AV1671" s="138"/>
      <c r="AW1671" s="138"/>
      <c r="AX1671" s="138"/>
      <c r="AY1671" s="138"/>
      <c r="AZ1671" s="138"/>
      <c r="BA1671" s="138"/>
      <c r="BB1671" s="138"/>
      <c r="BC1671" s="138"/>
      <c r="BD1671" s="138"/>
      <c r="BE1671" s="138"/>
      <c r="BF1671" s="138"/>
      <c r="BG1671" s="138"/>
      <c r="BH1671" s="138"/>
      <c r="BI1671" s="138"/>
      <c r="BJ1671" s="138"/>
      <c r="BK1671" s="138"/>
      <c r="BL1671" s="138"/>
      <c r="BM1671" s="138"/>
      <c r="BN1671" s="138"/>
      <c r="BO1671" s="138"/>
    </row>
    <row r="1672" spans="1:67" x14ac:dyDescent="0.2">
      <c r="A1672" s="177"/>
      <c r="B1672" s="178"/>
      <c r="C1672" s="179"/>
      <c r="D1672" s="180"/>
      <c r="E1672" s="180"/>
      <c r="F1672" s="180"/>
      <c r="G1672" s="180"/>
      <c r="H1672" s="248"/>
      <c r="I1672" s="188" t="s">
        <v>2157</v>
      </c>
      <c r="J1672" s="270" t="s">
        <v>1387</v>
      </c>
      <c r="K1672" s="214">
        <f t="shared" si="35"/>
        <v>555</v>
      </c>
      <c r="L1672" s="179"/>
      <c r="M1672" s="185"/>
      <c r="AV1672" s="138"/>
      <c r="AW1672" s="138"/>
      <c r="AX1672" s="138"/>
      <c r="AY1672" s="138"/>
      <c r="AZ1672" s="138"/>
      <c r="BA1672" s="138"/>
      <c r="BB1672" s="138"/>
      <c r="BC1672" s="138"/>
      <c r="BD1672" s="138"/>
      <c r="BE1672" s="138"/>
      <c r="BF1672" s="138"/>
      <c r="BG1672" s="138"/>
      <c r="BH1672" s="138"/>
      <c r="BI1672" s="138"/>
      <c r="BJ1672" s="138"/>
      <c r="BK1672" s="138"/>
      <c r="BL1672" s="138"/>
      <c r="BM1672" s="138"/>
      <c r="BN1672" s="138"/>
      <c r="BO1672" s="138"/>
    </row>
    <row r="1673" spans="1:67" x14ac:dyDescent="0.2">
      <c r="A1673" s="177"/>
      <c r="B1673" s="178"/>
      <c r="C1673" s="179"/>
      <c r="D1673" s="180"/>
      <c r="E1673" s="180"/>
      <c r="F1673" s="180"/>
      <c r="G1673" s="180"/>
      <c r="H1673" s="248"/>
      <c r="I1673" s="188" t="s">
        <v>2158</v>
      </c>
      <c r="J1673" s="270" t="s">
        <v>1387</v>
      </c>
      <c r="K1673" s="214">
        <f t="shared" si="35"/>
        <v>555</v>
      </c>
      <c r="L1673" s="179"/>
      <c r="M1673" s="185"/>
      <c r="AV1673" s="138"/>
      <c r="AW1673" s="138"/>
      <c r="AX1673" s="138"/>
      <c r="AY1673" s="138"/>
      <c r="AZ1673" s="138"/>
      <c r="BA1673" s="138"/>
      <c r="BB1673" s="138"/>
      <c r="BC1673" s="138"/>
      <c r="BD1673" s="138"/>
      <c r="BE1673" s="138"/>
      <c r="BF1673" s="138"/>
      <c r="BG1673" s="138"/>
      <c r="BH1673" s="138"/>
      <c r="BI1673" s="138"/>
      <c r="BJ1673" s="138"/>
      <c r="BK1673" s="138"/>
      <c r="BL1673" s="138"/>
      <c r="BM1673" s="138"/>
      <c r="BN1673" s="138"/>
      <c r="BO1673" s="138"/>
    </row>
    <row r="1674" spans="1:67" x14ac:dyDescent="0.2">
      <c r="A1674" s="189"/>
      <c r="B1674" s="190"/>
      <c r="C1674" s="191"/>
      <c r="D1674" s="192"/>
      <c r="E1674" s="192"/>
      <c r="F1674" s="192"/>
      <c r="G1674" s="192"/>
      <c r="H1674" s="249"/>
      <c r="I1674" s="203"/>
      <c r="J1674" s="273"/>
      <c r="K1674" s="245">
        <f>SUM(K1667:K1673)</f>
        <v>11100</v>
      </c>
      <c r="L1674" s="191"/>
      <c r="M1674" s="197"/>
      <c r="AV1674" s="138"/>
      <c r="AW1674" s="138"/>
      <c r="AX1674" s="138"/>
      <c r="AY1674" s="138"/>
      <c r="AZ1674" s="138"/>
      <c r="BA1674" s="138"/>
      <c r="BB1674" s="138"/>
      <c r="BC1674" s="138"/>
      <c r="BD1674" s="138"/>
      <c r="BE1674" s="138"/>
      <c r="BF1674" s="138"/>
      <c r="BG1674" s="138"/>
      <c r="BH1674" s="138"/>
      <c r="BI1674" s="138"/>
      <c r="BJ1674" s="138"/>
      <c r="BK1674" s="138"/>
      <c r="BL1674" s="138"/>
      <c r="BM1674" s="138"/>
      <c r="BN1674" s="138"/>
      <c r="BO1674" s="138"/>
    </row>
    <row r="1675" spans="1:67" x14ac:dyDescent="0.2">
      <c r="A1675" s="167">
        <v>400</v>
      </c>
      <c r="B1675" s="168" t="s">
        <v>2159</v>
      </c>
      <c r="C1675" s="169"/>
      <c r="D1675" s="170" t="s">
        <v>107</v>
      </c>
      <c r="E1675" s="170"/>
      <c r="F1675" s="170"/>
      <c r="G1675" s="170"/>
      <c r="H1675" s="246"/>
      <c r="I1675" s="274" t="s">
        <v>2160</v>
      </c>
      <c r="J1675" s="275" t="s">
        <v>1387</v>
      </c>
      <c r="K1675" s="276">
        <f>3600*70%</f>
        <v>2520</v>
      </c>
      <c r="L1675" s="169" t="s">
        <v>111</v>
      </c>
      <c r="M1675" s="175" t="s">
        <v>2161</v>
      </c>
      <c r="AV1675" s="138"/>
      <c r="AW1675" s="138"/>
      <c r="AX1675" s="138"/>
      <c r="AY1675" s="138"/>
      <c r="AZ1675" s="138"/>
      <c r="BA1675" s="138"/>
      <c r="BB1675" s="138"/>
      <c r="BC1675" s="138"/>
      <c r="BD1675" s="138"/>
      <c r="BE1675" s="138"/>
      <c r="BF1675" s="138"/>
      <c r="BG1675" s="138"/>
      <c r="BH1675" s="138"/>
      <c r="BI1675" s="138"/>
      <c r="BJ1675" s="138"/>
      <c r="BK1675" s="138"/>
      <c r="BL1675" s="138"/>
      <c r="BM1675" s="138"/>
      <c r="BN1675" s="138"/>
      <c r="BO1675" s="138"/>
    </row>
    <row r="1676" spans="1:67" x14ac:dyDescent="0.2">
      <c r="A1676" s="177"/>
      <c r="B1676" s="178"/>
      <c r="C1676" s="179"/>
      <c r="D1676" s="180"/>
      <c r="E1676" s="180"/>
      <c r="F1676" s="180"/>
      <c r="G1676" s="180"/>
      <c r="H1676" s="248"/>
      <c r="I1676" s="188" t="s">
        <v>2162</v>
      </c>
      <c r="J1676" s="270" t="s">
        <v>752</v>
      </c>
      <c r="K1676" s="214">
        <f>3600*10%</f>
        <v>360</v>
      </c>
      <c r="L1676" s="179"/>
      <c r="M1676" s="185"/>
      <c r="N1676" s="176"/>
      <c r="AV1676" s="138"/>
      <c r="AW1676" s="138"/>
      <c r="AX1676" s="138"/>
      <c r="AY1676" s="138"/>
      <c r="AZ1676" s="138"/>
      <c r="BA1676" s="138"/>
      <c r="BB1676" s="138"/>
      <c r="BC1676" s="138"/>
      <c r="BD1676" s="138"/>
      <c r="BE1676" s="138"/>
      <c r="BF1676" s="138"/>
      <c r="BG1676" s="138"/>
      <c r="BH1676" s="138"/>
      <c r="BI1676" s="138"/>
      <c r="BJ1676" s="138"/>
      <c r="BK1676" s="138"/>
      <c r="BL1676" s="138"/>
      <c r="BM1676" s="138"/>
      <c r="BN1676" s="138"/>
      <c r="BO1676" s="138"/>
    </row>
    <row r="1677" spans="1:67" ht="48" x14ac:dyDescent="0.2">
      <c r="A1677" s="177"/>
      <c r="B1677" s="178"/>
      <c r="C1677" s="179"/>
      <c r="D1677" s="180"/>
      <c r="E1677" s="180"/>
      <c r="F1677" s="180"/>
      <c r="G1677" s="180"/>
      <c r="H1677" s="248"/>
      <c r="I1677" s="188" t="s">
        <v>2163</v>
      </c>
      <c r="J1677" s="270" t="s">
        <v>655</v>
      </c>
      <c r="K1677" s="214">
        <f>3600*5%</f>
        <v>180</v>
      </c>
      <c r="L1677" s="179"/>
      <c r="M1677" s="185"/>
      <c r="AV1677" s="138"/>
      <c r="AW1677" s="138"/>
      <c r="AX1677" s="138"/>
      <c r="AY1677" s="138"/>
      <c r="AZ1677" s="138"/>
      <c r="BA1677" s="138"/>
      <c r="BB1677" s="138"/>
      <c r="BC1677" s="138"/>
      <c r="BD1677" s="138"/>
      <c r="BE1677" s="138"/>
      <c r="BF1677" s="138"/>
      <c r="BG1677" s="138"/>
      <c r="BH1677" s="138"/>
      <c r="BI1677" s="138"/>
      <c r="BJ1677" s="138"/>
      <c r="BK1677" s="138"/>
      <c r="BL1677" s="138"/>
      <c r="BM1677" s="138"/>
      <c r="BN1677" s="138"/>
      <c r="BO1677" s="138"/>
    </row>
    <row r="1678" spans="1:67" x14ac:dyDescent="0.2">
      <c r="A1678" s="177"/>
      <c r="B1678" s="178"/>
      <c r="C1678" s="179"/>
      <c r="D1678" s="180"/>
      <c r="E1678" s="180"/>
      <c r="F1678" s="180"/>
      <c r="G1678" s="180"/>
      <c r="H1678" s="248"/>
      <c r="I1678" s="188" t="s">
        <v>2164</v>
      </c>
      <c r="J1678" s="270" t="s">
        <v>190</v>
      </c>
      <c r="K1678" s="214">
        <f>3600*5%</f>
        <v>180</v>
      </c>
      <c r="L1678" s="179"/>
      <c r="M1678" s="185"/>
      <c r="AV1678" s="138"/>
      <c r="AW1678" s="138"/>
      <c r="AX1678" s="138"/>
      <c r="AY1678" s="138"/>
      <c r="AZ1678" s="138"/>
      <c r="BA1678" s="138"/>
      <c r="BB1678" s="138"/>
      <c r="BC1678" s="138"/>
      <c r="BD1678" s="138"/>
      <c r="BE1678" s="138"/>
      <c r="BF1678" s="138"/>
      <c r="BG1678" s="138"/>
      <c r="BH1678" s="138"/>
      <c r="BI1678" s="138"/>
      <c r="BJ1678" s="138"/>
      <c r="BK1678" s="138"/>
      <c r="BL1678" s="138"/>
      <c r="BM1678" s="138"/>
      <c r="BN1678" s="138"/>
      <c r="BO1678" s="138"/>
    </row>
    <row r="1679" spans="1:67" ht="48" x14ac:dyDescent="0.2">
      <c r="A1679" s="177"/>
      <c r="B1679" s="178"/>
      <c r="C1679" s="179"/>
      <c r="D1679" s="180"/>
      <c r="E1679" s="180"/>
      <c r="F1679" s="180"/>
      <c r="G1679" s="180"/>
      <c r="H1679" s="248"/>
      <c r="I1679" s="188" t="s">
        <v>2165</v>
      </c>
      <c r="J1679" s="270" t="s">
        <v>1387</v>
      </c>
      <c r="K1679" s="214">
        <f>3600*5%</f>
        <v>180</v>
      </c>
      <c r="L1679" s="179"/>
      <c r="M1679" s="185"/>
      <c r="AV1679" s="138"/>
      <c r="AW1679" s="138"/>
      <c r="AX1679" s="138"/>
      <c r="AY1679" s="138"/>
      <c r="AZ1679" s="138"/>
      <c r="BA1679" s="138"/>
      <c r="BB1679" s="138"/>
      <c r="BC1679" s="138"/>
      <c r="BD1679" s="138"/>
      <c r="BE1679" s="138"/>
      <c r="BF1679" s="138"/>
      <c r="BG1679" s="138"/>
      <c r="BH1679" s="138"/>
      <c r="BI1679" s="138"/>
      <c r="BJ1679" s="138"/>
      <c r="BK1679" s="138"/>
      <c r="BL1679" s="138"/>
      <c r="BM1679" s="138"/>
      <c r="BN1679" s="138"/>
      <c r="BO1679" s="138"/>
    </row>
    <row r="1680" spans="1:67" x14ac:dyDescent="0.2">
      <c r="A1680" s="177"/>
      <c r="B1680" s="178"/>
      <c r="C1680" s="179"/>
      <c r="D1680" s="180"/>
      <c r="E1680" s="180"/>
      <c r="F1680" s="180"/>
      <c r="G1680" s="180"/>
      <c r="H1680" s="248"/>
      <c r="I1680" s="188" t="s">
        <v>2166</v>
      </c>
      <c r="J1680" s="270" t="s">
        <v>2167</v>
      </c>
      <c r="K1680" s="214">
        <f>3600*5%</f>
        <v>180</v>
      </c>
      <c r="L1680" s="179"/>
      <c r="M1680" s="185"/>
      <c r="AV1680" s="138"/>
      <c r="AW1680" s="138"/>
      <c r="AX1680" s="138"/>
      <c r="AY1680" s="138"/>
      <c r="AZ1680" s="138"/>
      <c r="BA1680" s="138"/>
      <c r="BB1680" s="138"/>
      <c r="BC1680" s="138"/>
      <c r="BD1680" s="138"/>
      <c r="BE1680" s="138"/>
      <c r="BF1680" s="138"/>
      <c r="BG1680" s="138"/>
      <c r="BH1680" s="138"/>
      <c r="BI1680" s="138"/>
      <c r="BJ1680" s="138"/>
      <c r="BK1680" s="138"/>
      <c r="BL1680" s="138"/>
      <c r="BM1680" s="138"/>
      <c r="BN1680" s="138"/>
      <c r="BO1680" s="138"/>
    </row>
    <row r="1681" spans="1:67" x14ac:dyDescent="0.2">
      <c r="A1681" s="189"/>
      <c r="B1681" s="190"/>
      <c r="C1681" s="191"/>
      <c r="D1681" s="192"/>
      <c r="E1681" s="192"/>
      <c r="F1681" s="192"/>
      <c r="G1681" s="192"/>
      <c r="H1681" s="249"/>
      <c r="I1681" s="181"/>
      <c r="J1681" s="305"/>
      <c r="K1681" s="199">
        <f>SUM(K1675:K1680)</f>
        <v>3600</v>
      </c>
      <c r="L1681" s="191"/>
      <c r="M1681" s="197"/>
      <c r="AV1681" s="138"/>
      <c r="AW1681" s="138"/>
      <c r="AX1681" s="138"/>
      <c r="AY1681" s="138"/>
      <c r="AZ1681" s="138"/>
      <c r="BA1681" s="138"/>
      <c r="BB1681" s="138"/>
      <c r="BC1681" s="138"/>
      <c r="BD1681" s="138"/>
      <c r="BE1681" s="138"/>
      <c r="BF1681" s="138"/>
      <c r="BG1681" s="138"/>
      <c r="BH1681" s="138"/>
      <c r="BI1681" s="138"/>
      <c r="BJ1681" s="138"/>
      <c r="BK1681" s="138"/>
      <c r="BL1681" s="138"/>
      <c r="BM1681" s="138"/>
      <c r="BN1681" s="138"/>
      <c r="BO1681" s="138"/>
    </row>
    <row r="1682" spans="1:67" x14ac:dyDescent="0.2">
      <c r="A1682" s="167">
        <v>401</v>
      </c>
      <c r="B1682" s="168" t="s">
        <v>2168</v>
      </c>
      <c r="C1682" s="169"/>
      <c r="D1682" s="170" t="s">
        <v>107</v>
      </c>
      <c r="E1682" s="170"/>
      <c r="F1682" s="170"/>
      <c r="G1682" s="170"/>
      <c r="H1682" s="246"/>
      <c r="I1682" s="217" t="s">
        <v>2169</v>
      </c>
      <c r="J1682" s="265" t="s">
        <v>1387</v>
      </c>
      <c r="K1682" s="266">
        <f>9000*90%</f>
        <v>8100</v>
      </c>
      <c r="L1682" s="169" t="s">
        <v>111</v>
      </c>
      <c r="M1682" s="175" t="s">
        <v>2170</v>
      </c>
      <c r="AV1682" s="138"/>
      <c r="AW1682" s="138"/>
      <c r="AX1682" s="138"/>
      <c r="AY1682" s="138"/>
      <c r="AZ1682" s="138"/>
      <c r="BA1682" s="138"/>
      <c r="BB1682" s="138"/>
      <c r="BC1682" s="138"/>
      <c r="BD1682" s="138"/>
      <c r="BE1682" s="138"/>
      <c r="BF1682" s="138"/>
      <c r="BG1682" s="138"/>
      <c r="BH1682" s="138"/>
      <c r="BI1682" s="138"/>
      <c r="BJ1682" s="138"/>
      <c r="BK1682" s="138"/>
      <c r="BL1682" s="138"/>
      <c r="BM1682" s="138"/>
      <c r="BN1682" s="138"/>
      <c r="BO1682" s="138"/>
    </row>
    <row r="1683" spans="1:67" x14ac:dyDescent="0.2">
      <c r="A1683" s="177"/>
      <c r="B1683" s="178"/>
      <c r="C1683" s="179"/>
      <c r="D1683" s="180"/>
      <c r="E1683" s="180"/>
      <c r="F1683" s="180"/>
      <c r="G1683" s="180"/>
      <c r="H1683" s="248"/>
      <c r="I1683" s="188" t="s">
        <v>2162</v>
      </c>
      <c r="J1683" s="270" t="s">
        <v>752</v>
      </c>
      <c r="K1683" s="214">
        <f>9000*10%</f>
        <v>900</v>
      </c>
      <c r="L1683" s="179"/>
      <c r="M1683" s="185"/>
      <c r="AV1683" s="138"/>
      <c r="AW1683" s="138"/>
      <c r="AX1683" s="138"/>
      <c r="AY1683" s="138"/>
      <c r="AZ1683" s="138"/>
      <c r="BA1683" s="138"/>
      <c r="BB1683" s="138"/>
      <c r="BC1683" s="138"/>
      <c r="BD1683" s="138"/>
      <c r="BE1683" s="138"/>
      <c r="BF1683" s="138"/>
      <c r="BG1683" s="138"/>
      <c r="BH1683" s="138"/>
      <c r="BI1683" s="138"/>
      <c r="BJ1683" s="138"/>
      <c r="BK1683" s="138"/>
      <c r="BL1683" s="138"/>
      <c r="BM1683" s="138"/>
      <c r="BN1683" s="138"/>
      <c r="BO1683" s="138"/>
    </row>
    <row r="1684" spans="1:67" x14ac:dyDescent="0.2">
      <c r="A1684" s="189"/>
      <c r="B1684" s="190"/>
      <c r="C1684" s="191"/>
      <c r="D1684" s="192"/>
      <c r="E1684" s="192"/>
      <c r="F1684" s="192"/>
      <c r="G1684" s="192"/>
      <c r="H1684" s="249"/>
      <c r="I1684" s="203"/>
      <c r="J1684" s="273"/>
      <c r="K1684" s="245">
        <f>SUM(K1682:K1683)</f>
        <v>9000</v>
      </c>
      <c r="L1684" s="191"/>
      <c r="M1684" s="197"/>
      <c r="AV1684" s="138"/>
      <c r="AW1684" s="138"/>
      <c r="AX1684" s="138"/>
      <c r="AY1684" s="138"/>
      <c r="AZ1684" s="138"/>
      <c r="BA1684" s="138"/>
      <c r="BB1684" s="138"/>
      <c r="BC1684" s="138"/>
      <c r="BD1684" s="138"/>
      <c r="BE1684" s="138"/>
      <c r="BF1684" s="138"/>
      <c r="BG1684" s="138"/>
      <c r="BH1684" s="138"/>
      <c r="BI1684" s="138"/>
      <c r="BJ1684" s="138"/>
      <c r="BK1684" s="138"/>
      <c r="BL1684" s="138"/>
      <c r="BM1684" s="138"/>
      <c r="BN1684" s="138"/>
      <c r="BO1684" s="138"/>
    </row>
    <row r="1685" spans="1:67" ht="48" x14ac:dyDescent="0.2">
      <c r="A1685" s="167">
        <v>402</v>
      </c>
      <c r="B1685" s="168" t="s">
        <v>2171</v>
      </c>
      <c r="C1685" s="169"/>
      <c r="D1685" s="170" t="s">
        <v>107</v>
      </c>
      <c r="E1685" s="170"/>
      <c r="F1685" s="170"/>
      <c r="G1685" s="170"/>
      <c r="H1685" s="246"/>
      <c r="I1685" s="274" t="s">
        <v>2172</v>
      </c>
      <c r="J1685" s="275" t="s">
        <v>1387</v>
      </c>
      <c r="K1685" s="276">
        <f>6000*70%</f>
        <v>4200</v>
      </c>
      <c r="L1685" s="169" t="s">
        <v>111</v>
      </c>
      <c r="M1685" s="175" t="s">
        <v>2173</v>
      </c>
      <c r="AV1685" s="138"/>
      <c r="AW1685" s="138"/>
      <c r="AX1685" s="138"/>
      <c r="AY1685" s="138"/>
      <c r="AZ1685" s="138"/>
      <c r="BA1685" s="138"/>
      <c r="BB1685" s="138"/>
      <c r="BC1685" s="138"/>
      <c r="BD1685" s="138"/>
      <c r="BE1685" s="138"/>
      <c r="BF1685" s="138"/>
      <c r="BG1685" s="138"/>
      <c r="BH1685" s="138"/>
      <c r="BI1685" s="138"/>
      <c r="BJ1685" s="138"/>
      <c r="BK1685" s="138"/>
      <c r="BL1685" s="138"/>
      <c r="BM1685" s="138"/>
      <c r="BN1685" s="138"/>
      <c r="BO1685" s="138"/>
    </row>
    <row r="1686" spans="1:67" x14ac:dyDescent="0.2">
      <c r="A1686" s="177"/>
      <c r="B1686" s="178"/>
      <c r="C1686" s="179"/>
      <c r="D1686" s="180"/>
      <c r="E1686" s="180"/>
      <c r="F1686" s="180"/>
      <c r="G1686" s="180"/>
      <c r="H1686" s="248"/>
      <c r="I1686" s="188" t="s">
        <v>2174</v>
      </c>
      <c r="J1686" s="270" t="s">
        <v>1387</v>
      </c>
      <c r="K1686" s="214">
        <f>6000*30%</f>
        <v>1800</v>
      </c>
      <c r="L1686" s="179"/>
      <c r="M1686" s="185"/>
      <c r="AV1686" s="138"/>
      <c r="AW1686" s="138"/>
      <c r="AX1686" s="138"/>
      <c r="AY1686" s="138"/>
      <c r="AZ1686" s="138"/>
      <c r="BA1686" s="138"/>
      <c r="BB1686" s="138"/>
      <c r="BC1686" s="138"/>
      <c r="BD1686" s="138"/>
      <c r="BE1686" s="138"/>
      <c r="BF1686" s="138"/>
      <c r="BG1686" s="138"/>
      <c r="BH1686" s="138"/>
      <c r="BI1686" s="138"/>
      <c r="BJ1686" s="138"/>
      <c r="BK1686" s="138"/>
      <c r="BL1686" s="138"/>
      <c r="BM1686" s="138"/>
      <c r="BN1686" s="138"/>
      <c r="BO1686" s="138"/>
    </row>
    <row r="1687" spans="1:67" x14ac:dyDescent="0.2">
      <c r="A1687" s="189"/>
      <c r="B1687" s="190"/>
      <c r="C1687" s="191"/>
      <c r="D1687" s="192"/>
      <c r="E1687" s="192"/>
      <c r="F1687" s="192"/>
      <c r="G1687" s="192"/>
      <c r="H1687" s="249"/>
      <c r="I1687" s="181"/>
      <c r="J1687" s="305"/>
      <c r="K1687" s="199">
        <f>SUM(K1685:K1686)</f>
        <v>6000</v>
      </c>
      <c r="L1687" s="191"/>
      <c r="M1687" s="197"/>
      <c r="AV1687" s="138"/>
      <c r="AW1687" s="138"/>
      <c r="AX1687" s="138"/>
      <c r="AY1687" s="138"/>
      <c r="AZ1687" s="138"/>
      <c r="BA1687" s="138"/>
      <c r="BB1687" s="138"/>
      <c r="BC1687" s="138"/>
      <c r="BD1687" s="138"/>
      <c r="BE1687" s="138"/>
      <c r="BF1687" s="138"/>
      <c r="BG1687" s="138"/>
      <c r="BH1687" s="138"/>
      <c r="BI1687" s="138"/>
      <c r="BJ1687" s="138"/>
      <c r="BK1687" s="138"/>
      <c r="BL1687" s="138"/>
      <c r="BM1687" s="138"/>
      <c r="BN1687" s="138"/>
      <c r="BO1687" s="138"/>
    </row>
    <row r="1688" spans="1:67" ht="48" x14ac:dyDescent="0.2">
      <c r="A1688" s="167">
        <v>403</v>
      </c>
      <c r="B1688" s="168" t="s">
        <v>2175</v>
      </c>
      <c r="C1688" s="169"/>
      <c r="D1688" s="170" t="s">
        <v>107</v>
      </c>
      <c r="E1688" s="170"/>
      <c r="F1688" s="170"/>
      <c r="G1688" s="170"/>
      <c r="H1688" s="246" t="s">
        <v>108</v>
      </c>
      <c r="I1688" s="217" t="s">
        <v>2176</v>
      </c>
      <c r="J1688" s="265" t="s">
        <v>1387</v>
      </c>
      <c r="K1688" s="266">
        <f>13500*50%</f>
        <v>6750</v>
      </c>
      <c r="L1688" s="169" t="s">
        <v>111</v>
      </c>
      <c r="M1688" s="175" t="s">
        <v>2177</v>
      </c>
      <c r="AV1688" s="138"/>
      <c r="AW1688" s="138"/>
      <c r="AX1688" s="138"/>
      <c r="AY1688" s="138"/>
      <c r="AZ1688" s="138"/>
      <c r="BA1688" s="138"/>
      <c r="BB1688" s="138"/>
      <c r="BC1688" s="138"/>
      <c r="BD1688" s="138"/>
      <c r="BE1688" s="138"/>
      <c r="BF1688" s="138"/>
      <c r="BG1688" s="138"/>
      <c r="BH1688" s="138"/>
      <c r="BI1688" s="138"/>
      <c r="BJ1688" s="138"/>
      <c r="BK1688" s="138"/>
      <c r="BL1688" s="138"/>
      <c r="BM1688" s="138"/>
      <c r="BN1688" s="138"/>
      <c r="BO1688" s="138"/>
    </row>
    <row r="1689" spans="1:67" x14ac:dyDescent="0.2">
      <c r="A1689" s="177"/>
      <c r="B1689" s="178"/>
      <c r="C1689" s="179"/>
      <c r="D1689" s="180"/>
      <c r="E1689" s="180"/>
      <c r="F1689" s="180"/>
      <c r="G1689" s="180"/>
      <c r="H1689" s="248"/>
      <c r="I1689" s="188" t="s">
        <v>2075</v>
      </c>
      <c r="J1689" s="270" t="s">
        <v>1387</v>
      </c>
      <c r="K1689" s="214">
        <f>13500*20%</f>
        <v>2700</v>
      </c>
      <c r="L1689" s="179"/>
      <c r="M1689" s="185"/>
      <c r="AV1689" s="138"/>
      <c r="AW1689" s="138"/>
      <c r="AX1689" s="138"/>
      <c r="AY1689" s="138"/>
      <c r="AZ1689" s="138"/>
      <c r="BA1689" s="138"/>
      <c r="BB1689" s="138"/>
      <c r="BC1689" s="138"/>
      <c r="BD1689" s="138"/>
      <c r="BE1689" s="138"/>
      <c r="BF1689" s="138"/>
      <c r="BG1689" s="138"/>
      <c r="BH1689" s="138"/>
      <c r="BI1689" s="138"/>
      <c r="BJ1689" s="138"/>
      <c r="BK1689" s="138"/>
      <c r="BL1689" s="138"/>
      <c r="BM1689" s="138"/>
      <c r="BN1689" s="138"/>
      <c r="BO1689" s="138"/>
    </row>
    <row r="1690" spans="1:67" x14ac:dyDescent="0.2">
      <c r="A1690" s="177"/>
      <c r="B1690" s="178"/>
      <c r="C1690" s="179"/>
      <c r="D1690" s="180"/>
      <c r="E1690" s="180"/>
      <c r="F1690" s="180"/>
      <c r="G1690" s="180"/>
      <c r="H1690" s="248"/>
      <c r="I1690" s="188" t="s">
        <v>2178</v>
      </c>
      <c r="J1690" s="270" t="s">
        <v>1246</v>
      </c>
      <c r="K1690" s="214">
        <f>13500*20%</f>
        <v>2700</v>
      </c>
      <c r="L1690" s="179"/>
      <c r="M1690" s="185"/>
      <c r="AV1690" s="138"/>
      <c r="AW1690" s="138"/>
      <c r="AX1690" s="138"/>
      <c r="AY1690" s="138"/>
      <c r="AZ1690" s="138"/>
      <c r="BA1690" s="138"/>
      <c r="BB1690" s="138"/>
      <c r="BC1690" s="138"/>
      <c r="BD1690" s="138"/>
      <c r="BE1690" s="138"/>
      <c r="BF1690" s="138"/>
      <c r="BG1690" s="138"/>
      <c r="BH1690" s="138"/>
      <c r="BI1690" s="138"/>
      <c r="BJ1690" s="138"/>
      <c r="BK1690" s="138"/>
      <c r="BL1690" s="138"/>
      <c r="BM1690" s="138"/>
      <c r="BN1690" s="138"/>
      <c r="BO1690" s="138"/>
    </row>
    <row r="1691" spans="1:67" x14ac:dyDescent="0.2">
      <c r="A1691" s="177"/>
      <c r="B1691" s="178"/>
      <c r="C1691" s="179"/>
      <c r="D1691" s="180"/>
      <c r="E1691" s="180"/>
      <c r="F1691" s="180"/>
      <c r="G1691" s="180"/>
      <c r="H1691" s="248"/>
      <c r="I1691" s="188" t="s">
        <v>2179</v>
      </c>
      <c r="J1691" s="270" t="s">
        <v>1387</v>
      </c>
      <c r="K1691" s="214">
        <f>13500*10%</f>
        <v>1350</v>
      </c>
      <c r="L1691" s="179"/>
      <c r="M1691" s="185"/>
      <c r="AV1691" s="138"/>
      <c r="AW1691" s="138"/>
      <c r="AX1691" s="138"/>
      <c r="AY1691" s="138"/>
      <c r="AZ1691" s="138"/>
      <c r="BA1691" s="138"/>
      <c r="BB1691" s="138"/>
      <c r="BC1691" s="138"/>
      <c r="BD1691" s="138"/>
      <c r="BE1691" s="138"/>
      <c r="BF1691" s="138"/>
      <c r="BG1691" s="138"/>
      <c r="BH1691" s="138"/>
      <c r="BI1691" s="138"/>
      <c r="BJ1691" s="138"/>
      <c r="BK1691" s="138"/>
      <c r="BL1691" s="138"/>
      <c r="BM1691" s="138"/>
      <c r="BN1691" s="138"/>
      <c r="BO1691" s="138"/>
    </row>
    <row r="1692" spans="1:67" x14ac:dyDescent="0.2">
      <c r="A1692" s="189"/>
      <c r="B1692" s="190"/>
      <c r="C1692" s="191"/>
      <c r="D1692" s="192"/>
      <c r="E1692" s="192"/>
      <c r="F1692" s="192"/>
      <c r="G1692" s="192"/>
      <c r="H1692" s="249"/>
      <c r="I1692" s="203"/>
      <c r="J1692" s="273"/>
      <c r="K1692" s="245">
        <f>SUM(K1688:K1691)</f>
        <v>13500</v>
      </c>
      <c r="L1692" s="191"/>
      <c r="M1692" s="197"/>
      <c r="AV1692" s="138"/>
      <c r="AW1692" s="138"/>
      <c r="AX1692" s="138"/>
      <c r="AY1692" s="138"/>
      <c r="AZ1692" s="138"/>
      <c r="BA1692" s="138"/>
      <c r="BB1692" s="138"/>
      <c r="BC1692" s="138"/>
      <c r="BD1692" s="138"/>
      <c r="BE1692" s="138"/>
      <c r="BF1692" s="138"/>
      <c r="BG1692" s="138"/>
      <c r="BH1692" s="138"/>
      <c r="BI1692" s="138"/>
      <c r="BJ1692" s="138"/>
      <c r="BK1692" s="138"/>
      <c r="BL1692" s="138"/>
      <c r="BM1692" s="138"/>
      <c r="BN1692" s="138"/>
      <c r="BO1692" s="138"/>
    </row>
    <row r="1693" spans="1:67" x14ac:dyDescent="0.2">
      <c r="A1693" s="167">
        <v>404</v>
      </c>
      <c r="B1693" s="168" t="s">
        <v>2180</v>
      </c>
      <c r="C1693" s="169"/>
      <c r="D1693" s="170" t="s">
        <v>107</v>
      </c>
      <c r="E1693" s="170"/>
      <c r="F1693" s="170"/>
      <c r="G1693" s="170"/>
      <c r="H1693" s="246"/>
      <c r="I1693" s="217" t="s">
        <v>2181</v>
      </c>
      <c r="J1693" s="265" t="s">
        <v>1387</v>
      </c>
      <c r="K1693" s="266">
        <f>15000*70%</f>
        <v>10500</v>
      </c>
      <c r="L1693" s="169" t="s">
        <v>111</v>
      </c>
      <c r="M1693" s="175" t="s">
        <v>2182</v>
      </c>
      <c r="AV1693" s="138"/>
      <c r="AW1693" s="138"/>
      <c r="AX1693" s="138"/>
      <c r="AY1693" s="138"/>
      <c r="AZ1693" s="138"/>
      <c r="BA1693" s="138"/>
      <c r="BB1693" s="138"/>
      <c r="BC1693" s="138"/>
      <c r="BD1693" s="138"/>
      <c r="BE1693" s="138"/>
      <c r="BF1693" s="138"/>
      <c r="BG1693" s="138"/>
      <c r="BH1693" s="138"/>
      <c r="BI1693" s="138"/>
      <c r="BJ1693" s="138"/>
      <c r="BK1693" s="138"/>
      <c r="BL1693" s="138"/>
      <c r="BM1693" s="138"/>
      <c r="BN1693" s="138"/>
      <c r="BO1693" s="138"/>
    </row>
    <row r="1694" spans="1:67" x14ac:dyDescent="0.2">
      <c r="A1694" s="177"/>
      <c r="B1694" s="178"/>
      <c r="C1694" s="179"/>
      <c r="D1694" s="180"/>
      <c r="E1694" s="180"/>
      <c r="F1694" s="180"/>
      <c r="G1694" s="180"/>
      <c r="H1694" s="248"/>
      <c r="I1694" s="188" t="s">
        <v>577</v>
      </c>
      <c r="J1694" s="270" t="s">
        <v>1387</v>
      </c>
      <c r="K1694" s="214">
        <f t="shared" ref="K1694:K1699" si="36">15000*5%</f>
        <v>750</v>
      </c>
      <c r="L1694" s="179"/>
      <c r="M1694" s="185"/>
      <c r="AV1694" s="138"/>
      <c r="AW1694" s="138"/>
      <c r="AX1694" s="138"/>
      <c r="AY1694" s="138"/>
      <c r="AZ1694" s="138"/>
      <c r="BA1694" s="138"/>
      <c r="BB1694" s="138"/>
      <c r="BC1694" s="138"/>
      <c r="BD1694" s="138"/>
      <c r="BE1694" s="138"/>
      <c r="BF1694" s="138"/>
      <c r="BG1694" s="138"/>
      <c r="BH1694" s="138"/>
      <c r="BI1694" s="138"/>
      <c r="BJ1694" s="138"/>
      <c r="BK1694" s="138"/>
      <c r="BL1694" s="138"/>
      <c r="BM1694" s="138"/>
      <c r="BN1694" s="138"/>
      <c r="BO1694" s="138"/>
    </row>
    <row r="1695" spans="1:67" x14ac:dyDescent="0.2">
      <c r="A1695" s="177"/>
      <c r="B1695" s="178"/>
      <c r="C1695" s="179"/>
      <c r="D1695" s="180"/>
      <c r="E1695" s="180"/>
      <c r="F1695" s="180"/>
      <c r="G1695" s="180"/>
      <c r="H1695" s="248"/>
      <c r="I1695" s="188" t="s">
        <v>2155</v>
      </c>
      <c r="J1695" s="270" t="s">
        <v>1387</v>
      </c>
      <c r="K1695" s="214">
        <f t="shared" si="36"/>
        <v>750</v>
      </c>
      <c r="L1695" s="179"/>
      <c r="M1695" s="185"/>
      <c r="AV1695" s="138"/>
      <c r="AW1695" s="138"/>
      <c r="AX1695" s="138"/>
      <c r="AY1695" s="138"/>
      <c r="AZ1695" s="138"/>
      <c r="BA1695" s="138"/>
      <c r="BB1695" s="138"/>
      <c r="BC1695" s="138"/>
      <c r="BD1695" s="138"/>
      <c r="BE1695" s="138"/>
      <c r="BF1695" s="138"/>
      <c r="BG1695" s="138"/>
      <c r="BH1695" s="138"/>
      <c r="BI1695" s="138"/>
      <c r="BJ1695" s="138"/>
      <c r="BK1695" s="138"/>
      <c r="BL1695" s="138"/>
      <c r="BM1695" s="138"/>
      <c r="BN1695" s="138"/>
      <c r="BO1695" s="138"/>
    </row>
    <row r="1696" spans="1:67" x14ac:dyDescent="0.2">
      <c r="A1696" s="177"/>
      <c r="B1696" s="178"/>
      <c r="C1696" s="179"/>
      <c r="D1696" s="180"/>
      <c r="E1696" s="180"/>
      <c r="F1696" s="180"/>
      <c r="G1696" s="180"/>
      <c r="H1696" s="248"/>
      <c r="I1696" s="188" t="s">
        <v>2183</v>
      </c>
      <c r="J1696" s="270" t="s">
        <v>1387</v>
      </c>
      <c r="K1696" s="214">
        <f t="shared" si="36"/>
        <v>750</v>
      </c>
      <c r="L1696" s="179"/>
      <c r="M1696" s="185"/>
      <c r="AV1696" s="138"/>
      <c r="AW1696" s="138"/>
      <c r="AX1696" s="138"/>
      <c r="AY1696" s="138"/>
      <c r="AZ1696" s="138"/>
      <c r="BA1696" s="138"/>
      <c r="BB1696" s="138"/>
      <c r="BC1696" s="138"/>
      <c r="BD1696" s="138"/>
      <c r="BE1696" s="138"/>
      <c r="BF1696" s="138"/>
      <c r="BG1696" s="138"/>
      <c r="BH1696" s="138"/>
      <c r="BI1696" s="138"/>
      <c r="BJ1696" s="138"/>
      <c r="BK1696" s="138"/>
      <c r="BL1696" s="138"/>
      <c r="BM1696" s="138"/>
      <c r="BN1696" s="138"/>
      <c r="BO1696" s="138"/>
    </row>
    <row r="1697" spans="1:67" x14ac:dyDescent="0.2">
      <c r="A1697" s="177"/>
      <c r="B1697" s="178"/>
      <c r="C1697" s="179"/>
      <c r="D1697" s="180"/>
      <c r="E1697" s="180"/>
      <c r="F1697" s="180"/>
      <c r="G1697" s="180"/>
      <c r="H1697" s="248"/>
      <c r="I1697" s="188" t="s">
        <v>2158</v>
      </c>
      <c r="J1697" s="270" t="s">
        <v>1387</v>
      </c>
      <c r="K1697" s="214">
        <f t="shared" si="36"/>
        <v>750</v>
      </c>
      <c r="L1697" s="179"/>
      <c r="M1697" s="185"/>
      <c r="AV1697" s="138"/>
      <c r="AW1697" s="138"/>
      <c r="AX1697" s="138"/>
      <c r="AY1697" s="138"/>
      <c r="AZ1697" s="138"/>
      <c r="BA1697" s="138"/>
      <c r="BB1697" s="138"/>
      <c r="BC1697" s="138"/>
      <c r="BD1697" s="138"/>
      <c r="BE1697" s="138"/>
      <c r="BF1697" s="138"/>
      <c r="BG1697" s="138"/>
      <c r="BH1697" s="138"/>
      <c r="BI1697" s="138"/>
      <c r="BJ1697" s="138"/>
      <c r="BK1697" s="138"/>
      <c r="BL1697" s="138"/>
      <c r="BM1697" s="138"/>
      <c r="BN1697" s="138"/>
      <c r="BO1697" s="138"/>
    </row>
    <row r="1698" spans="1:67" x14ac:dyDescent="0.2">
      <c r="A1698" s="177"/>
      <c r="B1698" s="178"/>
      <c r="C1698" s="179"/>
      <c r="D1698" s="180"/>
      <c r="E1698" s="180"/>
      <c r="F1698" s="180"/>
      <c r="G1698" s="180"/>
      <c r="H1698" s="248"/>
      <c r="I1698" s="188" t="s">
        <v>2156</v>
      </c>
      <c r="J1698" s="270" t="s">
        <v>1387</v>
      </c>
      <c r="K1698" s="214">
        <f t="shared" si="36"/>
        <v>750</v>
      </c>
      <c r="L1698" s="179"/>
      <c r="M1698" s="185"/>
      <c r="AV1698" s="138"/>
      <c r="AW1698" s="138"/>
      <c r="AX1698" s="138"/>
      <c r="AY1698" s="138"/>
      <c r="AZ1698" s="138"/>
      <c r="BA1698" s="138"/>
      <c r="BB1698" s="138"/>
      <c r="BC1698" s="138"/>
      <c r="BD1698" s="138"/>
      <c r="BE1698" s="138"/>
      <c r="BF1698" s="138"/>
      <c r="BG1698" s="138"/>
      <c r="BH1698" s="138"/>
      <c r="BI1698" s="138"/>
      <c r="BJ1698" s="138"/>
      <c r="BK1698" s="138"/>
      <c r="BL1698" s="138"/>
      <c r="BM1698" s="138"/>
      <c r="BN1698" s="138"/>
      <c r="BO1698" s="138"/>
    </row>
    <row r="1699" spans="1:67" x14ac:dyDescent="0.2">
      <c r="A1699" s="177"/>
      <c r="B1699" s="178"/>
      <c r="C1699" s="179"/>
      <c r="D1699" s="180"/>
      <c r="E1699" s="180"/>
      <c r="F1699" s="180"/>
      <c r="G1699" s="180"/>
      <c r="H1699" s="248"/>
      <c r="I1699" s="188" t="s">
        <v>2157</v>
      </c>
      <c r="J1699" s="270" t="s">
        <v>1387</v>
      </c>
      <c r="K1699" s="214">
        <f t="shared" si="36"/>
        <v>750</v>
      </c>
      <c r="L1699" s="179"/>
      <c r="M1699" s="185"/>
      <c r="AV1699" s="138"/>
      <c r="AW1699" s="138"/>
      <c r="AX1699" s="138"/>
      <c r="AY1699" s="138"/>
      <c r="AZ1699" s="138"/>
      <c r="BA1699" s="138"/>
      <c r="BB1699" s="138"/>
      <c r="BC1699" s="138"/>
      <c r="BD1699" s="138"/>
      <c r="BE1699" s="138"/>
      <c r="BF1699" s="138"/>
      <c r="BG1699" s="138"/>
      <c r="BH1699" s="138"/>
      <c r="BI1699" s="138"/>
      <c r="BJ1699" s="138"/>
      <c r="BK1699" s="138"/>
      <c r="BL1699" s="138"/>
      <c r="BM1699" s="138"/>
      <c r="BN1699" s="138"/>
      <c r="BO1699" s="138"/>
    </row>
    <row r="1700" spans="1:67" x14ac:dyDescent="0.2">
      <c r="A1700" s="189"/>
      <c r="B1700" s="190"/>
      <c r="C1700" s="191"/>
      <c r="D1700" s="192"/>
      <c r="E1700" s="192"/>
      <c r="F1700" s="192"/>
      <c r="G1700" s="192"/>
      <c r="H1700" s="249"/>
      <c r="I1700" s="203"/>
      <c r="J1700" s="273"/>
      <c r="K1700" s="245">
        <f>SUM(K1693:K1699)</f>
        <v>15000</v>
      </c>
      <c r="L1700" s="191"/>
      <c r="M1700" s="197"/>
      <c r="AV1700" s="138"/>
      <c r="AW1700" s="138"/>
      <c r="AX1700" s="138"/>
      <c r="AY1700" s="138"/>
      <c r="AZ1700" s="138"/>
      <c r="BA1700" s="138"/>
      <c r="BB1700" s="138"/>
      <c r="BC1700" s="138"/>
      <c r="BD1700" s="138"/>
      <c r="BE1700" s="138"/>
      <c r="BF1700" s="138"/>
      <c r="BG1700" s="138"/>
      <c r="BH1700" s="138"/>
      <c r="BI1700" s="138"/>
      <c r="BJ1700" s="138"/>
      <c r="BK1700" s="138"/>
      <c r="BL1700" s="138"/>
      <c r="BM1700" s="138"/>
      <c r="BN1700" s="138"/>
      <c r="BO1700" s="138"/>
    </row>
    <row r="1701" spans="1:67" x14ac:dyDescent="0.2">
      <c r="A1701" s="167">
        <v>405</v>
      </c>
      <c r="B1701" s="168" t="s">
        <v>2184</v>
      </c>
      <c r="C1701" s="169"/>
      <c r="D1701" s="170" t="s">
        <v>163</v>
      </c>
      <c r="E1701" s="170"/>
      <c r="F1701" s="170"/>
      <c r="G1701" s="170"/>
      <c r="H1701" s="246"/>
      <c r="I1701" s="217" t="s">
        <v>2185</v>
      </c>
      <c r="J1701" s="265" t="s">
        <v>1387</v>
      </c>
      <c r="K1701" s="266">
        <f>530000*60%</f>
        <v>318000</v>
      </c>
      <c r="L1701" s="169" t="s">
        <v>166</v>
      </c>
      <c r="M1701" s="175" t="s">
        <v>2186</v>
      </c>
      <c r="AV1701" s="138"/>
      <c r="AW1701" s="138"/>
      <c r="AX1701" s="138"/>
      <c r="AY1701" s="138"/>
      <c r="AZ1701" s="138"/>
      <c r="BA1701" s="138"/>
      <c r="BB1701" s="138"/>
      <c r="BC1701" s="138"/>
      <c r="BD1701" s="138"/>
      <c r="BE1701" s="138"/>
      <c r="BF1701" s="138"/>
      <c r="BG1701" s="138"/>
      <c r="BH1701" s="138"/>
      <c r="BI1701" s="138"/>
      <c r="BJ1701" s="138"/>
      <c r="BK1701" s="138"/>
      <c r="BL1701" s="138"/>
      <c r="BM1701" s="138"/>
      <c r="BN1701" s="138"/>
      <c r="BO1701" s="138"/>
    </row>
    <row r="1702" spans="1:67" x14ac:dyDescent="0.2">
      <c r="A1702" s="177"/>
      <c r="B1702" s="178"/>
      <c r="C1702" s="179"/>
      <c r="D1702" s="180"/>
      <c r="E1702" s="180"/>
      <c r="F1702" s="180"/>
      <c r="G1702" s="180"/>
      <c r="H1702" s="248"/>
      <c r="I1702" s="188" t="s">
        <v>2187</v>
      </c>
      <c r="J1702" s="270" t="s">
        <v>1246</v>
      </c>
      <c r="K1702" s="214">
        <f>530000*10%</f>
        <v>53000</v>
      </c>
      <c r="L1702" s="179"/>
      <c r="M1702" s="185"/>
      <c r="AV1702" s="138"/>
      <c r="AW1702" s="138"/>
      <c r="AX1702" s="138"/>
      <c r="AY1702" s="138"/>
      <c r="AZ1702" s="138"/>
      <c r="BA1702" s="138"/>
      <c r="BB1702" s="138"/>
      <c r="BC1702" s="138"/>
      <c r="BD1702" s="138"/>
      <c r="BE1702" s="138"/>
      <c r="BF1702" s="138"/>
      <c r="BG1702" s="138"/>
      <c r="BH1702" s="138"/>
      <c r="BI1702" s="138"/>
      <c r="BJ1702" s="138"/>
      <c r="BK1702" s="138"/>
      <c r="BL1702" s="138"/>
      <c r="BM1702" s="138"/>
      <c r="BN1702" s="138"/>
      <c r="BO1702" s="138"/>
    </row>
    <row r="1703" spans="1:67" x14ac:dyDescent="0.2">
      <c r="A1703" s="177"/>
      <c r="B1703" s="178"/>
      <c r="C1703" s="179"/>
      <c r="D1703" s="180"/>
      <c r="E1703" s="180"/>
      <c r="F1703" s="180"/>
      <c r="G1703" s="180"/>
      <c r="H1703" s="248"/>
      <c r="I1703" s="188" t="s">
        <v>2188</v>
      </c>
      <c r="J1703" s="270" t="s">
        <v>1097</v>
      </c>
      <c r="K1703" s="214">
        <f>530000*10%</f>
        <v>53000</v>
      </c>
      <c r="L1703" s="179"/>
      <c r="M1703" s="185"/>
      <c r="AV1703" s="138"/>
      <c r="AW1703" s="138"/>
      <c r="AX1703" s="138"/>
      <c r="AY1703" s="138"/>
      <c r="AZ1703" s="138"/>
      <c r="BA1703" s="138"/>
      <c r="BB1703" s="138"/>
      <c r="BC1703" s="138"/>
      <c r="BD1703" s="138"/>
      <c r="BE1703" s="138"/>
      <c r="BF1703" s="138"/>
      <c r="BG1703" s="138"/>
      <c r="BH1703" s="138"/>
      <c r="BI1703" s="138"/>
      <c r="BJ1703" s="138"/>
      <c r="BK1703" s="138"/>
      <c r="BL1703" s="138"/>
      <c r="BM1703" s="138"/>
      <c r="BN1703" s="138"/>
      <c r="BO1703" s="138"/>
    </row>
    <row r="1704" spans="1:67" x14ac:dyDescent="0.2">
      <c r="A1704" s="177"/>
      <c r="B1704" s="178"/>
      <c r="C1704" s="179"/>
      <c r="D1704" s="180"/>
      <c r="E1704" s="180"/>
      <c r="F1704" s="180"/>
      <c r="G1704" s="180"/>
      <c r="H1704" s="248"/>
      <c r="I1704" s="188" t="s">
        <v>573</v>
      </c>
      <c r="J1704" s="270" t="s">
        <v>1387</v>
      </c>
      <c r="K1704" s="214">
        <f>530000*5%</f>
        <v>26500</v>
      </c>
      <c r="L1704" s="179"/>
      <c r="M1704" s="185"/>
      <c r="AV1704" s="138"/>
      <c r="AW1704" s="138"/>
      <c r="AX1704" s="138"/>
      <c r="AY1704" s="138"/>
      <c r="AZ1704" s="138"/>
      <c r="BA1704" s="138"/>
      <c r="BB1704" s="138"/>
      <c r="BC1704" s="138"/>
      <c r="BD1704" s="138"/>
      <c r="BE1704" s="138"/>
      <c r="BF1704" s="138"/>
      <c r="BG1704" s="138"/>
      <c r="BH1704" s="138"/>
      <c r="BI1704" s="138"/>
      <c r="BJ1704" s="138"/>
      <c r="BK1704" s="138"/>
      <c r="BL1704" s="138"/>
      <c r="BM1704" s="138"/>
      <c r="BN1704" s="138"/>
      <c r="BO1704" s="138"/>
    </row>
    <row r="1705" spans="1:67" ht="48" x14ac:dyDescent="0.2">
      <c r="A1705" s="177"/>
      <c r="B1705" s="178"/>
      <c r="C1705" s="179"/>
      <c r="D1705" s="180"/>
      <c r="E1705" s="180"/>
      <c r="F1705" s="180"/>
      <c r="G1705" s="180"/>
      <c r="H1705" s="248"/>
      <c r="I1705" s="188" t="s">
        <v>2165</v>
      </c>
      <c r="J1705" s="270" t="s">
        <v>1387</v>
      </c>
      <c r="K1705" s="214">
        <f>530000*5%</f>
        <v>26500</v>
      </c>
      <c r="L1705" s="179"/>
      <c r="M1705" s="185"/>
      <c r="AV1705" s="138"/>
      <c r="AW1705" s="138"/>
      <c r="AX1705" s="138"/>
      <c r="AY1705" s="138"/>
      <c r="AZ1705" s="138"/>
      <c r="BA1705" s="138"/>
      <c r="BB1705" s="138"/>
      <c r="BC1705" s="138"/>
      <c r="BD1705" s="138"/>
      <c r="BE1705" s="138"/>
      <c r="BF1705" s="138"/>
      <c r="BG1705" s="138"/>
      <c r="BH1705" s="138"/>
      <c r="BI1705" s="138"/>
      <c r="BJ1705" s="138"/>
      <c r="BK1705" s="138"/>
      <c r="BL1705" s="138"/>
      <c r="BM1705" s="138"/>
      <c r="BN1705" s="138"/>
      <c r="BO1705" s="138"/>
    </row>
    <row r="1706" spans="1:67" x14ac:dyDescent="0.2">
      <c r="A1706" s="177"/>
      <c r="B1706" s="178"/>
      <c r="C1706" s="179"/>
      <c r="D1706" s="180"/>
      <c r="E1706" s="180"/>
      <c r="F1706" s="180"/>
      <c r="G1706" s="180"/>
      <c r="H1706" s="248"/>
      <c r="I1706" s="188" t="s">
        <v>2189</v>
      </c>
      <c r="J1706" s="270" t="s">
        <v>1387</v>
      </c>
      <c r="K1706" s="214">
        <f>530000*5%</f>
        <v>26500</v>
      </c>
      <c r="L1706" s="179"/>
      <c r="M1706" s="185"/>
      <c r="AV1706" s="138"/>
      <c r="AW1706" s="138"/>
      <c r="AX1706" s="138"/>
      <c r="AY1706" s="138"/>
      <c r="AZ1706" s="138"/>
      <c r="BA1706" s="138"/>
      <c r="BB1706" s="138"/>
      <c r="BC1706" s="138"/>
      <c r="BD1706" s="138"/>
      <c r="BE1706" s="138"/>
      <c r="BF1706" s="138"/>
      <c r="BG1706" s="138"/>
      <c r="BH1706" s="138"/>
      <c r="BI1706" s="138"/>
      <c r="BJ1706" s="138"/>
      <c r="BK1706" s="138"/>
      <c r="BL1706" s="138"/>
      <c r="BM1706" s="138"/>
      <c r="BN1706" s="138"/>
      <c r="BO1706" s="138"/>
    </row>
    <row r="1707" spans="1:67" x14ac:dyDescent="0.2">
      <c r="A1707" s="189"/>
      <c r="B1707" s="190"/>
      <c r="C1707" s="191"/>
      <c r="D1707" s="192"/>
      <c r="E1707" s="192"/>
      <c r="F1707" s="192"/>
      <c r="G1707" s="192"/>
      <c r="H1707" s="249"/>
      <c r="I1707" s="203"/>
      <c r="J1707" s="273"/>
      <c r="K1707" s="245">
        <f>SUM(K1701:K1706)</f>
        <v>503500</v>
      </c>
      <c r="L1707" s="191"/>
      <c r="M1707" s="197"/>
      <c r="AV1707" s="138"/>
      <c r="AW1707" s="138"/>
      <c r="AX1707" s="138"/>
      <c r="AY1707" s="138"/>
      <c r="AZ1707" s="138"/>
      <c r="BA1707" s="138"/>
      <c r="BB1707" s="138"/>
      <c r="BC1707" s="138"/>
      <c r="BD1707" s="138"/>
      <c r="BE1707" s="138"/>
      <c r="BF1707" s="138"/>
      <c r="BG1707" s="138"/>
      <c r="BH1707" s="138"/>
      <c r="BI1707" s="138"/>
      <c r="BJ1707" s="138"/>
      <c r="BK1707" s="138"/>
      <c r="BL1707" s="138"/>
      <c r="BM1707" s="138"/>
      <c r="BN1707" s="138"/>
      <c r="BO1707" s="138"/>
    </row>
    <row r="1708" spans="1:67" x14ac:dyDescent="0.2">
      <c r="A1708" s="167">
        <v>406</v>
      </c>
      <c r="B1708" s="168" t="s">
        <v>2190</v>
      </c>
      <c r="C1708" s="169"/>
      <c r="D1708" s="170" t="s">
        <v>163</v>
      </c>
      <c r="E1708" s="170"/>
      <c r="F1708" s="170"/>
      <c r="G1708" s="170"/>
      <c r="H1708" s="246"/>
      <c r="I1708" s="274" t="s">
        <v>2191</v>
      </c>
      <c r="J1708" s="275" t="s">
        <v>1387</v>
      </c>
      <c r="K1708" s="276">
        <f>530000*50%</f>
        <v>265000</v>
      </c>
      <c r="L1708" s="169" t="s">
        <v>166</v>
      </c>
      <c r="M1708" s="175" t="s">
        <v>2192</v>
      </c>
      <c r="AV1708" s="138"/>
      <c r="AW1708" s="138"/>
      <c r="AX1708" s="138"/>
      <c r="AY1708" s="138"/>
      <c r="AZ1708" s="138"/>
      <c r="BA1708" s="138"/>
      <c r="BB1708" s="138"/>
      <c r="BC1708" s="138"/>
      <c r="BD1708" s="138"/>
      <c r="BE1708" s="138"/>
      <c r="BF1708" s="138"/>
      <c r="BG1708" s="138"/>
      <c r="BH1708" s="138"/>
      <c r="BI1708" s="138"/>
      <c r="BJ1708" s="138"/>
      <c r="BK1708" s="138"/>
      <c r="BL1708" s="138"/>
      <c r="BM1708" s="138"/>
      <c r="BN1708" s="138"/>
      <c r="BO1708" s="138"/>
    </row>
    <row r="1709" spans="1:67" x14ac:dyDescent="0.2">
      <c r="A1709" s="177"/>
      <c r="B1709" s="178"/>
      <c r="C1709" s="179"/>
      <c r="D1709" s="180"/>
      <c r="E1709" s="180"/>
      <c r="F1709" s="180"/>
      <c r="G1709" s="180"/>
      <c r="H1709" s="248"/>
      <c r="I1709" s="188" t="s">
        <v>2193</v>
      </c>
      <c r="J1709" s="270" t="s">
        <v>1387</v>
      </c>
      <c r="K1709" s="214">
        <f>530000*50%</f>
        <v>265000</v>
      </c>
      <c r="L1709" s="179"/>
      <c r="M1709" s="185"/>
      <c r="AV1709" s="138"/>
      <c r="AW1709" s="138"/>
      <c r="AX1709" s="138"/>
      <c r="AY1709" s="138"/>
      <c r="AZ1709" s="138"/>
      <c r="BA1709" s="138"/>
      <c r="BB1709" s="138"/>
      <c r="BC1709" s="138"/>
      <c r="BD1709" s="138"/>
      <c r="BE1709" s="138"/>
      <c r="BF1709" s="138"/>
      <c r="BG1709" s="138"/>
      <c r="BH1709" s="138"/>
      <c r="BI1709" s="138"/>
      <c r="BJ1709" s="138"/>
      <c r="BK1709" s="138"/>
      <c r="BL1709" s="138"/>
      <c r="BM1709" s="138"/>
      <c r="BN1709" s="138"/>
      <c r="BO1709" s="138"/>
    </row>
    <row r="1710" spans="1:67" x14ac:dyDescent="0.2">
      <c r="A1710" s="189"/>
      <c r="B1710" s="190"/>
      <c r="C1710" s="191"/>
      <c r="D1710" s="192"/>
      <c r="E1710" s="192"/>
      <c r="F1710" s="192"/>
      <c r="G1710" s="192"/>
      <c r="H1710" s="249"/>
      <c r="I1710" s="181"/>
      <c r="J1710" s="305"/>
      <c r="K1710" s="199">
        <f>SUM(K1708:K1709)</f>
        <v>530000</v>
      </c>
      <c r="L1710" s="191"/>
      <c r="M1710" s="197"/>
      <c r="AV1710" s="138"/>
      <c r="AW1710" s="138"/>
      <c r="AX1710" s="138"/>
      <c r="AY1710" s="138"/>
      <c r="AZ1710" s="138"/>
      <c r="BA1710" s="138"/>
      <c r="BB1710" s="138"/>
      <c r="BC1710" s="138"/>
      <c r="BD1710" s="138"/>
      <c r="BE1710" s="138"/>
      <c r="BF1710" s="138"/>
      <c r="BG1710" s="138"/>
      <c r="BH1710" s="138"/>
      <c r="BI1710" s="138"/>
      <c r="BJ1710" s="138"/>
      <c r="BK1710" s="138"/>
      <c r="BL1710" s="138"/>
      <c r="BM1710" s="138"/>
      <c r="BN1710" s="138"/>
      <c r="BO1710" s="138"/>
    </row>
    <row r="1711" spans="1:67" x14ac:dyDescent="0.2">
      <c r="A1711" s="167">
        <v>407</v>
      </c>
      <c r="B1711" s="168" t="s">
        <v>2194</v>
      </c>
      <c r="C1711" s="169"/>
      <c r="D1711" s="170" t="s">
        <v>163</v>
      </c>
      <c r="E1711" s="170"/>
      <c r="F1711" s="170"/>
      <c r="G1711" s="170"/>
      <c r="H1711" s="246"/>
      <c r="I1711" s="217" t="s">
        <v>2185</v>
      </c>
      <c r="J1711" s="265" t="s">
        <v>1387</v>
      </c>
      <c r="K1711" s="266">
        <f>530000*60%</f>
        <v>318000</v>
      </c>
      <c r="L1711" s="169" t="s">
        <v>166</v>
      </c>
      <c r="M1711" s="175" t="s">
        <v>2195</v>
      </c>
      <c r="AV1711" s="138"/>
      <c r="AW1711" s="138"/>
      <c r="AX1711" s="138"/>
      <c r="AY1711" s="138"/>
      <c r="AZ1711" s="138"/>
      <c r="BA1711" s="138"/>
      <c r="BB1711" s="138"/>
      <c r="BC1711" s="138"/>
      <c r="BD1711" s="138"/>
      <c r="BE1711" s="138"/>
      <c r="BF1711" s="138"/>
      <c r="BG1711" s="138"/>
      <c r="BH1711" s="138"/>
      <c r="BI1711" s="138"/>
      <c r="BJ1711" s="138"/>
      <c r="BK1711" s="138"/>
      <c r="BL1711" s="138"/>
      <c r="BM1711" s="138"/>
      <c r="BN1711" s="138"/>
      <c r="BO1711" s="138"/>
    </row>
    <row r="1712" spans="1:67" x14ac:dyDescent="0.2">
      <c r="A1712" s="177"/>
      <c r="B1712" s="178"/>
      <c r="C1712" s="179"/>
      <c r="D1712" s="180"/>
      <c r="E1712" s="180"/>
      <c r="F1712" s="180"/>
      <c r="G1712" s="180"/>
      <c r="H1712" s="248"/>
      <c r="I1712" s="188" t="s">
        <v>2196</v>
      </c>
      <c r="J1712" s="270" t="s">
        <v>1246</v>
      </c>
      <c r="K1712" s="214">
        <f>530000*15%</f>
        <v>79500</v>
      </c>
      <c r="L1712" s="179"/>
      <c r="M1712" s="185"/>
      <c r="AV1712" s="138"/>
      <c r="AW1712" s="138"/>
      <c r="AX1712" s="138"/>
      <c r="AY1712" s="138"/>
      <c r="AZ1712" s="138"/>
      <c r="BA1712" s="138"/>
      <c r="BB1712" s="138"/>
      <c r="BC1712" s="138"/>
      <c r="BD1712" s="138"/>
      <c r="BE1712" s="138"/>
      <c r="BF1712" s="138"/>
      <c r="BG1712" s="138"/>
      <c r="BH1712" s="138"/>
      <c r="BI1712" s="138"/>
      <c r="BJ1712" s="138"/>
      <c r="BK1712" s="138"/>
      <c r="BL1712" s="138"/>
      <c r="BM1712" s="138"/>
      <c r="BN1712" s="138"/>
      <c r="BO1712" s="138"/>
    </row>
    <row r="1713" spans="1:67" x14ac:dyDescent="0.2">
      <c r="A1713" s="177"/>
      <c r="B1713" s="178"/>
      <c r="C1713" s="179"/>
      <c r="D1713" s="180"/>
      <c r="E1713" s="180"/>
      <c r="F1713" s="180"/>
      <c r="G1713" s="180"/>
      <c r="H1713" s="248"/>
      <c r="I1713" s="188" t="s">
        <v>2188</v>
      </c>
      <c r="J1713" s="270" t="s">
        <v>1097</v>
      </c>
      <c r="K1713" s="214">
        <f>530000*10%</f>
        <v>53000</v>
      </c>
      <c r="L1713" s="179"/>
      <c r="M1713" s="185"/>
      <c r="AV1713" s="138"/>
      <c r="AW1713" s="138"/>
      <c r="AX1713" s="138"/>
      <c r="AY1713" s="138"/>
      <c r="AZ1713" s="138"/>
      <c r="BA1713" s="138"/>
      <c r="BB1713" s="138"/>
      <c r="BC1713" s="138"/>
      <c r="BD1713" s="138"/>
      <c r="BE1713" s="138"/>
      <c r="BF1713" s="138"/>
      <c r="BG1713" s="138"/>
      <c r="BH1713" s="138"/>
      <c r="BI1713" s="138"/>
      <c r="BJ1713" s="138"/>
      <c r="BK1713" s="138"/>
      <c r="BL1713" s="138"/>
      <c r="BM1713" s="138"/>
      <c r="BN1713" s="138"/>
      <c r="BO1713" s="138"/>
    </row>
    <row r="1714" spans="1:67" x14ac:dyDescent="0.2">
      <c r="A1714" s="177"/>
      <c r="B1714" s="178"/>
      <c r="C1714" s="179"/>
      <c r="D1714" s="180"/>
      <c r="E1714" s="180"/>
      <c r="F1714" s="180"/>
      <c r="G1714" s="180"/>
      <c r="H1714" s="248"/>
      <c r="I1714" s="188" t="s">
        <v>2197</v>
      </c>
      <c r="J1714" s="270" t="s">
        <v>1387</v>
      </c>
      <c r="K1714" s="214">
        <f>530000*5%</f>
        <v>26500</v>
      </c>
      <c r="L1714" s="179"/>
      <c r="M1714" s="185"/>
      <c r="AV1714" s="138"/>
      <c r="AW1714" s="138"/>
      <c r="AX1714" s="138"/>
      <c r="AY1714" s="138"/>
      <c r="AZ1714" s="138"/>
      <c r="BA1714" s="138"/>
      <c r="BB1714" s="138"/>
      <c r="BC1714" s="138"/>
      <c r="BD1714" s="138"/>
      <c r="BE1714" s="138"/>
      <c r="BF1714" s="138"/>
      <c r="BG1714" s="138"/>
      <c r="BH1714" s="138"/>
      <c r="BI1714" s="138"/>
      <c r="BJ1714" s="138"/>
      <c r="BK1714" s="138"/>
      <c r="BL1714" s="138"/>
      <c r="BM1714" s="138"/>
      <c r="BN1714" s="138"/>
      <c r="BO1714" s="138"/>
    </row>
    <row r="1715" spans="1:67" x14ac:dyDescent="0.2">
      <c r="A1715" s="177"/>
      <c r="B1715" s="178"/>
      <c r="C1715" s="179"/>
      <c r="D1715" s="180"/>
      <c r="E1715" s="180"/>
      <c r="F1715" s="180"/>
      <c r="G1715" s="180"/>
      <c r="H1715" s="248"/>
      <c r="I1715" s="188" t="s">
        <v>2198</v>
      </c>
      <c r="J1715" s="270" t="s">
        <v>1387</v>
      </c>
      <c r="K1715" s="214">
        <f>530000*5%</f>
        <v>26500</v>
      </c>
      <c r="L1715" s="179"/>
      <c r="M1715" s="185"/>
      <c r="AV1715" s="138"/>
      <c r="AW1715" s="138"/>
      <c r="AX1715" s="138"/>
      <c r="AY1715" s="138"/>
      <c r="AZ1715" s="138"/>
      <c r="BA1715" s="138"/>
      <c r="BB1715" s="138"/>
      <c r="BC1715" s="138"/>
      <c r="BD1715" s="138"/>
      <c r="BE1715" s="138"/>
      <c r="BF1715" s="138"/>
      <c r="BG1715" s="138"/>
      <c r="BH1715" s="138"/>
      <c r="BI1715" s="138"/>
      <c r="BJ1715" s="138"/>
      <c r="BK1715" s="138"/>
      <c r="BL1715" s="138"/>
      <c r="BM1715" s="138"/>
      <c r="BN1715" s="138"/>
      <c r="BO1715" s="138"/>
    </row>
    <row r="1716" spans="1:67" ht="48" x14ac:dyDescent="0.2">
      <c r="A1716" s="177"/>
      <c r="B1716" s="178"/>
      <c r="C1716" s="179"/>
      <c r="D1716" s="180"/>
      <c r="E1716" s="180"/>
      <c r="F1716" s="180"/>
      <c r="G1716" s="180"/>
      <c r="H1716" s="248"/>
      <c r="I1716" s="188" t="s">
        <v>2199</v>
      </c>
      <c r="J1716" s="270" t="s">
        <v>1387</v>
      </c>
      <c r="K1716" s="214">
        <f>530000*5%</f>
        <v>26500</v>
      </c>
      <c r="L1716" s="179"/>
      <c r="M1716" s="185"/>
      <c r="AV1716" s="138"/>
      <c r="AW1716" s="138"/>
      <c r="AX1716" s="138"/>
      <c r="AY1716" s="138"/>
      <c r="AZ1716" s="138"/>
      <c r="BA1716" s="138"/>
      <c r="BB1716" s="138"/>
      <c r="BC1716" s="138"/>
      <c r="BD1716" s="138"/>
      <c r="BE1716" s="138"/>
      <c r="BF1716" s="138"/>
      <c r="BG1716" s="138"/>
      <c r="BH1716" s="138"/>
      <c r="BI1716" s="138"/>
      <c r="BJ1716" s="138"/>
      <c r="BK1716" s="138"/>
      <c r="BL1716" s="138"/>
      <c r="BM1716" s="138"/>
      <c r="BN1716" s="138"/>
      <c r="BO1716" s="138"/>
    </row>
    <row r="1717" spans="1:67" x14ac:dyDescent="0.2">
      <c r="A1717" s="189"/>
      <c r="B1717" s="190"/>
      <c r="C1717" s="191"/>
      <c r="D1717" s="192"/>
      <c r="E1717" s="192"/>
      <c r="F1717" s="192"/>
      <c r="G1717" s="192"/>
      <c r="H1717" s="249"/>
      <c r="I1717" s="203"/>
      <c r="J1717" s="273"/>
      <c r="K1717" s="245">
        <f>SUM(K1711:K1716)</f>
        <v>530000</v>
      </c>
      <c r="L1717" s="191"/>
      <c r="M1717" s="197"/>
      <c r="AV1717" s="138"/>
      <c r="AW1717" s="138"/>
      <c r="AX1717" s="138"/>
      <c r="AY1717" s="138"/>
      <c r="AZ1717" s="138"/>
      <c r="BA1717" s="138"/>
      <c r="BB1717" s="138"/>
      <c r="BC1717" s="138"/>
      <c r="BD1717" s="138"/>
      <c r="BE1717" s="138"/>
      <c r="BF1717" s="138"/>
      <c r="BG1717" s="138"/>
      <c r="BH1717" s="138"/>
      <c r="BI1717" s="138"/>
      <c r="BJ1717" s="138"/>
      <c r="BK1717" s="138"/>
      <c r="BL1717" s="138"/>
      <c r="BM1717" s="138"/>
      <c r="BN1717" s="138"/>
      <c r="BO1717" s="138"/>
    </row>
    <row r="1718" spans="1:67" x14ac:dyDescent="0.2">
      <c r="A1718" s="167">
        <v>408</v>
      </c>
      <c r="B1718" s="168" t="s">
        <v>2200</v>
      </c>
      <c r="C1718" s="169"/>
      <c r="D1718" s="170" t="s">
        <v>163</v>
      </c>
      <c r="E1718" s="170"/>
      <c r="F1718" s="170"/>
      <c r="G1718" s="170"/>
      <c r="H1718" s="246"/>
      <c r="I1718" s="274" t="s">
        <v>2201</v>
      </c>
      <c r="J1718" s="275" t="s">
        <v>1387</v>
      </c>
      <c r="K1718" s="276">
        <f>530000*85%</f>
        <v>450500</v>
      </c>
      <c r="L1718" s="169" t="s">
        <v>166</v>
      </c>
      <c r="M1718" s="175" t="s">
        <v>2202</v>
      </c>
      <c r="AV1718" s="138"/>
      <c r="AW1718" s="138"/>
      <c r="AX1718" s="138"/>
      <c r="AY1718" s="138"/>
      <c r="AZ1718" s="138"/>
      <c r="BA1718" s="138"/>
      <c r="BB1718" s="138"/>
      <c r="BC1718" s="138"/>
      <c r="BD1718" s="138"/>
      <c r="BE1718" s="138"/>
      <c r="BF1718" s="138"/>
      <c r="BG1718" s="138"/>
      <c r="BH1718" s="138"/>
      <c r="BI1718" s="138"/>
      <c r="BJ1718" s="138"/>
      <c r="BK1718" s="138"/>
      <c r="BL1718" s="138"/>
      <c r="BM1718" s="138"/>
      <c r="BN1718" s="138"/>
      <c r="BO1718" s="138"/>
    </row>
    <row r="1719" spans="1:67" x14ac:dyDescent="0.2">
      <c r="A1719" s="177"/>
      <c r="B1719" s="178"/>
      <c r="C1719" s="179"/>
      <c r="D1719" s="180"/>
      <c r="E1719" s="180"/>
      <c r="F1719" s="180"/>
      <c r="G1719" s="180"/>
      <c r="H1719" s="248"/>
      <c r="I1719" s="188" t="s">
        <v>2203</v>
      </c>
      <c r="J1719" s="270" t="s">
        <v>1387</v>
      </c>
      <c r="K1719" s="214">
        <f>530000*5%</f>
        <v>26500</v>
      </c>
      <c r="L1719" s="179"/>
      <c r="M1719" s="185"/>
      <c r="AV1719" s="138"/>
      <c r="AW1719" s="138"/>
      <c r="AX1719" s="138"/>
      <c r="AY1719" s="138"/>
      <c r="AZ1719" s="138"/>
      <c r="BA1719" s="138"/>
      <c r="BB1719" s="138"/>
      <c r="BC1719" s="138"/>
      <c r="BD1719" s="138"/>
      <c r="BE1719" s="138"/>
      <c r="BF1719" s="138"/>
      <c r="BG1719" s="138"/>
      <c r="BH1719" s="138"/>
      <c r="BI1719" s="138"/>
      <c r="BJ1719" s="138"/>
      <c r="BK1719" s="138"/>
      <c r="BL1719" s="138"/>
      <c r="BM1719" s="138"/>
      <c r="BN1719" s="138"/>
      <c r="BO1719" s="138"/>
    </row>
    <row r="1720" spans="1:67" x14ac:dyDescent="0.2">
      <c r="A1720" s="177"/>
      <c r="B1720" s="178"/>
      <c r="C1720" s="179"/>
      <c r="D1720" s="180"/>
      <c r="E1720" s="180"/>
      <c r="F1720" s="180"/>
      <c r="G1720" s="180"/>
      <c r="H1720" s="248"/>
      <c r="I1720" s="188" t="s">
        <v>2204</v>
      </c>
      <c r="J1720" s="270" t="s">
        <v>1097</v>
      </c>
      <c r="K1720" s="214">
        <f>530000*5%</f>
        <v>26500</v>
      </c>
      <c r="L1720" s="179"/>
      <c r="M1720" s="185"/>
      <c r="AV1720" s="138"/>
      <c r="AW1720" s="138"/>
      <c r="AX1720" s="138"/>
      <c r="AY1720" s="138"/>
      <c r="AZ1720" s="138"/>
      <c r="BA1720" s="138"/>
      <c r="BB1720" s="138"/>
      <c r="BC1720" s="138"/>
      <c r="BD1720" s="138"/>
      <c r="BE1720" s="138"/>
      <c r="BF1720" s="138"/>
      <c r="BG1720" s="138"/>
      <c r="BH1720" s="138"/>
      <c r="BI1720" s="138"/>
      <c r="BJ1720" s="138"/>
      <c r="BK1720" s="138"/>
      <c r="BL1720" s="138"/>
      <c r="BM1720" s="138"/>
      <c r="BN1720" s="138"/>
      <c r="BO1720" s="138"/>
    </row>
    <row r="1721" spans="1:67" ht="48" x14ac:dyDescent="0.2">
      <c r="A1721" s="177"/>
      <c r="B1721" s="178"/>
      <c r="C1721" s="179"/>
      <c r="D1721" s="180"/>
      <c r="E1721" s="180"/>
      <c r="F1721" s="180"/>
      <c r="G1721" s="180"/>
      <c r="H1721" s="248"/>
      <c r="I1721" s="188" t="s">
        <v>2165</v>
      </c>
      <c r="J1721" s="270" t="s">
        <v>1387</v>
      </c>
      <c r="K1721" s="214">
        <f>530000*5%</f>
        <v>26500</v>
      </c>
      <c r="L1721" s="179"/>
      <c r="M1721" s="185"/>
      <c r="AV1721" s="138"/>
      <c r="AW1721" s="138"/>
      <c r="AX1721" s="138"/>
      <c r="AY1721" s="138"/>
      <c r="AZ1721" s="138"/>
      <c r="BA1721" s="138"/>
      <c r="BB1721" s="138"/>
      <c r="BC1721" s="138"/>
      <c r="BD1721" s="138"/>
      <c r="BE1721" s="138"/>
      <c r="BF1721" s="138"/>
      <c r="BG1721" s="138"/>
      <c r="BH1721" s="138"/>
      <c r="BI1721" s="138"/>
      <c r="BJ1721" s="138"/>
      <c r="BK1721" s="138"/>
      <c r="BL1721" s="138"/>
      <c r="BM1721" s="138"/>
      <c r="BN1721" s="138"/>
      <c r="BO1721" s="138"/>
    </row>
    <row r="1722" spans="1:67" x14ac:dyDescent="0.2">
      <c r="A1722" s="189"/>
      <c r="B1722" s="190"/>
      <c r="C1722" s="191"/>
      <c r="D1722" s="192"/>
      <c r="E1722" s="192"/>
      <c r="F1722" s="192"/>
      <c r="G1722" s="192"/>
      <c r="H1722" s="249"/>
      <c r="I1722" s="181"/>
      <c r="J1722" s="305"/>
      <c r="K1722" s="199">
        <f>SUM(K1718:K1721)</f>
        <v>530000</v>
      </c>
      <c r="L1722" s="191"/>
      <c r="M1722" s="197"/>
      <c r="AV1722" s="138"/>
      <c r="AW1722" s="138"/>
      <c r="AX1722" s="138"/>
      <c r="AY1722" s="138"/>
      <c r="AZ1722" s="138"/>
      <c r="BA1722" s="138"/>
      <c r="BB1722" s="138"/>
      <c r="BC1722" s="138"/>
      <c r="BD1722" s="138"/>
      <c r="BE1722" s="138"/>
      <c r="BF1722" s="138"/>
      <c r="BG1722" s="138"/>
      <c r="BH1722" s="138"/>
      <c r="BI1722" s="138"/>
      <c r="BJ1722" s="138"/>
      <c r="BK1722" s="138"/>
      <c r="BL1722" s="138"/>
      <c r="BM1722" s="138"/>
      <c r="BN1722" s="138"/>
      <c r="BO1722" s="138"/>
    </row>
    <row r="1723" spans="1:67" x14ac:dyDescent="0.2">
      <c r="A1723" s="167">
        <v>409</v>
      </c>
      <c r="B1723" s="168" t="s">
        <v>2205</v>
      </c>
      <c r="C1723" s="169"/>
      <c r="D1723" s="170" t="s">
        <v>163</v>
      </c>
      <c r="E1723" s="170"/>
      <c r="F1723" s="170"/>
      <c r="G1723" s="170"/>
      <c r="H1723" s="246"/>
      <c r="I1723" s="217" t="s">
        <v>2206</v>
      </c>
      <c r="J1723" s="265" t="s">
        <v>1387</v>
      </c>
      <c r="K1723" s="266">
        <f>138105*70%</f>
        <v>96673.5</v>
      </c>
      <c r="L1723" s="169" t="s">
        <v>166</v>
      </c>
      <c r="M1723" s="175" t="s">
        <v>2207</v>
      </c>
      <c r="AV1723" s="138"/>
      <c r="AW1723" s="138"/>
      <c r="AX1723" s="138"/>
      <c r="AY1723" s="138"/>
      <c r="AZ1723" s="138"/>
      <c r="BA1723" s="138"/>
      <c r="BB1723" s="138"/>
      <c r="BC1723" s="138"/>
      <c r="BD1723" s="138"/>
      <c r="BE1723" s="138"/>
      <c r="BF1723" s="138"/>
      <c r="BG1723" s="138"/>
      <c r="BH1723" s="138"/>
      <c r="BI1723" s="138"/>
      <c r="BJ1723" s="138"/>
      <c r="BK1723" s="138"/>
      <c r="BL1723" s="138"/>
      <c r="BM1723" s="138"/>
      <c r="BN1723" s="138"/>
      <c r="BO1723" s="138"/>
    </row>
    <row r="1724" spans="1:67" x14ac:dyDescent="0.2">
      <c r="A1724" s="177"/>
      <c r="B1724" s="178"/>
      <c r="C1724" s="179"/>
      <c r="D1724" s="180"/>
      <c r="E1724" s="180"/>
      <c r="F1724" s="180"/>
      <c r="G1724" s="180"/>
      <c r="H1724" s="248"/>
      <c r="I1724" s="188" t="s">
        <v>1463</v>
      </c>
      <c r="J1724" s="270" t="s">
        <v>1097</v>
      </c>
      <c r="K1724" s="214">
        <f>138105*10%</f>
        <v>13810.5</v>
      </c>
      <c r="L1724" s="179"/>
      <c r="M1724" s="185"/>
      <c r="AV1724" s="138"/>
      <c r="AW1724" s="138"/>
      <c r="AX1724" s="138"/>
      <c r="AY1724" s="138"/>
      <c r="AZ1724" s="138"/>
      <c r="BA1724" s="138"/>
      <c r="BB1724" s="138"/>
      <c r="BC1724" s="138"/>
      <c r="BD1724" s="138"/>
      <c r="BE1724" s="138"/>
      <c r="BF1724" s="138"/>
      <c r="BG1724" s="138"/>
      <c r="BH1724" s="138"/>
      <c r="BI1724" s="138"/>
      <c r="BJ1724" s="138"/>
      <c r="BK1724" s="138"/>
      <c r="BL1724" s="138"/>
      <c r="BM1724" s="138"/>
      <c r="BN1724" s="138"/>
      <c r="BO1724" s="138"/>
    </row>
    <row r="1725" spans="1:67" x14ac:dyDescent="0.2">
      <c r="A1725" s="177"/>
      <c r="B1725" s="178"/>
      <c r="C1725" s="179"/>
      <c r="D1725" s="180"/>
      <c r="E1725" s="180"/>
      <c r="F1725" s="180"/>
      <c r="G1725" s="180"/>
      <c r="H1725" s="248"/>
      <c r="I1725" s="188" t="s">
        <v>2208</v>
      </c>
      <c r="J1725" s="270" t="s">
        <v>1387</v>
      </c>
      <c r="K1725" s="214">
        <f>138105*10%</f>
        <v>13810.5</v>
      </c>
      <c r="L1725" s="179"/>
      <c r="M1725" s="185"/>
      <c r="AV1725" s="138"/>
      <c r="AW1725" s="138"/>
      <c r="AX1725" s="138"/>
      <c r="AY1725" s="138"/>
      <c r="AZ1725" s="138"/>
      <c r="BA1725" s="138"/>
      <c r="BB1725" s="138"/>
      <c r="BC1725" s="138"/>
      <c r="BD1725" s="138"/>
      <c r="BE1725" s="138"/>
      <c r="BF1725" s="138"/>
      <c r="BG1725" s="138"/>
      <c r="BH1725" s="138"/>
      <c r="BI1725" s="138"/>
      <c r="BJ1725" s="138"/>
      <c r="BK1725" s="138"/>
      <c r="BL1725" s="138"/>
      <c r="BM1725" s="138"/>
      <c r="BN1725" s="138"/>
      <c r="BO1725" s="138"/>
    </row>
    <row r="1726" spans="1:67" x14ac:dyDescent="0.2">
      <c r="A1726" s="177"/>
      <c r="B1726" s="178"/>
      <c r="C1726" s="179"/>
      <c r="D1726" s="180"/>
      <c r="E1726" s="180"/>
      <c r="F1726" s="180"/>
      <c r="G1726" s="180"/>
      <c r="H1726" s="248"/>
      <c r="I1726" s="188" t="s">
        <v>2179</v>
      </c>
      <c r="J1726" s="270" t="s">
        <v>1387</v>
      </c>
      <c r="K1726" s="214">
        <f>138105*10%</f>
        <v>13810.5</v>
      </c>
      <c r="L1726" s="179"/>
      <c r="M1726" s="185"/>
      <c r="AV1726" s="138"/>
      <c r="AW1726" s="138"/>
      <c r="AX1726" s="138"/>
      <c r="AY1726" s="138"/>
      <c r="AZ1726" s="138"/>
      <c r="BA1726" s="138"/>
      <c r="BB1726" s="138"/>
      <c r="BC1726" s="138"/>
      <c r="BD1726" s="138"/>
      <c r="BE1726" s="138"/>
      <c r="BF1726" s="138"/>
      <c r="BG1726" s="138"/>
      <c r="BH1726" s="138"/>
      <c r="BI1726" s="138"/>
      <c r="BJ1726" s="138"/>
      <c r="BK1726" s="138"/>
      <c r="BL1726" s="138"/>
      <c r="BM1726" s="138"/>
      <c r="BN1726" s="138"/>
      <c r="BO1726" s="138"/>
    </row>
    <row r="1727" spans="1:67" x14ac:dyDescent="0.2">
      <c r="A1727" s="189"/>
      <c r="B1727" s="190"/>
      <c r="C1727" s="191"/>
      <c r="D1727" s="192"/>
      <c r="E1727" s="192"/>
      <c r="F1727" s="192"/>
      <c r="G1727" s="192"/>
      <c r="H1727" s="249"/>
      <c r="I1727" s="203"/>
      <c r="J1727" s="273"/>
      <c r="K1727" s="245">
        <f>SUM(K1723:K1726)</f>
        <v>138105</v>
      </c>
      <c r="L1727" s="191"/>
      <c r="M1727" s="197"/>
      <c r="AV1727" s="138"/>
      <c r="AW1727" s="138"/>
      <c r="AX1727" s="138"/>
      <c r="AY1727" s="138"/>
      <c r="AZ1727" s="138"/>
      <c r="BA1727" s="138"/>
      <c r="BB1727" s="138"/>
      <c r="BC1727" s="138"/>
      <c r="BD1727" s="138"/>
      <c r="BE1727" s="138"/>
      <c r="BF1727" s="138"/>
      <c r="BG1727" s="138"/>
      <c r="BH1727" s="138"/>
      <c r="BI1727" s="138"/>
      <c r="BJ1727" s="138"/>
      <c r="BK1727" s="138"/>
      <c r="BL1727" s="138"/>
      <c r="BM1727" s="138"/>
      <c r="BN1727" s="138"/>
      <c r="BO1727" s="138"/>
    </row>
    <row r="1728" spans="1:67" x14ac:dyDescent="0.2">
      <c r="A1728" s="167">
        <v>410</v>
      </c>
      <c r="B1728" s="168" t="s">
        <v>2209</v>
      </c>
      <c r="C1728" s="169"/>
      <c r="D1728" s="170" t="s">
        <v>163</v>
      </c>
      <c r="E1728" s="170"/>
      <c r="F1728" s="170"/>
      <c r="G1728" s="170"/>
      <c r="H1728" s="246"/>
      <c r="I1728" s="274" t="s">
        <v>2210</v>
      </c>
      <c r="J1728" s="275" t="s">
        <v>1387</v>
      </c>
      <c r="K1728" s="276">
        <f>322245*75%</f>
        <v>241683.75</v>
      </c>
      <c r="L1728" s="169" t="s">
        <v>166</v>
      </c>
      <c r="M1728" s="175" t="s">
        <v>2211</v>
      </c>
      <c r="AV1728" s="138"/>
      <c r="AW1728" s="138"/>
      <c r="AX1728" s="138"/>
      <c r="AY1728" s="138"/>
      <c r="AZ1728" s="138"/>
      <c r="BA1728" s="138"/>
      <c r="BB1728" s="138"/>
      <c r="BC1728" s="138"/>
      <c r="BD1728" s="138"/>
      <c r="BE1728" s="138"/>
      <c r="BF1728" s="138"/>
      <c r="BG1728" s="138"/>
      <c r="BH1728" s="138"/>
      <c r="BI1728" s="138"/>
      <c r="BJ1728" s="138"/>
      <c r="BK1728" s="138"/>
      <c r="BL1728" s="138"/>
      <c r="BM1728" s="138"/>
      <c r="BN1728" s="138"/>
      <c r="BO1728" s="138"/>
    </row>
    <row r="1729" spans="1:67" x14ac:dyDescent="0.2">
      <c r="A1729" s="177"/>
      <c r="B1729" s="178"/>
      <c r="C1729" s="179"/>
      <c r="D1729" s="180"/>
      <c r="E1729" s="180"/>
      <c r="F1729" s="180"/>
      <c r="G1729" s="180"/>
      <c r="H1729" s="248"/>
      <c r="I1729" s="188" t="s">
        <v>2212</v>
      </c>
      <c r="J1729" s="270" t="s">
        <v>1387</v>
      </c>
      <c r="K1729" s="214">
        <f>322245*5%</f>
        <v>16112.25</v>
      </c>
      <c r="L1729" s="179"/>
      <c r="M1729" s="185"/>
      <c r="AV1729" s="138"/>
      <c r="AW1729" s="138"/>
      <c r="AX1729" s="138"/>
      <c r="AY1729" s="138"/>
      <c r="AZ1729" s="138"/>
      <c r="BA1729" s="138"/>
      <c r="BB1729" s="138"/>
      <c r="BC1729" s="138"/>
      <c r="BD1729" s="138"/>
      <c r="BE1729" s="138"/>
      <c r="BF1729" s="138"/>
      <c r="BG1729" s="138"/>
      <c r="BH1729" s="138"/>
      <c r="BI1729" s="138"/>
      <c r="BJ1729" s="138"/>
      <c r="BK1729" s="138"/>
      <c r="BL1729" s="138"/>
      <c r="BM1729" s="138"/>
      <c r="BN1729" s="138"/>
      <c r="BO1729" s="138"/>
    </row>
    <row r="1730" spans="1:67" x14ac:dyDescent="0.2">
      <c r="A1730" s="177"/>
      <c r="B1730" s="178"/>
      <c r="C1730" s="179"/>
      <c r="D1730" s="180"/>
      <c r="E1730" s="180"/>
      <c r="F1730" s="180"/>
      <c r="G1730" s="180"/>
      <c r="H1730" s="248"/>
      <c r="I1730" s="188" t="s">
        <v>2213</v>
      </c>
      <c r="J1730" s="270" t="s">
        <v>1387</v>
      </c>
      <c r="K1730" s="214">
        <f>322245*5%</f>
        <v>16112.25</v>
      </c>
      <c r="L1730" s="179"/>
      <c r="M1730" s="185"/>
      <c r="AV1730" s="138"/>
      <c r="AW1730" s="138"/>
      <c r="AX1730" s="138"/>
      <c r="AY1730" s="138"/>
      <c r="AZ1730" s="138"/>
      <c r="BA1730" s="138"/>
      <c r="BB1730" s="138"/>
      <c r="BC1730" s="138"/>
      <c r="BD1730" s="138"/>
      <c r="BE1730" s="138"/>
      <c r="BF1730" s="138"/>
      <c r="BG1730" s="138"/>
      <c r="BH1730" s="138"/>
      <c r="BI1730" s="138"/>
      <c r="BJ1730" s="138"/>
      <c r="BK1730" s="138"/>
      <c r="BL1730" s="138"/>
      <c r="BM1730" s="138"/>
      <c r="BN1730" s="138"/>
      <c r="BO1730" s="138"/>
    </row>
    <row r="1731" spans="1:67" x14ac:dyDescent="0.2">
      <c r="A1731" s="177"/>
      <c r="B1731" s="178"/>
      <c r="C1731" s="179"/>
      <c r="D1731" s="180"/>
      <c r="E1731" s="180"/>
      <c r="F1731" s="180"/>
      <c r="G1731" s="180"/>
      <c r="H1731" s="248"/>
      <c r="I1731" s="188" t="s">
        <v>2214</v>
      </c>
      <c r="J1731" s="270" t="s">
        <v>1387</v>
      </c>
      <c r="K1731" s="214">
        <f>322245*5%</f>
        <v>16112.25</v>
      </c>
      <c r="L1731" s="179"/>
      <c r="M1731" s="185"/>
      <c r="AV1731" s="138"/>
      <c r="AW1731" s="138"/>
      <c r="AX1731" s="138"/>
      <c r="AY1731" s="138"/>
      <c r="AZ1731" s="138"/>
      <c r="BA1731" s="138"/>
      <c r="BB1731" s="138"/>
      <c r="BC1731" s="138"/>
      <c r="BD1731" s="138"/>
      <c r="BE1731" s="138"/>
      <c r="BF1731" s="138"/>
      <c r="BG1731" s="138"/>
      <c r="BH1731" s="138"/>
      <c r="BI1731" s="138"/>
      <c r="BJ1731" s="138"/>
      <c r="BK1731" s="138"/>
      <c r="BL1731" s="138"/>
      <c r="BM1731" s="138"/>
      <c r="BN1731" s="138"/>
      <c r="BO1731" s="138"/>
    </row>
    <row r="1732" spans="1:67" ht="48" x14ac:dyDescent="0.2">
      <c r="A1732" s="177"/>
      <c r="B1732" s="178"/>
      <c r="C1732" s="179"/>
      <c r="D1732" s="180"/>
      <c r="E1732" s="180"/>
      <c r="F1732" s="180"/>
      <c r="G1732" s="180"/>
      <c r="H1732" s="248"/>
      <c r="I1732" s="188" t="s">
        <v>2215</v>
      </c>
      <c r="J1732" s="270" t="s">
        <v>1387</v>
      </c>
      <c r="K1732" s="214">
        <f>322245*5%</f>
        <v>16112.25</v>
      </c>
      <c r="L1732" s="179"/>
      <c r="M1732" s="185"/>
      <c r="AV1732" s="138"/>
      <c r="AW1732" s="138"/>
      <c r="AX1732" s="138"/>
      <c r="AY1732" s="138"/>
      <c r="AZ1732" s="138"/>
      <c r="BA1732" s="138"/>
      <c r="BB1732" s="138"/>
      <c r="BC1732" s="138"/>
      <c r="BD1732" s="138"/>
      <c r="BE1732" s="138"/>
      <c r="BF1732" s="138"/>
      <c r="BG1732" s="138"/>
      <c r="BH1732" s="138"/>
      <c r="BI1732" s="138"/>
      <c r="BJ1732" s="138"/>
      <c r="BK1732" s="138"/>
      <c r="BL1732" s="138"/>
      <c r="BM1732" s="138"/>
      <c r="BN1732" s="138"/>
      <c r="BO1732" s="138"/>
    </row>
    <row r="1733" spans="1:67" x14ac:dyDescent="0.2">
      <c r="A1733" s="177"/>
      <c r="B1733" s="178"/>
      <c r="C1733" s="179"/>
      <c r="D1733" s="180"/>
      <c r="E1733" s="180"/>
      <c r="F1733" s="180"/>
      <c r="G1733" s="180"/>
      <c r="H1733" s="248"/>
      <c r="I1733" s="188" t="s">
        <v>2216</v>
      </c>
      <c r="J1733" s="270" t="s">
        <v>1097</v>
      </c>
      <c r="K1733" s="214">
        <f>322245*5%</f>
        <v>16112.25</v>
      </c>
      <c r="L1733" s="179"/>
      <c r="M1733" s="185"/>
      <c r="AV1733" s="138"/>
      <c r="AW1733" s="138"/>
      <c r="AX1733" s="138"/>
      <c r="AY1733" s="138"/>
      <c r="AZ1733" s="138"/>
      <c r="BA1733" s="138"/>
      <c r="BB1733" s="138"/>
      <c r="BC1733" s="138"/>
      <c r="BD1733" s="138"/>
      <c r="BE1733" s="138"/>
      <c r="BF1733" s="138"/>
      <c r="BG1733" s="138"/>
      <c r="BH1733" s="138"/>
      <c r="BI1733" s="138"/>
      <c r="BJ1733" s="138"/>
      <c r="BK1733" s="138"/>
      <c r="BL1733" s="138"/>
      <c r="BM1733" s="138"/>
      <c r="BN1733" s="138"/>
      <c r="BO1733" s="138"/>
    </row>
    <row r="1734" spans="1:67" x14ac:dyDescent="0.2">
      <c r="A1734" s="189"/>
      <c r="B1734" s="190"/>
      <c r="C1734" s="191"/>
      <c r="D1734" s="192"/>
      <c r="E1734" s="192"/>
      <c r="F1734" s="192"/>
      <c r="G1734" s="192"/>
      <c r="H1734" s="249"/>
      <c r="I1734" s="181"/>
      <c r="J1734" s="305"/>
      <c r="K1734" s="199">
        <f>SUM(K1728:K1733)</f>
        <v>322245</v>
      </c>
      <c r="L1734" s="191"/>
      <c r="M1734" s="197"/>
      <c r="AV1734" s="138"/>
      <c r="AW1734" s="138"/>
      <c r="AX1734" s="138"/>
      <c r="AY1734" s="138"/>
      <c r="AZ1734" s="138"/>
      <c r="BA1734" s="138"/>
      <c r="BB1734" s="138"/>
      <c r="BC1734" s="138"/>
      <c r="BD1734" s="138"/>
      <c r="BE1734" s="138"/>
      <c r="BF1734" s="138"/>
      <c r="BG1734" s="138"/>
      <c r="BH1734" s="138"/>
      <c r="BI1734" s="138"/>
      <c r="BJ1734" s="138"/>
      <c r="BK1734" s="138"/>
      <c r="BL1734" s="138"/>
      <c r="BM1734" s="138"/>
      <c r="BN1734" s="138"/>
      <c r="BO1734" s="138"/>
    </row>
    <row r="1735" spans="1:67" x14ac:dyDescent="0.2">
      <c r="A1735" s="167">
        <v>411</v>
      </c>
      <c r="B1735" s="168" t="s">
        <v>2217</v>
      </c>
      <c r="C1735" s="169"/>
      <c r="D1735" s="170" t="s">
        <v>163</v>
      </c>
      <c r="E1735" s="170"/>
      <c r="F1735" s="170"/>
      <c r="G1735" s="170"/>
      <c r="H1735" s="246"/>
      <c r="I1735" s="217" t="s">
        <v>2218</v>
      </c>
      <c r="J1735" s="265" t="s">
        <v>1387</v>
      </c>
      <c r="K1735" s="266">
        <f>209550*50%</f>
        <v>104775</v>
      </c>
      <c r="L1735" s="169" t="s">
        <v>166</v>
      </c>
      <c r="M1735" s="175" t="s">
        <v>2219</v>
      </c>
      <c r="AV1735" s="138"/>
      <c r="AW1735" s="138"/>
      <c r="AX1735" s="138"/>
      <c r="AY1735" s="138"/>
      <c r="AZ1735" s="138"/>
      <c r="BA1735" s="138"/>
      <c r="BB1735" s="138"/>
      <c r="BC1735" s="138"/>
      <c r="BD1735" s="138"/>
      <c r="BE1735" s="138"/>
      <c r="BF1735" s="138"/>
      <c r="BG1735" s="138"/>
      <c r="BH1735" s="138"/>
      <c r="BI1735" s="138"/>
      <c r="BJ1735" s="138"/>
      <c r="BK1735" s="138"/>
      <c r="BL1735" s="138"/>
      <c r="BM1735" s="138"/>
      <c r="BN1735" s="138"/>
      <c r="BO1735" s="138"/>
    </row>
    <row r="1736" spans="1:67" x14ac:dyDescent="0.2">
      <c r="A1736" s="177"/>
      <c r="B1736" s="178"/>
      <c r="C1736" s="179"/>
      <c r="D1736" s="180"/>
      <c r="E1736" s="180"/>
      <c r="F1736" s="180"/>
      <c r="G1736" s="180"/>
      <c r="H1736" s="248"/>
      <c r="I1736" s="188" t="s">
        <v>2220</v>
      </c>
      <c r="J1736" s="270" t="s">
        <v>1387</v>
      </c>
      <c r="K1736" s="214">
        <f>209550*20%</f>
        <v>41910</v>
      </c>
      <c r="L1736" s="179"/>
      <c r="M1736" s="185"/>
      <c r="AV1736" s="138"/>
      <c r="AW1736" s="138"/>
      <c r="AX1736" s="138"/>
      <c r="AY1736" s="138"/>
      <c r="AZ1736" s="138"/>
      <c r="BA1736" s="138"/>
      <c r="BB1736" s="138"/>
      <c r="BC1736" s="138"/>
      <c r="BD1736" s="138"/>
      <c r="BE1736" s="138"/>
      <c r="BF1736" s="138"/>
      <c r="BG1736" s="138"/>
      <c r="BH1736" s="138"/>
      <c r="BI1736" s="138"/>
      <c r="BJ1736" s="138"/>
      <c r="BK1736" s="138"/>
      <c r="BL1736" s="138"/>
      <c r="BM1736" s="138"/>
      <c r="BN1736" s="138"/>
      <c r="BO1736" s="138"/>
    </row>
    <row r="1737" spans="1:67" ht="48" x14ac:dyDescent="0.2">
      <c r="A1737" s="177"/>
      <c r="B1737" s="178"/>
      <c r="C1737" s="179"/>
      <c r="D1737" s="180"/>
      <c r="E1737" s="180"/>
      <c r="F1737" s="180"/>
      <c r="G1737" s="180"/>
      <c r="H1737" s="248"/>
      <c r="I1737" s="188" t="s">
        <v>2221</v>
      </c>
      <c r="J1737" s="270" t="s">
        <v>1387</v>
      </c>
      <c r="K1737" s="214">
        <f>209550*5%</f>
        <v>10477.5</v>
      </c>
      <c r="L1737" s="179"/>
      <c r="M1737" s="185"/>
      <c r="AV1737" s="138"/>
      <c r="AW1737" s="138"/>
      <c r="AX1737" s="138"/>
      <c r="AY1737" s="138"/>
      <c r="AZ1737" s="138"/>
      <c r="BA1737" s="138"/>
      <c r="BB1737" s="138"/>
      <c r="BC1737" s="138"/>
      <c r="BD1737" s="138"/>
      <c r="BE1737" s="138"/>
      <c r="BF1737" s="138"/>
      <c r="BG1737" s="138"/>
      <c r="BH1737" s="138"/>
      <c r="BI1737" s="138"/>
      <c r="BJ1737" s="138"/>
      <c r="BK1737" s="138"/>
      <c r="BL1737" s="138"/>
      <c r="BM1737" s="138"/>
      <c r="BN1737" s="138"/>
      <c r="BO1737" s="138"/>
    </row>
    <row r="1738" spans="1:67" x14ac:dyDescent="0.2">
      <c r="A1738" s="177"/>
      <c r="B1738" s="178"/>
      <c r="C1738" s="179"/>
      <c r="D1738" s="180"/>
      <c r="E1738" s="180"/>
      <c r="F1738" s="180"/>
      <c r="G1738" s="180"/>
      <c r="H1738" s="248"/>
      <c r="I1738" s="188" t="s">
        <v>2222</v>
      </c>
      <c r="J1738" s="270" t="s">
        <v>1387</v>
      </c>
      <c r="K1738" s="214">
        <f>209550*10%</f>
        <v>20955</v>
      </c>
      <c r="L1738" s="179"/>
      <c r="M1738" s="185"/>
      <c r="AV1738" s="138"/>
      <c r="AW1738" s="138"/>
      <c r="AX1738" s="138"/>
      <c r="AY1738" s="138"/>
      <c r="AZ1738" s="138"/>
      <c r="BA1738" s="138"/>
      <c r="BB1738" s="138"/>
      <c r="BC1738" s="138"/>
      <c r="BD1738" s="138"/>
      <c r="BE1738" s="138"/>
      <c r="BF1738" s="138"/>
      <c r="BG1738" s="138"/>
      <c r="BH1738" s="138"/>
      <c r="BI1738" s="138"/>
      <c r="BJ1738" s="138"/>
      <c r="BK1738" s="138"/>
      <c r="BL1738" s="138"/>
      <c r="BM1738" s="138"/>
      <c r="BN1738" s="138"/>
      <c r="BO1738" s="138"/>
    </row>
    <row r="1739" spans="1:67" x14ac:dyDescent="0.2">
      <c r="A1739" s="177"/>
      <c r="B1739" s="178"/>
      <c r="C1739" s="179"/>
      <c r="D1739" s="180"/>
      <c r="E1739" s="180"/>
      <c r="F1739" s="180"/>
      <c r="G1739" s="180"/>
      <c r="H1739" s="248"/>
      <c r="I1739" s="188" t="s">
        <v>2223</v>
      </c>
      <c r="J1739" s="270" t="s">
        <v>1387</v>
      </c>
      <c r="K1739" s="214">
        <f>209550*10%</f>
        <v>20955</v>
      </c>
      <c r="L1739" s="179"/>
      <c r="M1739" s="185"/>
      <c r="AV1739" s="138"/>
      <c r="AW1739" s="138"/>
      <c r="AX1739" s="138"/>
      <c r="AY1739" s="138"/>
      <c r="AZ1739" s="138"/>
      <c r="BA1739" s="138"/>
      <c r="BB1739" s="138"/>
      <c r="BC1739" s="138"/>
      <c r="BD1739" s="138"/>
      <c r="BE1739" s="138"/>
      <c r="BF1739" s="138"/>
      <c r="BG1739" s="138"/>
      <c r="BH1739" s="138"/>
      <c r="BI1739" s="138"/>
      <c r="BJ1739" s="138"/>
      <c r="BK1739" s="138"/>
      <c r="BL1739" s="138"/>
      <c r="BM1739" s="138"/>
      <c r="BN1739" s="138"/>
      <c r="BO1739" s="138"/>
    </row>
    <row r="1740" spans="1:67" x14ac:dyDescent="0.2">
      <c r="A1740" s="177"/>
      <c r="B1740" s="178"/>
      <c r="C1740" s="179"/>
      <c r="D1740" s="180"/>
      <c r="E1740" s="180"/>
      <c r="F1740" s="180"/>
      <c r="G1740" s="180"/>
      <c r="H1740" s="248"/>
      <c r="I1740" s="188" t="s">
        <v>2212</v>
      </c>
      <c r="J1740" s="270" t="s">
        <v>1387</v>
      </c>
      <c r="K1740" s="214">
        <f>209550*5%</f>
        <v>10477.5</v>
      </c>
      <c r="L1740" s="179"/>
      <c r="M1740" s="185"/>
      <c r="AV1740" s="138"/>
      <c r="AW1740" s="138"/>
      <c r="AX1740" s="138"/>
      <c r="AY1740" s="138"/>
      <c r="AZ1740" s="138"/>
      <c r="BA1740" s="138"/>
      <c r="BB1740" s="138"/>
      <c r="BC1740" s="138"/>
      <c r="BD1740" s="138"/>
      <c r="BE1740" s="138"/>
      <c r="BF1740" s="138"/>
      <c r="BG1740" s="138"/>
      <c r="BH1740" s="138"/>
      <c r="BI1740" s="138"/>
      <c r="BJ1740" s="138"/>
      <c r="BK1740" s="138"/>
      <c r="BL1740" s="138"/>
      <c r="BM1740" s="138"/>
      <c r="BN1740" s="138"/>
      <c r="BO1740" s="138"/>
    </row>
    <row r="1741" spans="1:67" x14ac:dyDescent="0.2">
      <c r="A1741" s="189"/>
      <c r="B1741" s="190"/>
      <c r="C1741" s="191"/>
      <c r="D1741" s="192"/>
      <c r="E1741" s="192"/>
      <c r="F1741" s="192"/>
      <c r="G1741" s="192"/>
      <c r="H1741" s="249"/>
      <c r="I1741" s="203"/>
      <c r="J1741" s="273"/>
      <c r="K1741" s="245">
        <f>SUM(K1735:K1740)</f>
        <v>209550</v>
      </c>
      <c r="L1741" s="191"/>
      <c r="M1741" s="197"/>
      <c r="AV1741" s="138"/>
      <c r="AW1741" s="138"/>
      <c r="AX1741" s="138"/>
      <c r="AY1741" s="138"/>
      <c r="AZ1741" s="138"/>
      <c r="BA1741" s="138"/>
      <c r="BB1741" s="138"/>
      <c r="BC1741" s="138"/>
      <c r="BD1741" s="138"/>
      <c r="BE1741" s="138"/>
      <c r="BF1741" s="138"/>
      <c r="BG1741" s="138"/>
      <c r="BH1741" s="138"/>
      <c r="BI1741" s="138"/>
      <c r="BJ1741" s="138"/>
      <c r="BK1741" s="138"/>
      <c r="BL1741" s="138"/>
      <c r="BM1741" s="138"/>
      <c r="BN1741" s="138"/>
      <c r="BO1741" s="138"/>
    </row>
    <row r="1742" spans="1:67" ht="21.75" customHeight="1" x14ac:dyDescent="0.2">
      <c r="A1742" s="167">
        <v>412</v>
      </c>
      <c r="B1742" s="168" t="s">
        <v>2224</v>
      </c>
      <c r="C1742" s="169"/>
      <c r="D1742" s="250" t="s">
        <v>107</v>
      </c>
      <c r="E1742" s="170"/>
      <c r="F1742" s="170"/>
      <c r="G1742" s="170"/>
      <c r="H1742" s="170" t="s">
        <v>137</v>
      </c>
      <c r="I1742" s="171" t="s">
        <v>2225</v>
      </c>
      <c r="J1742" s="172" t="s">
        <v>1000</v>
      </c>
      <c r="K1742" s="173">
        <f>K1745*85%</f>
        <v>7650</v>
      </c>
      <c r="L1742" s="174" t="s">
        <v>111</v>
      </c>
      <c r="M1742" s="175" t="s">
        <v>2226</v>
      </c>
      <c r="AV1742" s="138"/>
      <c r="AW1742" s="138"/>
      <c r="AX1742" s="138"/>
      <c r="AY1742" s="138"/>
      <c r="AZ1742" s="138"/>
      <c r="BA1742" s="138"/>
      <c r="BB1742" s="138"/>
      <c r="BC1742" s="138"/>
      <c r="BD1742" s="138"/>
      <c r="BE1742" s="138"/>
      <c r="BF1742" s="138"/>
      <c r="BG1742" s="138"/>
      <c r="BH1742" s="138"/>
      <c r="BI1742" s="138"/>
      <c r="BJ1742" s="138"/>
      <c r="BK1742" s="138"/>
      <c r="BL1742" s="138"/>
      <c r="BM1742" s="138"/>
      <c r="BN1742" s="138"/>
      <c r="BO1742" s="138"/>
    </row>
    <row r="1743" spans="1:67" ht="48" x14ac:dyDescent="0.2">
      <c r="A1743" s="177"/>
      <c r="B1743" s="178"/>
      <c r="C1743" s="179"/>
      <c r="D1743" s="243"/>
      <c r="E1743" s="180"/>
      <c r="F1743" s="180"/>
      <c r="G1743" s="180"/>
      <c r="H1743" s="180"/>
      <c r="I1743" s="181" t="s">
        <v>2227</v>
      </c>
      <c r="J1743" s="187" t="s">
        <v>1387</v>
      </c>
      <c r="K1743" s="208">
        <f>K1745*10%</f>
        <v>900</v>
      </c>
      <c r="L1743" s="184"/>
      <c r="M1743" s="185"/>
      <c r="AV1743" s="138"/>
      <c r="AW1743" s="138"/>
      <c r="AX1743" s="138"/>
      <c r="AY1743" s="138"/>
      <c r="AZ1743" s="138"/>
      <c r="BA1743" s="138"/>
      <c r="BB1743" s="138"/>
      <c r="BC1743" s="138"/>
      <c r="BD1743" s="138"/>
      <c r="BE1743" s="138"/>
      <c r="BF1743" s="138"/>
      <c r="BG1743" s="138"/>
      <c r="BH1743" s="138"/>
      <c r="BI1743" s="138"/>
      <c r="BJ1743" s="138"/>
      <c r="BK1743" s="138"/>
      <c r="BL1743" s="138"/>
      <c r="BM1743" s="138"/>
      <c r="BN1743" s="138"/>
      <c r="BO1743" s="138"/>
    </row>
    <row r="1744" spans="1:67" x14ac:dyDescent="0.2">
      <c r="A1744" s="177"/>
      <c r="B1744" s="178"/>
      <c r="C1744" s="179"/>
      <c r="D1744" s="243"/>
      <c r="E1744" s="180"/>
      <c r="F1744" s="180"/>
      <c r="G1744" s="180"/>
      <c r="H1744" s="180"/>
      <c r="I1744" s="181" t="s">
        <v>744</v>
      </c>
      <c r="J1744" s="182" t="s">
        <v>664</v>
      </c>
      <c r="K1744" s="202">
        <f>K1745*5%</f>
        <v>450</v>
      </c>
      <c r="L1744" s="184"/>
      <c r="M1744" s="185"/>
      <c r="AV1744" s="138"/>
      <c r="AW1744" s="138"/>
      <c r="AX1744" s="138"/>
      <c r="AY1744" s="138"/>
      <c r="AZ1744" s="138"/>
      <c r="BA1744" s="138"/>
      <c r="BB1744" s="138"/>
      <c r="BC1744" s="138"/>
      <c r="BD1744" s="138"/>
      <c r="BE1744" s="138"/>
      <c r="BF1744" s="138"/>
      <c r="BG1744" s="138"/>
      <c r="BH1744" s="138"/>
      <c r="BI1744" s="138"/>
      <c r="BJ1744" s="138"/>
      <c r="BK1744" s="138"/>
      <c r="BL1744" s="138"/>
      <c r="BM1744" s="138"/>
      <c r="BN1744" s="138"/>
      <c r="BO1744" s="138"/>
    </row>
    <row r="1745" spans="1:67" x14ac:dyDescent="0.2">
      <c r="A1745" s="189"/>
      <c r="B1745" s="190"/>
      <c r="C1745" s="191"/>
      <c r="D1745" s="244"/>
      <c r="E1745" s="192"/>
      <c r="F1745" s="192"/>
      <c r="G1745" s="192"/>
      <c r="H1745" s="192"/>
      <c r="I1745" s="203"/>
      <c r="J1745" s="215"/>
      <c r="K1745" s="216">
        <v>9000</v>
      </c>
      <c r="L1745" s="196"/>
      <c r="M1745" s="197"/>
      <c r="AV1745" s="138"/>
      <c r="AW1745" s="138"/>
      <c r="AX1745" s="138"/>
      <c r="AY1745" s="138"/>
      <c r="AZ1745" s="138"/>
      <c r="BA1745" s="138"/>
      <c r="BB1745" s="138"/>
      <c r="BC1745" s="138"/>
      <c r="BD1745" s="138"/>
      <c r="BE1745" s="138"/>
      <c r="BF1745" s="138"/>
      <c r="BG1745" s="138"/>
      <c r="BH1745" s="138"/>
      <c r="BI1745" s="138"/>
      <c r="BJ1745" s="138"/>
      <c r="BK1745" s="138"/>
      <c r="BL1745" s="138"/>
      <c r="BM1745" s="138"/>
      <c r="BN1745" s="138"/>
      <c r="BO1745" s="138"/>
    </row>
    <row r="1746" spans="1:67" ht="21" customHeight="1" x14ac:dyDescent="0.2">
      <c r="A1746" s="334">
        <v>413</v>
      </c>
      <c r="B1746" s="168" t="s">
        <v>2228</v>
      </c>
      <c r="C1746" s="169"/>
      <c r="D1746" s="250" t="s">
        <v>107</v>
      </c>
      <c r="E1746" s="170"/>
      <c r="F1746" s="170"/>
      <c r="G1746" s="170"/>
      <c r="H1746" s="170" t="s">
        <v>164</v>
      </c>
      <c r="I1746" s="171" t="s">
        <v>2229</v>
      </c>
      <c r="J1746" s="172" t="s">
        <v>1000</v>
      </c>
      <c r="K1746" s="212">
        <f>K1748*75%</f>
        <v>3750</v>
      </c>
      <c r="L1746" s="174" t="s">
        <v>111</v>
      </c>
      <c r="M1746" s="175" t="s">
        <v>2230</v>
      </c>
      <c r="AV1746" s="138"/>
      <c r="AW1746" s="138"/>
      <c r="AX1746" s="138"/>
      <c r="AY1746" s="138"/>
      <c r="AZ1746" s="138"/>
      <c r="BA1746" s="138"/>
      <c r="BB1746" s="138"/>
      <c r="BC1746" s="138"/>
      <c r="BD1746" s="138"/>
      <c r="BE1746" s="138"/>
      <c r="BF1746" s="138"/>
      <c r="BG1746" s="138"/>
      <c r="BH1746" s="138"/>
      <c r="BI1746" s="138"/>
      <c r="BJ1746" s="138"/>
      <c r="BK1746" s="138"/>
      <c r="BL1746" s="138"/>
      <c r="BM1746" s="138"/>
      <c r="BN1746" s="138"/>
      <c r="BO1746" s="138"/>
    </row>
    <row r="1747" spans="1:67" ht="21" customHeight="1" x14ac:dyDescent="0.2">
      <c r="A1747" s="334"/>
      <c r="B1747" s="178"/>
      <c r="C1747" s="179"/>
      <c r="D1747" s="243"/>
      <c r="E1747" s="180"/>
      <c r="F1747" s="180"/>
      <c r="G1747" s="180"/>
      <c r="H1747" s="180"/>
      <c r="I1747" s="181" t="s">
        <v>2231</v>
      </c>
      <c r="J1747" s="182" t="s">
        <v>1559</v>
      </c>
      <c r="K1747" s="202">
        <f>K1748*25%</f>
        <v>1250</v>
      </c>
      <c r="L1747" s="184"/>
      <c r="M1747" s="185"/>
      <c r="AV1747" s="138"/>
      <c r="AW1747" s="138"/>
      <c r="AX1747" s="138"/>
      <c r="AY1747" s="138"/>
      <c r="AZ1747" s="138"/>
      <c r="BA1747" s="138"/>
      <c r="BB1747" s="138"/>
      <c r="BC1747" s="138"/>
      <c r="BD1747" s="138"/>
      <c r="BE1747" s="138"/>
      <c r="BF1747" s="138"/>
      <c r="BG1747" s="138"/>
      <c r="BH1747" s="138"/>
      <c r="BI1747" s="138"/>
      <c r="BJ1747" s="138"/>
      <c r="BK1747" s="138"/>
      <c r="BL1747" s="138"/>
      <c r="BM1747" s="138"/>
      <c r="BN1747" s="138"/>
      <c r="BO1747" s="138"/>
    </row>
    <row r="1748" spans="1:67" x14ac:dyDescent="0.2">
      <c r="A1748" s="334"/>
      <c r="B1748" s="190"/>
      <c r="C1748" s="191"/>
      <c r="D1748" s="244"/>
      <c r="E1748" s="192"/>
      <c r="F1748" s="192"/>
      <c r="G1748" s="192"/>
      <c r="H1748" s="192"/>
      <c r="I1748" s="203"/>
      <c r="J1748" s="215"/>
      <c r="K1748" s="216">
        <v>5000</v>
      </c>
      <c r="L1748" s="196"/>
      <c r="M1748" s="197"/>
      <c r="AV1748" s="138"/>
      <c r="AW1748" s="138"/>
      <c r="AX1748" s="138"/>
      <c r="AY1748" s="138"/>
      <c r="AZ1748" s="138"/>
      <c r="BA1748" s="138"/>
      <c r="BB1748" s="138"/>
      <c r="BC1748" s="138"/>
      <c r="BD1748" s="138"/>
      <c r="BE1748" s="138"/>
      <c r="BF1748" s="138"/>
      <c r="BG1748" s="138"/>
      <c r="BH1748" s="138"/>
      <c r="BI1748" s="138"/>
      <c r="BJ1748" s="138"/>
      <c r="BK1748" s="138"/>
      <c r="BL1748" s="138"/>
      <c r="BM1748" s="138"/>
      <c r="BN1748" s="138"/>
      <c r="BO1748" s="138"/>
    </row>
    <row r="1749" spans="1:67" ht="63" customHeight="1" x14ac:dyDescent="0.2">
      <c r="A1749" s="292">
        <v>414</v>
      </c>
      <c r="B1749" s="168" t="s">
        <v>2232</v>
      </c>
      <c r="C1749" s="169"/>
      <c r="D1749" s="294" t="s">
        <v>107</v>
      </c>
      <c r="E1749" s="295"/>
      <c r="F1749" s="295"/>
      <c r="G1749" s="295"/>
      <c r="H1749" s="295"/>
      <c r="I1749" s="193" t="s">
        <v>2233</v>
      </c>
      <c r="J1749" s="215" t="s">
        <v>1387</v>
      </c>
      <c r="K1749" s="258">
        <v>18000</v>
      </c>
      <c r="L1749" s="297" t="s">
        <v>111</v>
      </c>
      <c r="M1749" s="259" t="s">
        <v>2234</v>
      </c>
      <c r="AV1749" s="138"/>
      <c r="AW1749" s="138"/>
      <c r="AX1749" s="138"/>
      <c r="AY1749" s="138"/>
      <c r="AZ1749" s="138"/>
      <c r="BA1749" s="138"/>
      <c r="BB1749" s="138"/>
      <c r="BC1749" s="138"/>
      <c r="BD1749" s="138"/>
      <c r="BE1749" s="138"/>
      <c r="BF1749" s="138"/>
      <c r="BG1749" s="138"/>
      <c r="BH1749" s="138"/>
      <c r="BI1749" s="138"/>
      <c r="BJ1749" s="138"/>
      <c r="BK1749" s="138"/>
      <c r="BL1749" s="138"/>
      <c r="BM1749" s="138"/>
      <c r="BN1749" s="138"/>
      <c r="BO1749" s="138"/>
    </row>
    <row r="1750" spans="1:67" ht="42" customHeight="1" x14ac:dyDescent="0.2">
      <c r="A1750" s="231">
        <v>415</v>
      </c>
      <c r="B1750" s="168" t="s">
        <v>2235</v>
      </c>
      <c r="C1750" s="169"/>
      <c r="D1750" s="294" t="s">
        <v>107</v>
      </c>
      <c r="E1750" s="295"/>
      <c r="F1750" s="295"/>
      <c r="G1750" s="295"/>
      <c r="H1750" s="295"/>
      <c r="I1750" s="171" t="s">
        <v>2236</v>
      </c>
      <c r="J1750" s="172" t="s">
        <v>1387</v>
      </c>
      <c r="K1750" s="438">
        <v>18000</v>
      </c>
      <c r="L1750" s="297" t="s">
        <v>111</v>
      </c>
      <c r="M1750" s="259" t="s">
        <v>2237</v>
      </c>
      <c r="AV1750" s="138"/>
      <c r="AW1750" s="138"/>
      <c r="AX1750" s="138"/>
      <c r="AY1750" s="138"/>
      <c r="AZ1750" s="138"/>
      <c r="BA1750" s="138"/>
      <c r="BB1750" s="138"/>
      <c r="BC1750" s="138"/>
      <c r="BD1750" s="138"/>
      <c r="BE1750" s="138"/>
      <c r="BF1750" s="138"/>
      <c r="BG1750" s="138"/>
      <c r="BH1750" s="138"/>
      <c r="BI1750" s="138"/>
      <c r="BJ1750" s="138"/>
      <c r="BK1750" s="138"/>
      <c r="BL1750" s="138"/>
      <c r="BM1750" s="138"/>
      <c r="BN1750" s="138"/>
      <c r="BO1750" s="138"/>
    </row>
    <row r="1751" spans="1:67" ht="21.75" customHeight="1" x14ac:dyDescent="0.2">
      <c r="A1751" s="167">
        <v>416</v>
      </c>
      <c r="B1751" s="168" t="s">
        <v>2238</v>
      </c>
      <c r="C1751" s="169"/>
      <c r="D1751" s="250" t="s">
        <v>25</v>
      </c>
      <c r="E1751" s="170"/>
      <c r="F1751" s="170" t="s">
        <v>1239</v>
      </c>
      <c r="G1751" s="170" t="s">
        <v>1134</v>
      </c>
      <c r="H1751" s="170" t="s">
        <v>750</v>
      </c>
      <c r="I1751" s="296" t="s">
        <v>2239</v>
      </c>
      <c r="J1751" s="223" t="s">
        <v>1387</v>
      </c>
      <c r="K1751" s="363">
        <f>450000*65%</f>
        <v>292500</v>
      </c>
      <c r="L1751" s="175" t="s">
        <v>1134</v>
      </c>
      <c r="M1751" s="175" t="s">
        <v>2240</v>
      </c>
      <c r="AV1751" s="138"/>
      <c r="AW1751" s="138"/>
      <c r="AX1751" s="138"/>
      <c r="AY1751" s="138"/>
      <c r="AZ1751" s="138"/>
      <c r="BA1751" s="138"/>
      <c r="BB1751" s="138"/>
      <c r="BC1751" s="138"/>
      <c r="BD1751" s="138"/>
      <c r="BE1751" s="138"/>
      <c r="BF1751" s="138"/>
      <c r="BG1751" s="138"/>
      <c r="BH1751" s="138"/>
      <c r="BI1751" s="138"/>
      <c r="BJ1751" s="138"/>
      <c r="BK1751" s="138"/>
      <c r="BL1751" s="138"/>
      <c r="BM1751" s="138"/>
      <c r="BN1751" s="138"/>
      <c r="BO1751" s="138"/>
    </row>
    <row r="1752" spans="1:67" ht="21.75" customHeight="1" x14ac:dyDescent="0.2">
      <c r="A1752" s="177"/>
      <c r="B1752" s="178"/>
      <c r="C1752" s="179"/>
      <c r="D1752" s="243"/>
      <c r="E1752" s="180"/>
      <c r="F1752" s="180"/>
      <c r="G1752" s="180"/>
      <c r="H1752" s="180"/>
      <c r="I1752" s="188" t="s">
        <v>2241</v>
      </c>
      <c r="J1752" s="172" t="s">
        <v>1387</v>
      </c>
      <c r="K1752" s="199">
        <f>450000*20%</f>
        <v>90000</v>
      </c>
      <c r="L1752" s="185"/>
      <c r="M1752" s="185"/>
      <c r="AV1752" s="138"/>
      <c r="AW1752" s="138"/>
      <c r="AX1752" s="138"/>
      <c r="AY1752" s="138"/>
      <c r="AZ1752" s="138"/>
      <c r="BA1752" s="138"/>
      <c r="BB1752" s="138"/>
      <c r="BC1752" s="138"/>
      <c r="BD1752" s="138"/>
      <c r="BE1752" s="138"/>
      <c r="BF1752" s="138"/>
      <c r="BG1752" s="138"/>
      <c r="BH1752" s="138"/>
      <c r="BI1752" s="138"/>
      <c r="BJ1752" s="138"/>
      <c r="BK1752" s="138"/>
      <c r="BL1752" s="138"/>
      <c r="BM1752" s="138"/>
      <c r="BN1752" s="138"/>
      <c r="BO1752" s="138"/>
    </row>
    <row r="1753" spans="1:67" ht="21.75" customHeight="1" x14ac:dyDescent="0.2">
      <c r="A1753" s="177"/>
      <c r="B1753" s="178"/>
      <c r="C1753" s="179"/>
      <c r="D1753" s="243"/>
      <c r="E1753" s="180"/>
      <c r="F1753" s="180"/>
      <c r="G1753" s="180"/>
      <c r="H1753" s="180"/>
      <c r="I1753" s="188" t="s">
        <v>2242</v>
      </c>
      <c r="J1753" s="226" t="s">
        <v>1387</v>
      </c>
      <c r="K1753" s="199">
        <f>450000*10%</f>
        <v>45000</v>
      </c>
      <c r="L1753" s="185"/>
      <c r="M1753" s="185"/>
      <c r="AV1753" s="138"/>
      <c r="AW1753" s="138"/>
      <c r="AX1753" s="138"/>
      <c r="AY1753" s="138"/>
      <c r="AZ1753" s="138"/>
      <c r="BA1753" s="138"/>
      <c r="BB1753" s="138"/>
      <c r="BC1753" s="138"/>
      <c r="BD1753" s="138"/>
      <c r="BE1753" s="138"/>
      <c r="BF1753" s="138"/>
      <c r="BG1753" s="138"/>
      <c r="BH1753" s="138"/>
      <c r="BI1753" s="138"/>
      <c r="BJ1753" s="138"/>
      <c r="BK1753" s="138"/>
      <c r="BL1753" s="138"/>
      <c r="BM1753" s="138"/>
      <c r="BN1753" s="138"/>
      <c r="BO1753" s="138"/>
    </row>
    <row r="1754" spans="1:67" ht="21.75" customHeight="1" x14ac:dyDescent="0.2">
      <c r="A1754" s="177"/>
      <c r="B1754" s="178"/>
      <c r="C1754" s="179"/>
      <c r="D1754" s="243"/>
      <c r="E1754" s="180"/>
      <c r="F1754" s="180"/>
      <c r="G1754" s="180"/>
      <c r="H1754" s="180"/>
      <c r="I1754" s="188" t="s">
        <v>2243</v>
      </c>
      <c r="J1754" s="207" t="s">
        <v>1387</v>
      </c>
      <c r="K1754" s="214">
        <f>450000*5%</f>
        <v>22500</v>
      </c>
      <c r="L1754" s="185"/>
      <c r="M1754" s="185"/>
      <c r="AV1754" s="138"/>
      <c r="AW1754" s="138"/>
      <c r="AX1754" s="138"/>
      <c r="AY1754" s="138"/>
      <c r="AZ1754" s="138"/>
      <c r="BA1754" s="138"/>
      <c r="BB1754" s="138"/>
      <c r="BC1754" s="138"/>
      <c r="BD1754" s="138"/>
      <c r="BE1754" s="138"/>
      <c r="BF1754" s="138"/>
      <c r="BG1754" s="138"/>
      <c r="BH1754" s="138"/>
      <c r="BI1754" s="138"/>
      <c r="BJ1754" s="138"/>
      <c r="BK1754" s="138"/>
      <c r="BL1754" s="138"/>
      <c r="BM1754" s="138"/>
      <c r="BN1754" s="138"/>
      <c r="BO1754" s="138"/>
    </row>
    <row r="1755" spans="1:67" ht="21.75" customHeight="1" x14ac:dyDescent="0.2">
      <c r="A1755" s="189"/>
      <c r="B1755" s="190"/>
      <c r="C1755" s="191"/>
      <c r="D1755" s="244"/>
      <c r="E1755" s="192"/>
      <c r="F1755" s="192"/>
      <c r="G1755" s="192"/>
      <c r="H1755" s="192"/>
      <c r="I1755" s="193"/>
      <c r="J1755" s="215"/>
      <c r="K1755" s="370">
        <f>SUM(K1751:K1754)</f>
        <v>450000</v>
      </c>
      <c r="L1755" s="197"/>
      <c r="M1755" s="197"/>
      <c r="AV1755" s="138"/>
      <c r="AW1755" s="138"/>
      <c r="AX1755" s="138"/>
      <c r="AY1755" s="138"/>
      <c r="AZ1755" s="138"/>
      <c r="BA1755" s="138"/>
      <c r="BB1755" s="138"/>
      <c r="BC1755" s="138"/>
      <c r="BD1755" s="138"/>
      <c r="BE1755" s="138"/>
      <c r="BF1755" s="138"/>
      <c r="BG1755" s="138"/>
      <c r="BH1755" s="138"/>
      <c r="BI1755" s="138"/>
      <c r="BJ1755" s="138"/>
      <c r="BK1755" s="138"/>
      <c r="BL1755" s="138"/>
      <c r="BM1755" s="138"/>
      <c r="BN1755" s="138"/>
      <c r="BO1755" s="138"/>
    </row>
    <row r="1756" spans="1:67" x14ac:dyDescent="0.2">
      <c r="A1756" s="167">
        <v>417</v>
      </c>
      <c r="B1756" s="168" t="s">
        <v>2244</v>
      </c>
      <c r="C1756" s="169"/>
      <c r="D1756" s="170" t="s">
        <v>107</v>
      </c>
      <c r="E1756" s="170"/>
      <c r="F1756" s="170"/>
      <c r="G1756" s="170"/>
      <c r="H1756" s="246" t="s">
        <v>164</v>
      </c>
      <c r="I1756" s="274" t="s">
        <v>2245</v>
      </c>
      <c r="J1756" s="275" t="s">
        <v>1559</v>
      </c>
      <c r="K1756" s="266">
        <f>5000*90%</f>
        <v>4500</v>
      </c>
      <c r="L1756" s="169" t="s">
        <v>111</v>
      </c>
      <c r="M1756" s="175" t="s">
        <v>2246</v>
      </c>
      <c r="AV1756" s="138"/>
      <c r="AW1756" s="138"/>
      <c r="AX1756" s="138"/>
      <c r="AY1756" s="138"/>
      <c r="AZ1756" s="138"/>
      <c r="BA1756" s="138"/>
      <c r="BB1756" s="138"/>
      <c r="BC1756" s="138"/>
      <c r="BD1756" s="138"/>
      <c r="BE1756" s="138"/>
      <c r="BF1756" s="138"/>
      <c r="BG1756" s="138"/>
      <c r="BH1756" s="138"/>
      <c r="BI1756" s="138"/>
      <c r="BJ1756" s="138"/>
      <c r="BK1756" s="138"/>
      <c r="BL1756" s="138"/>
      <c r="BM1756" s="138"/>
      <c r="BN1756" s="138"/>
      <c r="BO1756" s="138"/>
    </row>
    <row r="1757" spans="1:67" x14ac:dyDescent="0.2">
      <c r="A1757" s="177"/>
      <c r="B1757" s="178"/>
      <c r="C1757" s="179"/>
      <c r="D1757" s="180"/>
      <c r="E1757" s="180"/>
      <c r="F1757" s="180"/>
      <c r="G1757" s="180"/>
      <c r="H1757" s="248"/>
      <c r="I1757" s="188" t="s">
        <v>2247</v>
      </c>
      <c r="J1757" s="270" t="s">
        <v>1559</v>
      </c>
      <c r="K1757" s="214">
        <f>5000*10%</f>
        <v>500</v>
      </c>
      <c r="L1757" s="179"/>
      <c r="M1757" s="185"/>
      <c r="AV1757" s="138"/>
      <c r="AW1757" s="138"/>
      <c r="AX1757" s="138"/>
      <c r="AY1757" s="138"/>
      <c r="AZ1757" s="138"/>
      <c r="BA1757" s="138"/>
      <c r="BB1757" s="138"/>
      <c r="BC1757" s="138"/>
      <c r="BD1757" s="138"/>
      <c r="BE1757" s="138"/>
      <c r="BF1757" s="138"/>
      <c r="BG1757" s="138"/>
      <c r="BH1757" s="138"/>
      <c r="BI1757" s="138"/>
      <c r="BJ1757" s="138"/>
      <c r="BK1757" s="138"/>
      <c r="BL1757" s="138"/>
      <c r="BM1757" s="138"/>
      <c r="BN1757" s="138"/>
      <c r="BO1757" s="138"/>
    </row>
    <row r="1758" spans="1:67" x14ac:dyDescent="0.2">
      <c r="A1758" s="189"/>
      <c r="B1758" s="190"/>
      <c r="C1758" s="191"/>
      <c r="D1758" s="192"/>
      <c r="E1758" s="192"/>
      <c r="F1758" s="192"/>
      <c r="G1758" s="192"/>
      <c r="H1758" s="249"/>
      <c r="I1758" s="181"/>
      <c r="J1758" s="305"/>
      <c r="K1758" s="199">
        <f>SUM(K1756:K1757)</f>
        <v>5000</v>
      </c>
      <c r="L1758" s="191"/>
      <c r="M1758" s="197"/>
      <c r="AV1758" s="138"/>
      <c r="AW1758" s="138"/>
      <c r="AX1758" s="138"/>
      <c r="AY1758" s="138"/>
      <c r="AZ1758" s="138"/>
      <c r="BA1758" s="138"/>
      <c r="BB1758" s="138"/>
      <c r="BC1758" s="138"/>
      <c r="BD1758" s="138"/>
      <c r="BE1758" s="138"/>
      <c r="BF1758" s="138"/>
      <c r="BG1758" s="138"/>
      <c r="BH1758" s="138"/>
      <c r="BI1758" s="138"/>
      <c r="BJ1758" s="138"/>
      <c r="BK1758" s="138"/>
      <c r="BL1758" s="138"/>
      <c r="BM1758" s="138"/>
      <c r="BN1758" s="138"/>
      <c r="BO1758" s="138"/>
    </row>
    <row r="1759" spans="1:67" x14ac:dyDescent="0.2">
      <c r="A1759" s="167">
        <v>418</v>
      </c>
      <c r="B1759" s="168" t="s">
        <v>2248</v>
      </c>
      <c r="C1759" s="169"/>
      <c r="D1759" s="170" t="s">
        <v>107</v>
      </c>
      <c r="E1759" s="170"/>
      <c r="F1759" s="170"/>
      <c r="G1759" s="170"/>
      <c r="H1759" s="246"/>
      <c r="I1759" s="217" t="s">
        <v>2249</v>
      </c>
      <c r="J1759" s="265" t="s">
        <v>1559</v>
      </c>
      <c r="K1759" s="266">
        <f>4800*75%</f>
        <v>3600</v>
      </c>
      <c r="L1759" s="169" t="s">
        <v>111</v>
      </c>
      <c r="M1759" s="175" t="s">
        <v>2250</v>
      </c>
      <c r="N1759" s="176"/>
      <c r="AV1759" s="138"/>
      <c r="AW1759" s="138"/>
      <c r="AX1759" s="138"/>
      <c r="AY1759" s="138"/>
      <c r="AZ1759" s="138"/>
      <c r="BA1759" s="138"/>
      <c r="BB1759" s="138"/>
      <c r="BC1759" s="138"/>
      <c r="BD1759" s="138"/>
      <c r="BE1759" s="138"/>
      <c r="BF1759" s="138"/>
      <c r="BG1759" s="138"/>
      <c r="BH1759" s="138"/>
      <c r="BI1759" s="138"/>
      <c r="BJ1759" s="138"/>
      <c r="BK1759" s="138"/>
      <c r="BL1759" s="138"/>
      <c r="BM1759" s="138"/>
      <c r="BN1759" s="138"/>
      <c r="BO1759" s="138"/>
    </row>
    <row r="1760" spans="1:67" ht="48" x14ac:dyDescent="0.2">
      <c r="A1760" s="177"/>
      <c r="B1760" s="178"/>
      <c r="C1760" s="179"/>
      <c r="D1760" s="180"/>
      <c r="E1760" s="180"/>
      <c r="F1760" s="180"/>
      <c r="G1760" s="180"/>
      <c r="H1760" s="248"/>
      <c r="I1760" s="188" t="s">
        <v>2251</v>
      </c>
      <c r="J1760" s="270" t="s">
        <v>655</v>
      </c>
      <c r="K1760" s="214">
        <f>4800*25%</f>
        <v>1200</v>
      </c>
      <c r="L1760" s="179"/>
      <c r="M1760" s="185"/>
      <c r="AV1760" s="138"/>
      <c r="AW1760" s="138"/>
      <c r="AX1760" s="138"/>
      <c r="AY1760" s="138"/>
      <c r="AZ1760" s="138"/>
      <c r="BA1760" s="138"/>
      <c r="BB1760" s="138"/>
      <c r="BC1760" s="138"/>
      <c r="BD1760" s="138"/>
      <c r="BE1760" s="138"/>
      <c r="BF1760" s="138"/>
      <c r="BG1760" s="138"/>
      <c r="BH1760" s="138"/>
      <c r="BI1760" s="138"/>
      <c r="BJ1760" s="138"/>
      <c r="BK1760" s="138"/>
      <c r="BL1760" s="138"/>
      <c r="BM1760" s="138"/>
      <c r="BN1760" s="138"/>
      <c r="BO1760" s="138"/>
    </row>
    <row r="1761" spans="1:67" x14ac:dyDescent="0.2">
      <c r="A1761" s="189"/>
      <c r="B1761" s="190"/>
      <c r="C1761" s="191"/>
      <c r="D1761" s="192"/>
      <c r="E1761" s="192"/>
      <c r="F1761" s="192"/>
      <c r="G1761" s="192"/>
      <c r="H1761" s="249"/>
      <c r="I1761" s="203"/>
      <c r="J1761" s="273"/>
      <c r="K1761" s="245">
        <f>SUM(K1759:K1760)</f>
        <v>4800</v>
      </c>
      <c r="L1761" s="191"/>
      <c r="M1761" s="197"/>
      <c r="AV1761" s="138"/>
      <c r="AW1761" s="138"/>
      <c r="AX1761" s="138"/>
      <c r="AY1761" s="138"/>
      <c r="AZ1761" s="138"/>
      <c r="BA1761" s="138"/>
      <c r="BB1761" s="138"/>
      <c r="BC1761" s="138"/>
      <c r="BD1761" s="138"/>
      <c r="BE1761" s="138"/>
      <c r="BF1761" s="138"/>
      <c r="BG1761" s="138"/>
      <c r="BH1761" s="138"/>
      <c r="BI1761" s="138"/>
      <c r="BJ1761" s="138"/>
      <c r="BK1761" s="138"/>
      <c r="BL1761" s="138"/>
      <c r="BM1761" s="138"/>
      <c r="BN1761" s="138"/>
      <c r="BO1761" s="138"/>
    </row>
    <row r="1762" spans="1:67" x14ac:dyDescent="0.2">
      <c r="A1762" s="167">
        <v>419</v>
      </c>
      <c r="B1762" s="168" t="s">
        <v>2252</v>
      </c>
      <c r="C1762" s="169"/>
      <c r="D1762" s="170" t="s">
        <v>163</v>
      </c>
      <c r="E1762" s="170"/>
      <c r="F1762" s="170"/>
      <c r="G1762" s="170"/>
      <c r="H1762" s="246"/>
      <c r="I1762" s="274" t="s">
        <v>2253</v>
      </c>
      <c r="J1762" s="275" t="s">
        <v>1559</v>
      </c>
      <c r="K1762" s="276">
        <f>530000*30%</f>
        <v>159000</v>
      </c>
      <c r="L1762" s="169" t="s">
        <v>166</v>
      </c>
      <c r="M1762" s="175" t="s">
        <v>2254</v>
      </c>
      <c r="AV1762" s="138"/>
      <c r="AW1762" s="138"/>
      <c r="AX1762" s="138"/>
      <c r="AY1762" s="138"/>
      <c r="AZ1762" s="138"/>
      <c r="BA1762" s="138"/>
      <c r="BB1762" s="138"/>
      <c r="BC1762" s="138"/>
      <c r="BD1762" s="138"/>
      <c r="BE1762" s="138"/>
      <c r="BF1762" s="138"/>
      <c r="BG1762" s="138"/>
      <c r="BH1762" s="138"/>
      <c r="BI1762" s="138"/>
      <c r="BJ1762" s="138"/>
      <c r="BK1762" s="138"/>
      <c r="BL1762" s="138"/>
      <c r="BM1762" s="138"/>
      <c r="BN1762" s="138"/>
      <c r="BO1762" s="138"/>
    </row>
    <row r="1763" spans="1:67" x14ac:dyDescent="0.2">
      <c r="A1763" s="177"/>
      <c r="B1763" s="178"/>
      <c r="C1763" s="179"/>
      <c r="D1763" s="180"/>
      <c r="E1763" s="180"/>
      <c r="F1763" s="180"/>
      <c r="G1763" s="180"/>
      <c r="H1763" s="248"/>
      <c r="I1763" s="188" t="s">
        <v>2255</v>
      </c>
      <c r="J1763" s="270" t="s">
        <v>1559</v>
      </c>
      <c r="K1763" s="214">
        <f>530000*25%</f>
        <v>132500</v>
      </c>
      <c r="L1763" s="179"/>
      <c r="M1763" s="185"/>
      <c r="AV1763" s="138"/>
      <c r="AW1763" s="138"/>
      <c r="AX1763" s="138"/>
      <c r="AY1763" s="138"/>
      <c r="AZ1763" s="138"/>
      <c r="BA1763" s="138"/>
      <c r="BB1763" s="138"/>
      <c r="BC1763" s="138"/>
      <c r="BD1763" s="138"/>
      <c r="BE1763" s="138"/>
      <c r="BF1763" s="138"/>
      <c r="BG1763" s="138"/>
      <c r="BH1763" s="138"/>
      <c r="BI1763" s="138"/>
      <c r="BJ1763" s="138"/>
      <c r="BK1763" s="138"/>
      <c r="BL1763" s="138"/>
      <c r="BM1763" s="138"/>
      <c r="BN1763" s="138"/>
      <c r="BO1763" s="138"/>
    </row>
    <row r="1764" spans="1:67" x14ac:dyDescent="0.2">
      <c r="A1764" s="177"/>
      <c r="B1764" s="178"/>
      <c r="C1764" s="179"/>
      <c r="D1764" s="180"/>
      <c r="E1764" s="180"/>
      <c r="F1764" s="180"/>
      <c r="G1764" s="180"/>
      <c r="H1764" s="248"/>
      <c r="I1764" s="188" t="s">
        <v>2256</v>
      </c>
      <c r="J1764" s="270" t="s">
        <v>1559</v>
      </c>
      <c r="K1764" s="214">
        <f>530000*25%</f>
        <v>132500</v>
      </c>
      <c r="L1764" s="179"/>
      <c r="M1764" s="185"/>
      <c r="AV1764" s="138"/>
      <c r="AW1764" s="138"/>
      <c r="AX1764" s="138"/>
      <c r="AY1764" s="138"/>
      <c r="AZ1764" s="138"/>
      <c r="BA1764" s="138"/>
      <c r="BB1764" s="138"/>
      <c r="BC1764" s="138"/>
      <c r="BD1764" s="138"/>
      <c r="BE1764" s="138"/>
      <c r="BF1764" s="138"/>
      <c r="BG1764" s="138"/>
      <c r="BH1764" s="138"/>
      <c r="BI1764" s="138"/>
      <c r="BJ1764" s="138"/>
      <c r="BK1764" s="138"/>
      <c r="BL1764" s="138"/>
      <c r="BM1764" s="138"/>
      <c r="BN1764" s="138"/>
      <c r="BO1764" s="138"/>
    </row>
    <row r="1765" spans="1:67" x14ac:dyDescent="0.2">
      <c r="A1765" s="177"/>
      <c r="B1765" s="178"/>
      <c r="C1765" s="179"/>
      <c r="D1765" s="180"/>
      <c r="E1765" s="180"/>
      <c r="F1765" s="180"/>
      <c r="G1765" s="180"/>
      <c r="H1765" s="248"/>
      <c r="I1765" s="188" t="s">
        <v>2257</v>
      </c>
      <c r="J1765" s="270" t="s">
        <v>1559</v>
      </c>
      <c r="K1765" s="214">
        <f>530000*20%</f>
        <v>106000</v>
      </c>
      <c r="L1765" s="179"/>
      <c r="M1765" s="185"/>
      <c r="AV1765" s="138"/>
      <c r="AW1765" s="138"/>
      <c r="AX1765" s="138"/>
      <c r="AY1765" s="138"/>
      <c r="AZ1765" s="138"/>
      <c r="BA1765" s="138"/>
      <c r="BB1765" s="138"/>
      <c r="BC1765" s="138"/>
      <c r="BD1765" s="138"/>
      <c r="BE1765" s="138"/>
      <c r="BF1765" s="138"/>
      <c r="BG1765" s="138"/>
      <c r="BH1765" s="138"/>
      <c r="BI1765" s="138"/>
      <c r="BJ1765" s="138"/>
      <c r="BK1765" s="138"/>
      <c r="BL1765" s="138"/>
      <c r="BM1765" s="138"/>
      <c r="BN1765" s="138"/>
      <c r="BO1765" s="138"/>
    </row>
    <row r="1766" spans="1:67" x14ac:dyDescent="0.2">
      <c r="A1766" s="189"/>
      <c r="B1766" s="190"/>
      <c r="C1766" s="191"/>
      <c r="D1766" s="192"/>
      <c r="E1766" s="192"/>
      <c r="F1766" s="192"/>
      <c r="G1766" s="192"/>
      <c r="H1766" s="249"/>
      <c r="I1766" s="181"/>
      <c r="J1766" s="305"/>
      <c r="K1766" s="199">
        <f>SUM(K1762:K1765)</f>
        <v>530000</v>
      </c>
      <c r="L1766" s="191"/>
      <c r="M1766" s="197"/>
      <c r="AV1766" s="138"/>
      <c r="AW1766" s="138"/>
      <c r="AX1766" s="138"/>
      <c r="AY1766" s="138"/>
      <c r="AZ1766" s="138"/>
      <c r="BA1766" s="138"/>
      <c r="BB1766" s="138"/>
      <c r="BC1766" s="138"/>
      <c r="BD1766" s="138"/>
      <c r="BE1766" s="138"/>
      <c r="BF1766" s="138"/>
      <c r="BG1766" s="138"/>
      <c r="BH1766" s="138"/>
      <c r="BI1766" s="138"/>
      <c r="BJ1766" s="138"/>
      <c r="BK1766" s="138"/>
      <c r="BL1766" s="138"/>
      <c r="BM1766" s="138"/>
      <c r="BN1766" s="138"/>
      <c r="BO1766" s="138"/>
    </row>
    <row r="1767" spans="1:67" ht="21" customHeight="1" x14ac:dyDescent="0.2">
      <c r="A1767" s="167">
        <v>420</v>
      </c>
      <c r="B1767" s="168" t="s">
        <v>2258</v>
      </c>
      <c r="C1767" s="169"/>
      <c r="D1767" s="170" t="s">
        <v>163</v>
      </c>
      <c r="E1767" s="170"/>
      <c r="F1767" s="170"/>
      <c r="G1767" s="170"/>
      <c r="H1767" s="246"/>
      <c r="I1767" s="217" t="s">
        <v>2259</v>
      </c>
      <c r="J1767" s="265" t="s">
        <v>186</v>
      </c>
      <c r="K1767" s="266">
        <f>530000*60%</f>
        <v>318000</v>
      </c>
      <c r="L1767" s="169" t="s">
        <v>166</v>
      </c>
      <c r="M1767" s="175" t="s">
        <v>2260</v>
      </c>
      <c r="AV1767" s="138"/>
      <c r="AW1767" s="138"/>
      <c r="AX1767" s="138"/>
      <c r="AY1767" s="138"/>
      <c r="AZ1767" s="138"/>
      <c r="BA1767" s="138"/>
      <c r="BB1767" s="138"/>
      <c r="BC1767" s="138"/>
      <c r="BD1767" s="138"/>
      <c r="BE1767" s="138"/>
      <c r="BF1767" s="138"/>
      <c r="BG1767" s="138"/>
      <c r="BH1767" s="138"/>
      <c r="BI1767" s="138"/>
      <c r="BJ1767" s="138"/>
      <c r="BK1767" s="138"/>
      <c r="BL1767" s="138"/>
      <c r="BM1767" s="138"/>
      <c r="BN1767" s="138"/>
      <c r="BO1767" s="138"/>
    </row>
    <row r="1768" spans="1:67" x14ac:dyDescent="0.2">
      <c r="A1768" s="177"/>
      <c r="B1768" s="178"/>
      <c r="C1768" s="179"/>
      <c r="D1768" s="180"/>
      <c r="E1768" s="180"/>
      <c r="F1768" s="180"/>
      <c r="G1768" s="180"/>
      <c r="H1768" s="248"/>
      <c r="I1768" s="188" t="s">
        <v>596</v>
      </c>
      <c r="J1768" s="270" t="s">
        <v>1559</v>
      </c>
      <c r="K1768" s="214">
        <f>530000*10%</f>
        <v>53000</v>
      </c>
      <c r="L1768" s="179"/>
      <c r="M1768" s="185"/>
      <c r="AV1768" s="138"/>
      <c r="AW1768" s="138"/>
      <c r="AX1768" s="138"/>
      <c r="AY1768" s="138"/>
      <c r="AZ1768" s="138"/>
      <c r="BA1768" s="138"/>
      <c r="BB1768" s="138"/>
      <c r="BC1768" s="138"/>
      <c r="BD1768" s="138"/>
      <c r="BE1768" s="138"/>
      <c r="BF1768" s="138"/>
      <c r="BG1768" s="138"/>
      <c r="BH1768" s="138"/>
      <c r="BI1768" s="138"/>
      <c r="BJ1768" s="138"/>
      <c r="BK1768" s="138"/>
      <c r="BL1768" s="138"/>
      <c r="BM1768" s="138"/>
      <c r="BN1768" s="138"/>
      <c r="BO1768" s="138"/>
    </row>
    <row r="1769" spans="1:67" x14ac:dyDescent="0.2">
      <c r="A1769" s="177"/>
      <c r="B1769" s="178"/>
      <c r="C1769" s="179"/>
      <c r="D1769" s="180"/>
      <c r="E1769" s="180"/>
      <c r="F1769" s="180"/>
      <c r="G1769" s="180"/>
      <c r="H1769" s="248"/>
      <c r="I1769" s="188" t="s">
        <v>2261</v>
      </c>
      <c r="J1769" s="270" t="s">
        <v>1559</v>
      </c>
      <c r="K1769" s="214">
        <f>530000*10%</f>
        <v>53000</v>
      </c>
      <c r="L1769" s="179"/>
      <c r="M1769" s="185"/>
      <c r="AV1769" s="138"/>
      <c r="AW1769" s="138"/>
      <c r="AX1769" s="138"/>
      <c r="AY1769" s="138"/>
      <c r="AZ1769" s="138"/>
      <c r="BA1769" s="138"/>
      <c r="BB1769" s="138"/>
      <c r="BC1769" s="138"/>
      <c r="BD1769" s="138"/>
      <c r="BE1769" s="138"/>
      <c r="BF1769" s="138"/>
      <c r="BG1769" s="138"/>
      <c r="BH1769" s="138"/>
      <c r="BI1769" s="138"/>
      <c r="BJ1769" s="138"/>
      <c r="BK1769" s="138"/>
      <c r="BL1769" s="138"/>
      <c r="BM1769" s="138"/>
      <c r="BN1769" s="138"/>
      <c r="BO1769" s="138"/>
    </row>
    <row r="1770" spans="1:67" x14ac:dyDescent="0.2">
      <c r="A1770" s="177"/>
      <c r="B1770" s="178"/>
      <c r="C1770" s="179"/>
      <c r="D1770" s="180"/>
      <c r="E1770" s="180"/>
      <c r="F1770" s="180"/>
      <c r="G1770" s="180"/>
      <c r="H1770" s="248"/>
      <c r="I1770" s="188" t="s">
        <v>2262</v>
      </c>
      <c r="J1770" s="270" t="s">
        <v>1559</v>
      </c>
      <c r="K1770" s="214">
        <f>530000*10%</f>
        <v>53000</v>
      </c>
      <c r="L1770" s="179"/>
      <c r="M1770" s="185"/>
      <c r="AV1770" s="138"/>
      <c r="AW1770" s="138"/>
      <c r="AX1770" s="138"/>
      <c r="AY1770" s="138"/>
      <c r="AZ1770" s="138"/>
      <c r="BA1770" s="138"/>
      <c r="BB1770" s="138"/>
      <c r="BC1770" s="138"/>
      <c r="BD1770" s="138"/>
      <c r="BE1770" s="138"/>
      <c r="BF1770" s="138"/>
      <c r="BG1770" s="138"/>
      <c r="BH1770" s="138"/>
      <c r="BI1770" s="138"/>
      <c r="BJ1770" s="138"/>
      <c r="BK1770" s="138"/>
      <c r="BL1770" s="138"/>
      <c r="BM1770" s="138"/>
      <c r="BN1770" s="138"/>
      <c r="BO1770" s="138"/>
    </row>
    <row r="1771" spans="1:67" x14ac:dyDescent="0.2">
      <c r="A1771" s="177"/>
      <c r="B1771" s="178"/>
      <c r="C1771" s="179"/>
      <c r="D1771" s="180"/>
      <c r="E1771" s="180"/>
      <c r="F1771" s="180"/>
      <c r="G1771" s="180"/>
      <c r="H1771" s="248"/>
      <c r="I1771" s="188" t="s">
        <v>2263</v>
      </c>
      <c r="J1771" s="270" t="s">
        <v>1559</v>
      </c>
      <c r="K1771" s="214">
        <f>530000*10%</f>
        <v>53000</v>
      </c>
      <c r="L1771" s="179"/>
      <c r="M1771" s="185"/>
      <c r="AV1771" s="138"/>
      <c r="AW1771" s="138"/>
      <c r="AX1771" s="138"/>
      <c r="AY1771" s="138"/>
      <c r="AZ1771" s="138"/>
      <c r="BA1771" s="138"/>
      <c r="BB1771" s="138"/>
      <c r="BC1771" s="138"/>
      <c r="BD1771" s="138"/>
      <c r="BE1771" s="138"/>
      <c r="BF1771" s="138"/>
      <c r="BG1771" s="138"/>
      <c r="BH1771" s="138"/>
      <c r="BI1771" s="138"/>
      <c r="BJ1771" s="138"/>
      <c r="BK1771" s="138"/>
      <c r="BL1771" s="138"/>
      <c r="BM1771" s="138"/>
      <c r="BN1771" s="138"/>
      <c r="BO1771" s="138"/>
    </row>
    <row r="1772" spans="1:67" x14ac:dyDescent="0.2">
      <c r="A1772" s="189"/>
      <c r="B1772" s="190"/>
      <c r="C1772" s="191"/>
      <c r="D1772" s="192"/>
      <c r="E1772" s="192"/>
      <c r="F1772" s="192"/>
      <c r="G1772" s="192"/>
      <c r="H1772" s="249"/>
      <c r="I1772" s="203"/>
      <c r="J1772" s="273"/>
      <c r="K1772" s="245">
        <f>SUM(K1767:K1771)</f>
        <v>530000</v>
      </c>
      <c r="L1772" s="191"/>
      <c r="M1772" s="197"/>
      <c r="AV1772" s="138"/>
      <c r="AW1772" s="138"/>
      <c r="AX1772" s="138"/>
      <c r="AY1772" s="138"/>
      <c r="AZ1772" s="138"/>
      <c r="BA1772" s="138"/>
      <c r="BB1772" s="138"/>
      <c r="BC1772" s="138"/>
      <c r="BD1772" s="138"/>
      <c r="BE1772" s="138"/>
      <c r="BF1772" s="138"/>
      <c r="BG1772" s="138"/>
      <c r="BH1772" s="138"/>
      <c r="BI1772" s="138"/>
      <c r="BJ1772" s="138"/>
      <c r="BK1772" s="138"/>
      <c r="BL1772" s="138"/>
      <c r="BM1772" s="138"/>
      <c r="BN1772" s="138"/>
      <c r="BO1772" s="138"/>
    </row>
    <row r="1773" spans="1:67" x14ac:dyDescent="0.2">
      <c r="A1773" s="167">
        <v>421</v>
      </c>
      <c r="B1773" s="168" t="s">
        <v>2264</v>
      </c>
      <c r="C1773" s="169"/>
      <c r="D1773" s="170" t="s">
        <v>25</v>
      </c>
      <c r="E1773" s="170"/>
      <c r="F1773" s="170" t="s">
        <v>1239</v>
      </c>
      <c r="G1773" s="170" t="s">
        <v>2265</v>
      </c>
      <c r="H1773" s="439" t="s">
        <v>1127</v>
      </c>
      <c r="I1773" s="440" t="s">
        <v>2266</v>
      </c>
      <c r="J1773" s="259" t="s">
        <v>1559</v>
      </c>
      <c r="K1773" s="363">
        <v>1110444</v>
      </c>
      <c r="L1773" s="169" t="s">
        <v>2265</v>
      </c>
      <c r="M1773" s="175" t="s">
        <v>2267</v>
      </c>
      <c r="N1773" s="176"/>
      <c r="AV1773" s="138"/>
      <c r="AW1773" s="138"/>
      <c r="AX1773" s="138"/>
      <c r="AY1773" s="138"/>
      <c r="AZ1773" s="138"/>
      <c r="BA1773" s="138"/>
      <c r="BB1773" s="138"/>
      <c r="BC1773" s="138"/>
      <c r="BD1773" s="138"/>
      <c r="BE1773" s="138"/>
      <c r="BF1773" s="138"/>
      <c r="BG1773" s="138"/>
      <c r="BH1773" s="138"/>
      <c r="BI1773" s="138"/>
      <c r="BJ1773" s="138"/>
      <c r="BK1773" s="138"/>
      <c r="BL1773" s="138"/>
      <c r="BM1773" s="138"/>
      <c r="BN1773" s="138"/>
      <c r="BO1773" s="138"/>
    </row>
    <row r="1774" spans="1:67" x14ac:dyDescent="0.2">
      <c r="A1774" s="177"/>
      <c r="B1774" s="178"/>
      <c r="C1774" s="179"/>
      <c r="D1774" s="180"/>
      <c r="E1774" s="180"/>
      <c r="F1774" s="180"/>
      <c r="G1774" s="180"/>
      <c r="H1774" s="441"/>
      <c r="I1774" s="442" t="s">
        <v>2268</v>
      </c>
      <c r="J1774" s="207" t="s">
        <v>1559</v>
      </c>
      <c r="K1774" s="214">
        <v>1110444</v>
      </c>
      <c r="L1774" s="179"/>
      <c r="M1774" s="185"/>
      <c r="AV1774" s="138"/>
      <c r="AW1774" s="138"/>
      <c r="AX1774" s="138"/>
      <c r="AY1774" s="138"/>
      <c r="AZ1774" s="138"/>
      <c r="BA1774" s="138"/>
      <c r="BB1774" s="138"/>
      <c r="BC1774" s="138"/>
      <c r="BD1774" s="138"/>
      <c r="BE1774" s="138"/>
      <c r="BF1774" s="138"/>
      <c r="BG1774" s="138"/>
      <c r="BH1774" s="138"/>
      <c r="BI1774" s="138"/>
      <c r="BJ1774" s="138"/>
      <c r="BK1774" s="138"/>
      <c r="BL1774" s="138"/>
      <c r="BM1774" s="138"/>
      <c r="BN1774" s="138"/>
      <c r="BO1774" s="138"/>
    </row>
    <row r="1775" spans="1:67" x14ac:dyDescent="0.2">
      <c r="A1775" s="177"/>
      <c r="B1775" s="178"/>
      <c r="C1775" s="179"/>
      <c r="D1775" s="180"/>
      <c r="E1775" s="180"/>
      <c r="F1775" s="180"/>
      <c r="G1775" s="180"/>
      <c r="H1775" s="441"/>
      <c r="I1775" s="251" t="s">
        <v>2269</v>
      </c>
      <c r="J1775" s="386" t="s">
        <v>1559</v>
      </c>
      <c r="K1775" s="370">
        <v>1110444</v>
      </c>
      <c r="L1775" s="179"/>
      <c r="M1775" s="185"/>
      <c r="AV1775" s="138"/>
      <c r="AW1775" s="138"/>
      <c r="AX1775" s="138"/>
      <c r="AY1775" s="138"/>
      <c r="AZ1775" s="138"/>
      <c r="BA1775" s="138"/>
      <c r="BB1775" s="138"/>
      <c r="BC1775" s="138"/>
      <c r="BD1775" s="138"/>
      <c r="BE1775" s="138"/>
      <c r="BF1775" s="138"/>
      <c r="BG1775" s="138"/>
      <c r="BH1775" s="138"/>
      <c r="BI1775" s="138"/>
      <c r="BJ1775" s="138"/>
      <c r="BK1775" s="138"/>
      <c r="BL1775" s="138"/>
      <c r="BM1775" s="138"/>
      <c r="BN1775" s="138"/>
      <c r="BO1775" s="138"/>
    </row>
    <row r="1776" spans="1:67" x14ac:dyDescent="0.2">
      <c r="A1776" s="177"/>
      <c r="B1776" s="178"/>
      <c r="C1776" s="179"/>
      <c r="D1776" s="180"/>
      <c r="E1776" s="180"/>
      <c r="F1776" s="180"/>
      <c r="G1776" s="180"/>
      <c r="H1776" s="441"/>
      <c r="I1776" s="443" t="s">
        <v>2270</v>
      </c>
      <c r="J1776" s="207" t="s">
        <v>1559</v>
      </c>
      <c r="K1776" s="214">
        <v>1110444</v>
      </c>
      <c r="L1776" s="179"/>
      <c r="M1776" s="185"/>
      <c r="AV1776" s="138"/>
      <c r="AW1776" s="138"/>
      <c r="AX1776" s="138"/>
      <c r="AY1776" s="138"/>
      <c r="AZ1776" s="138"/>
      <c r="BA1776" s="138"/>
      <c r="BB1776" s="138"/>
      <c r="BC1776" s="138"/>
      <c r="BD1776" s="138"/>
      <c r="BE1776" s="138"/>
      <c r="BF1776" s="138"/>
      <c r="BG1776" s="138"/>
      <c r="BH1776" s="138"/>
      <c r="BI1776" s="138"/>
      <c r="BJ1776" s="138"/>
      <c r="BK1776" s="138"/>
      <c r="BL1776" s="138"/>
      <c r="BM1776" s="138"/>
      <c r="BN1776" s="138"/>
      <c r="BO1776" s="138"/>
    </row>
    <row r="1777" spans="1:67" x14ac:dyDescent="0.2">
      <c r="A1777" s="177"/>
      <c r="B1777" s="178"/>
      <c r="C1777" s="179"/>
      <c r="D1777" s="180"/>
      <c r="E1777" s="180"/>
      <c r="F1777" s="180"/>
      <c r="G1777" s="180"/>
      <c r="H1777" s="441"/>
      <c r="I1777" s="444" t="s">
        <v>2271</v>
      </c>
      <c r="J1777" s="386" t="s">
        <v>1559</v>
      </c>
      <c r="K1777" s="199">
        <v>1110444</v>
      </c>
      <c r="L1777" s="179"/>
      <c r="M1777" s="185"/>
      <c r="AV1777" s="138"/>
      <c r="AW1777" s="138"/>
      <c r="AX1777" s="138"/>
      <c r="AY1777" s="138"/>
      <c r="AZ1777" s="138"/>
      <c r="BA1777" s="138"/>
      <c r="BB1777" s="138"/>
      <c r="BC1777" s="138"/>
      <c r="BD1777" s="138"/>
      <c r="BE1777" s="138"/>
      <c r="BF1777" s="138"/>
      <c r="BG1777" s="138"/>
      <c r="BH1777" s="138"/>
      <c r="BI1777" s="138"/>
      <c r="BJ1777" s="138"/>
      <c r="BK1777" s="138"/>
      <c r="BL1777" s="138"/>
      <c r="BM1777" s="138"/>
      <c r="BN1777" s="138"/>
      <c r="BO1777" s="138"/>
    </row>
    <row r="1778" spans="1:67" x14ac:dyDescent="0.2">
      <c r="A1778" s="177"/>
      <c r="B1778" s="178"/>
      <c r="C1778" s="179"/>
      <c r="D1778" s="180"/>
      <c r="E1778" s="180"/>
      <c r="F1778" s="180"/>
      <c r="G1778" s="180"/>
      <c r="H1778" s="441"/>
      <c r="I1778" s="442" t="s">
        <v>2272</v>
      </c>
      <c r="J1778" s="207" t="s">
        <v>1559</v>
      </c>
      <c r="K1778" s="214">
        <v>1110444</v>
      </c>
      <c r="L1778" s="179"/>
      <c r="M1778" s="185"/>
      <c r="AV1778" s="138"/>
      <c r="AW1778" s="138"/>
      <c r="AX1778" s="138"/>
      <c r="AY1778" s="138"/>
      <c r="AZ1778" s="138"/>
      <c r="BA1778" s="138"/>
      <c r="BB1778" s="138"/>
      <c r="BC1778" s="138"/>
      <c r="BD1778" s="138"/>
      <c r="BE1778" s="138"/>
      <c r="BF1778" s="138"/>
      <c r="BG1778" s="138"/>
      <c r="BH1778" s="138"/>
      <c r="BI1778" s="138"/>
      <c r="BJ1778" s="138"/>
      <c r="BK1778" s="138"/>
      <c r="BL1778" s="138"/>
      <c r="BM1778" s="138"/>
      <c r="BN1778" s="138"/>
      <c r="BO1778" s="138"/>
    </row>
    <row r="1779" spans="1:67" x14ac:dyDescent="0.2">
      <c r="A1779" s="189"/>
      <c r="B1779" s="190"/>
      <c r="C1779" s="191"/>
      <c r="D1779" s="192"/>
      <c r="E1779" s="192"/>
      <c r="F1779" s="192"/>
      <c r="G1779" s="192"/>
      <c r="H1779" s="445"/>
      <c r="I1779" s="446"/>
      <c r="J1779" s="215"/>
      <c r="K1779" s="245">
        <f>SUM(K1773:K1778)</f>
        <v>6662664</v>
      </c>
      <c r="L1779" s="191"/>
      <c r="M1779" s="197"/>
      <c r="AV1779" s="138"/>
      <c r="AW1779" s="138"/>
      <c r="AX1779" s="138"/>
      <c r="AY1779" s="138"/>
      <c r="AZ1779" s="138"/>
      <c r="BA1779" s="138"/>
      <c r="BB1779" s="138"/>
      <c r="BC1779" s="138"/>
      <c r="BD1779" s="138"/>
      <c r="BE1779" s="138"/>
      <c r="BF1779" s="138"/>
      <c r="BG1779" s="138"/>
      <c r="BH1779" s="138"/>
      <c r="BI1779" s="138"/>
      <c r="BJ1779" s="138"/>
      <c r="BK1779" s="138"/>
      <c r="BL1779" s="138"/>
      <c r="BM1779" s="138"/>
      <c r="BN1779" s="138"/>
      <c r="BO1779" s="138"/>
    </row>
    <row r="1780" spans="1:67" x14ac:dyDescent="0.2">
      <c r="A1780" s="177">
        <v>422</v>
      </c>
      <c r="B1780" s="168" t="s">
        <v>2273</v>
      </c>
      <c r="C1780" s="169"/>
      <c r="D1780" s="170" t="s">
        <v>25</v>
      </c>
      <c r="E1780" s="170"/>
      <c r="F1780" s="170" t="s">
        <v>1239</v>
      </c>
      <c r="G1780" s="170" t="s">
        <v>2274</v>
      </c>
      <c r="H1780" s="246" t="s">
        <v>750</v>
      </c>
      <c r="I1780" s="217" t="s">
        <v>2275</v>
      </c>
      <c r="J1780" s="223" t="s">
        <v>1559</v>
      </c>
      <c r="K1780" s="266">
        <v>43750</v>
      </c>
      <c r="L1780" s="169" t="s">
        <v>2274</v>
      </c>
      <c r="M1780" s="172" t="s">
        <v>2276</v>
      </c>
      <c r="AV1780" s="138"/>
      <c r="AW1780" s="138"/>
      <c r="AX1780" s="138"/>
      <c r="AY1780" s="138"/>
      <c r="AZ1780" s="138"/>
      <c r="BA1780" s="138"/>
      <c r="BB1780" s="138"/>
      <c r="BC1780" s="138"/>
      <c r="BD1780" s="138"/>
      <c r="BE1780" s="138"/>
      <c r="BF1780" s="138"/>
      <c r="BG1780" s="138"/>
      <c r="BH1780" s="138"/>
      <c r="BI1780" s="138"/>
      <c r="BJ1780" s="138"/>
      <c r="BK1780" s="138"/>
      <c r="BL1780" s="138"/>
      <c r="BM1780" s="138"/>
      <c r="BN1780" s="138"/>
      <c r="BO1780" s="138"/>
    </row>
    <row r="1781" spans="1:67" x14ac:dyDescent="0.2">
      <c r="A1781" s="177"/>
      <c r="B1781" s="178"/>
      <c r="C1781" s="179"/>
      <c r="D1781" s="180"/>
      <c r="E1781" s="180"/>
      <c r="F1781" s="180"/>
      <c r="G1781" s="180"/>
      <c r="H1781" s="248"/>
      <c r="I1781" s="171" t="s">
        <v>2277</v>
      </c>
      <c r="J1781" s="172" t="s">
        <v>1559</v>
      </c>
      <c r="K1781" s="214">
        <v>43750</v>
      </c>
      <c r="L1781" s="179"/>
      <c r="M1781" s="172"/>
      <c r="AV1781" s="138"/>
      <c r="AW1781" s="138"/>
      <c r="AX1781" s="138"/>
      <c r="AY1781" s="138"/>
      <c r="AZ1781" s="138"/>
      <c r="BA1781" s="138"/>
      <c r="BB1781" s="138"/>
      <c r="BC1781" s="138"/>
      <c r="BD1781" s="138"/>
      <c r="BE1781" s="138"/>
      <c r="BF1781" s="138"/>
      <c r="BG1781" s="138"/>
      <c r="BH1781" s="138"/>
      <c r="BI1781" s="138"/>
      <c r="BJ1781" s="138"/>
      <c r="BK1781" s="138"/>
      <c r="BL1781" s="138"/>
      <c r="BM1781" s="138"/>
      <c r="BN1781" s="138"/>
      <c r="BO1781" s="138"/>
    </row>
    <row r="1782" spans="1:67" x14ac:dyDescent="0.2">
      <c r="A1782" s="177"/>
      <c r="B1782" s="178"/>
      <c r="C1782" s="179"/>
      <c r="D1782" s="180"/>
      <c r="E1782" s="180"/>
      <c r="F1782" s="180"/>
      <c r="G1782" s="180"/>
      <c r="H1782" s="248"/>
      <c r="I1782" s="181" t="s">
        <v>2278</v>
      </c>
      <c r="J1782" s="226" t="s">
        <v>1559</v>
      </c>
      <c r="K1782" s="370">
        <v>43750</v>
      </c>
      <c r="L1782" s="179"/>
      <c r="M1782" s="172"/>
      <c r="AV1782" s="138"/>
      <c r="AW1782" s="138"/>
      <c r="AX1782" s="138"/>
      <c r="AY1782" s="138"/>
      <c r="AZ1782" s="138"/>
      <c r="BA1782" s="138"/>
      <c r="BB1782" s="138"/>
      <c r="BC1782" s="138"/>
      <c r="BD1782" s="138"/>
      <c r="BE1782" s="138"/>
      <c r="BF1782" s="138"/>
      <c r="BG1782" s="138"/>
      <c r="BH1782" s="138"/>
      <c r="BI1782" s="138"/>
      <c r="BJ1782" s="138"/>
      <c r="BK1782" s="138"/>
      <c r="BL1782" s="138"/>
      <c r="BM1782" s="138"/>
      <c r="BN1782" s="138"/>
      <c r="BO1782" s="138"/>
    </row>
    <row r="1783" spans="1:67" x14ac:dyDescent="0.2">
      <c r="A1783" s="177"/>
      <c r="B1783" s="178"/>
      <c r="C1783" s="179"/>
      <c r="D1783" s="180"/>
      <c r="E1783" s="180"/>
      <c r="F1783" s="180"/>
      <c r="G1783" s="180"/>
      <c r="H1783" s="248"/>
      <c r="I1783" s="181" t="s">
        <v>2279</v>
      </c>
      <c r="J1783" s="226" t="s">
        <v>1559</v>
      </c>
      <c r="K1783" s="214">
        <v>43750</v>
      </c>
      <c r="L1783" s="179"/>
      <c r="M1783" s="172"/>
      <c r="AV1783" s="138"/>
      <c r="AW1783" s="138"/>
      <c r="AX1783" s="138"/>
      <c r="AY1783" s="138"/>
      <c r="AZ1783" s="138"/>
      <c r="BA1783" s="138"/>
      <c r="BB1783" s="138"/>
      <c r="BC1783" s="138"/>
      <c r="BD1783" s="138"/>
      <c r="BE1783" s="138"/>
      <c r="BF1783" s="138"/>
      <c r="BG1783" s="138"/>
      <c r="BH1783" s="138"/>
      <c r="BI1783" s="138"/>
      <c r="BJ1783" s="138"/>
      <c r="BK1783" s="138"/>
      <c r="BL1783" s="138"/>
      <c r="BM1783" s="138"/>
      <c r="BN1783" s="138"/>
      <c r="BO1783" s="138"/>
    </row>
    <row r="1784" spans="1:67" x14ac:dyDescent="0.2">
      <c r="A1784" s="177"/>
      <c r="B1784" s="178"/>
      <c r="C1784" s="179"/>
      <c r="D1784" s="180"/>
      <c r="E1784" s="180"/>
      <c r="F1784" s="180"/>
      <c r="G1784" s="180"/>
      <c r="H1784" s="248"/>
      <c r="I1784" s="188" t="s">
        <v>2280</v>
      </c>
      <c r="J1784" s="207" t="s">
        <v>1559</v>
      </c>
      <c r="K1784" s="214">
        <v>43750</v>
      </c>
      <c r="L1784" s="179"/>
      <c r="M1784" s="172"/>
      <c r="AV1784" s="138"/>
      <c r="AW1784" s="138"/>
      <c r="AX1784" s="138"/>
      <c r="AY1784" s="138"/>
      <c r="AZ1784" s="138"/>
      <c r="BA1784" s="138"/>
      <c r="BB1784" s="138"/>
      <c r="BC1784" s="138"/>
      <c r="BD1784" s="138"/>
      <c r="BE1784" s="138"/>
      <c r="BF1784" s="138"/>
      <c r="BG1784" s="138"/>
      <c r="BH1784" s="138"/>
      <c r="BI1784" s="138"/>
      <c r="BJ1784" s="138"/>
      <c r="BK1784" s="138"/>
      <c r="BL1784" s="138"/>
      <c r="BM1784" s="138"/>
      <c r="BN1784" s="138"/>
      <c r="BO1784" s="138"/>
    </row>
    <row r="1785" spans="1:67" x14ac:dyDescent="0.2">
      <c r="A1785" s="177"/>
      <c r="B1785" s="178"/>
      <c r="C1785" s="179"/>
      <c r="D1785" s="180"/>
      <c r="E1785" s="180"/>
      <c r="F1785" s="180"/>
      <c r="G1785" s="180"/>
      <c r="H1785" s="248"/>
      <c r="I1785" s="188" t="s">
        <v>2281</v>
      </c>
      <c r="J1785" s="172" t="s">
        <v>1559</v>
      </c>
      <c r="K1785" s="370">
        <v>43750</v>
      </c>
      <c r="L1785" s="179"/>
      <c r="M1785" s="172"/>
      <c r="AV1785" s="138"/>
      <c r="AW1785" s="138"/>
      <c r="AX1785" s="138"/>
      <c r="AY1785" s="138"/>
      <c r="AZ1785" s="138"/>
      <c r="BA1785" s="138"/>
      <c r="BB1785" s="138"/>
      <c r="BC1785" s="138"/>
      <c r="BD1785" s="138"/>
      <c r="BE1785" s="138"/>
      <c r="BF1785" s="138"/>
      <c r="BG1785" s="138"/>
      <c r="BH1785" s="138"/>
      <c r="BI1785" s="138"/>
      <c r="BJ1785" s="138"/>
      <c r="BK1785" s="138"/>
      <c r="BL1785" s="138"/>
      <c r="BM1785" s="138"/>
      <c r="BN1785" s="138"/>
      <c r="BO1785" s="138"/>
    </row>
    <row r="1786" spans="1:67" ht="48" x14ac:dyDescent="0.2">
      <c r="A1786" s="177"/>
      <c r="B1786" s="178"/>
      <c r="C1786" s="179"/>
      <c r="D1786" s="180"/>
      <c r="E1786" s="180"/>
      <c r="F1786" s="180"/>
      <c r="G1786" s="180"/>
      <c r="H1786" s="248"/>
      <c r="I1786" s="171" t="s">
        <v>2282</v>
      </c>
      <c r="J1786" s="207" t="s">
        <v>1559</v>
      </c>
      <c r="K1786" s="214">
        <v>43750</v>
      </c>
      <c r="L1786" s="179"/>
      <c r="M1786" s="172"/>
      <c r="AV1786" s="138"/>
      <c r="AW1786" s="138"/>
      <c r="AX1786" s="138"/>
      <c r="AY1786" s="138"/>
      <c r="AZ1786" s="138"/>
      <c r="BA1786" s="138"/>
      <c r="BB1786" s="138"/>
      <c r="BC1786" s="138"/>
      <c r="BD1786" s="138"/>
      <c r="BE1786" s="138"/>
      <c r="BF1786" s="138"/>
      <c r="BG1786" s="138"/>
      <c r="BH1786" s="138"/>
      <c r="BI1786" s="138"/>
      <c r="BJ1786" s="138"/>
      <c r="BK1786" s="138"/>
      <c r="BL1786" s="138"/>
      <c r="BM1786" s="138"/>
      <c r="BN1786" s="138"/>
      <c r="BO1786" s="138"/>
    </row>
    <row r="1787" spans="1:67" x14ac:dyDescent="0.2">
      <c r="A1787" s="177"/>
      <c r="B1787" s="178"/>
      <c r="C1787" s="179"/>
      <c r="D1787" s="180"/>
      <c r="E1787" s="180"/>
      <c r="F1787" s="180"/>
      <c r="G1787" s="180"/>
      <c r="H1787" s="248"/>
      <c r="I1787" s="181" t="s">
        <v>2283</v>
      </c>
      <c r="J1787" s="207" t="s">
        <v>1559</v>
      </c>
      <c r="K1787" s="370">
        <v>43750</v>
      </c>
      <c r="L1787" s="179"/>
      <c r="M1787" s="172"/>
      <c r="AV1787" s="138"/>
      <c r="AW1787" s="138"/>
      <c r="AX1787" s="138"/>
      <c r="AY1787" s="138"/>
      <c r="AZ1787" s="138"/>
      <c r="BA1787" s="138"/>
      <c r="BB1787" s="138"/>
      <c r="BC1787" s="138"/>
      <c r="BD1787" s="138"/>
      <c r="BE1787" s="138"/>
      <c r="BF1787" s="138"/>
      <c r="BG1787" s="138"/>
      <c r="BH1787" s="138"/>
      <c r="BI1787" s="138"/>
      <c r="BJ1787" s="138"/>
      <c r="BK1787" s="138"/>
      <c r="BL1787" s="138"/>
      <c r="BM1787" s="138"/>
      <c r="BN1787" s="138"/>
      <c r="BO1787" s="138"/>
    </row>
    <row r="1788" spans="1:67" x14ac:dyDescent="0.2">
      <c r="A1788" s="189"/>
      <c r="B1788" s="190"/>
      <c r="C1788" s="191"/>
      <c r="D1788" s="192"/>
      <c r="E1788" s="192"/>
      <c r="F1788" s="192"/>
      <c r="G1788" s="192"/>
      <c r="H1788" s="249"/>
      <c r="I1788" s="203"/>
      <c r="J1788" s="204"/>
      <c r="K1788" s="245">
        <f>SUM(K1780:K1787)</f>
        <v>350000</v>
      </c>
      <c r="L1788" s="191"/>
      <c r="M1788" s="172"/>
      <c r="AV1788" s="138"/>
      <c r="AW1788" s="138"/>
      <c r="AX1788" s="138"/>
      <c r="AY1788" s="138"/>
      <c r="AZ1788" s="138"/>
      <c r="BA1788" s="138"/>
      <c r="BB1788" s="138"/>
      <c r="BC1788" s="138"/>
      <c r="BD1788" s="138"/>
      <c r="BE1788" s="138"/>
      <c r="BF1788" s="138"/>
      <c r="BG1788" s="138"/>
      <c r="BH1788" s="138"/>
      <c r="BI1788" s="138"/>
      <c r="BJ1788" s="138"/>
      <c r="BK1788" s="138"/>
      <c r="BL1788" s="138"/>
      <c r="BM1788" s="138"/>
      <c r="BN1788" s="138"/>
      <c r="BO1788" s="138"/>
    </row>
    <row r="1789" spans="1:67" ht="24" customHeight="1" x14ac:dyDescent="0.2">
      <c r="A1789" s="167">
        <v>423</v>
      </c>
      <c r="B1789" s="168" t="s">
        <v>2284</v>
      </c>
      <c r="C1789" s="169"/>
      <c r="D1789" s="250" t="s">
        <v>107</v>
      </c>
      <c r="E1789" s="170"/>
      <c r="F1789" s="170"/>
      <c r="G1789" s="170"/>
      <c r="H1789" s="170" t="s">
        <v>108</v>
      </c>
      <c r="I1789" s="217" t="s">
        <v>2285</v>
      </c>
      <c r="J1789" s="291" t="s">
        <v>186</v>
      </c>
      <c r="K1789" s="173">
        <f>K1793*85%</f>
        <v>4675</v>
      </c>
      <c r="L1789" s="174" t="s">
        <v>111</v>
      </c>
      <c r="M1789" s="175" t="s">
        <v>2286</v>
      </c>
      <c r="AV1789" s="138"/>
      <c r="AW1789" s="138"/>
      <c r="AX1789" s="138"/>
      <c r="AY1789" s="138"/>
      <c r="AZ1789" s="138"/>
      <c r="BA1789" s="138"/>
      <c r="BB1789" s="138"/>
      <c r="BC1789" s="138"/>
      <c r="BD1789" s="138"/>
      <c r="BE1789" s="138"/>
      <c r="BF1789" s="138"/>
      <c r="BG1789" s="138"/>
      <c r="BH1789" s="138"/>
      <c r="BI1789" s="138"/>
      <c r="BJ1789" s="138"/>
      <c r="BK1789" s="138"/>
      <c r="BL1789" s="138"/>
      <c r="BM1789" s="138"/>
      <c r="BN1789" s="138"/>
      <c r="BO1789" s="138"/>
    </row>
    <row r="1790" spans="1:67" ht="48" x14ac:dyDescent="0.2">
      <c r="A1790" s="177"/>
      <c r="B1790" s="178"/>
      <c r="C1790" s="179"/>
      <c r="D1790" s="243"/>
      <c r="E1790" s="180"/>
      <c r="F1790" s="180"/>
      <c r="G1790" s="180"/>
      <c r="H1790" s="180"/>
      <c r="I1790" s="171" t="s">
        <v>2287</v>
      </c>
      <c r="J1790" s="172" t="s">
        <v>772</v>
      </c>
      <c r="K1790" s="229">
        <f>K1793*5%</f>
        <v>275</v>
      </c>
      <c r="L1790" s="184"/>
      <c r="M1790" s="185"/>
      <c r="AV1790" s="138"/>
      <c r="AW1790" s="138"/>
      <c r="AX1790" s="138"/>
      <c r="AY1790" s="138"/>
      <c r="AZ1790" s="138"/>
      <c r="BA1790" s="138"/>
      <c r="BB1790" s="138"/>
      <c r="BC1790" s="138"/>
      <c r="BD1790" s="138"/>
      <c r="BE1790" s="138"/>
      <c r="BF1790" s="138"/>
      <c r="BG1790" s="138"/>
      <c r="BH1790" s="138"/>
      <c r="BI1790" s="138"/>
      <c r="BJ1790" s="138"/>
      <c r="BK1790" s="138"/>
      <c r="BL1790" s="138"/>
      <c r="BM1790" s="138"/>
      <c r="BN1790" s="138"/>
      <c r="BO1790" s="138"/>
    </row>
    <row r="1791" spans="1:67" x14ac:dyDescent="0.2">
      <c r="A1791" s="177"/>
      <c r="B1791" s="178"/>
      <c r="C1791" s="179"/>
      <c r="D1791" s="243"/>
      <c r="E1791" s="180"/>
      <c r="F1791" s="180"/>
      <c r="G1791" s="180"/>
      <c r="H1791" s="180"/>
      <c r="I1791" s="181" t="s">
        <v>2288</v>
      </c>
      <c r="J1791" s="182" t="s">
        <v>664</v>
      </c>
      <c r="K1791" s="208">
        <f>K1793*5%</f>
        <v>275</v>
      </c>
      <c r="L1791" s="184"/>
      <c r="M1791" s="185"/>
      <c r="AV1791" s="138"/>
      <c r="AW1791" s="138"/>
      <c r="AX1791" s="138"/>
      <c r="AY1791" s="138"/>
      <c r="AZ1791" s="138"/>
      <c r="BA1791" s="138"/>
      <c r="BB1791" s="138"/>
      <c r="BC1791" s="138"/>
      <c r="BD1791" s="138"/>
      <c r="BE1791" s="138"/>
      <c r="BF1791" s="138"/>
      <c r="BG1791" s="138"/>
      <c r="BH1791" s="138"/>
      <c r="BI1791" s="138"/>
      <c r="BJ1791" s="138"/>
      <c r="BK1791" s="138"/>
      <c r="BL1791" s="138"/>
      <c r="BM1791" s="138"/>
      <c r="BN1791" s="138"/>
      <c r="BO1791" s="138"/>
    </row>
    <row r="1792" spans="1:67" x14ac:dyDescent="0.2">
      <c r="A1792" s="177"/>
      <c r="B1792" s="178"/>
      <c r="C1792" s="179"/>
      <c r="D1792" s="243"/>
      <c r="E1792" s="180"/>
      <c r="F1792" s="180"/>
      <c r="G1792" s="180"/>
      <c r="H1792" s="180"/>
      <c r="I1792" s="181" t="s">
        <v>747</v>
      </c>
      <c r="J1792" s="182" t="s">
        <v>664</v>
      </c>
      <c r="K1792" s="202">
        <f>K1793*5%</f>
        <v>275</v>
      </c>
      <c r="L1792" s="184"/>
      <c r="M1792" s="185"/>
      <c r="AV1792" s="138"/>
      <c r="AW1792" s="138"/>
      <c r="AX1792" s="138"/>
      <c r="AY1792" s="138"/>
      <c r="AZ1792" s="138"/>
      <c r="BA1792" s="138"/>
      <c r="BB1792" s="138"/>
      <c r="BC1792" s="138"/>
      <c r="BD1792" s="138"/>
      <c r="BE1792" s="138"/>
      <c r="BF1792" s="138"/>
      <c r="BG1792" s="138"/>
      <c r="BH1792" s="138"/>
      <c r="BI1792" s="138"/>
      <c r="BJ1792" s="138"/>
      <c r="BK1792" s="138"/>
      <c r="BL1792" s="138"/>
      <c r="BM1792" s="138"/>
      <c r="BN1792" s="138"/>
      <c r="BO1792" s="138"/>
    </row>
    <row r="1793" spans="1:67" x14ac:dyDescent="0.2">
      <c r="A1793" s="189"/>
      <c r="B1793" s="190"/>
      <c r="C1793" s="191"/>
      <c r="D1793" s="244"/>
      <c r="E1793" s="192"/>
      <c r="F1793" s="192"/>
      <c r="G1793" s="192"/>
      <c r="H1793" s="192"/>
      <c r="I1793" s="203"/>
      <c r="J1793" s="215"/>
      <c r="K1793" s="216">
        <v>5500</v>
      </c>
      <c r="L1793" s="196"/>
      <c r="M1793" s="197"/>
      <c r="AV1793" s="138"/>
      <c r="AW1793" s="138"/>
      <c r="AX1793" s="138"/>
      <c r="AY1793" s="138"/>
      <c r="AZ1793" s="138"/>
      <c r="BA1793" s="138"/>
      <c r="BB1793" s="138"/>
      <c r="BC1793" s="138"/>
      <c r="BD1793" s="138"/>
      <c r="BE1793" s="138"/>
      <c r="BF1793" s="138"/>
      <c r="BG1793" s="138"/>
      <c r="BH1793" s="138"/>
      <c r="BI1793" s="138"/>
      <c r="BJ1793" s="138"/>
      <c r="BK1793" s="138"/>
      <c r="BL1793" s="138"/>
      <c r="BM1793" s="138"/>
      <c r="BN1793" s="138"/>
      <c r="BO1793" s="138"/>
    </row>
    <row r="1794" spans="1:67" ht="21" customHeight="1" x14ac:dyDescent="0.2">
      <c r="A1794" s="167">
        <v>424</v>
      </c>
      <c r="B1794" s="168" t="s">
        <v>2289</v>
      </c>
      <c r="C1794" s="169"/>
      <c r="D1794" s="250" t="s">
        <v>107</v>
      </c>
      <c r="E1794" s="170"/>
      <c r="F1794" s="170"/>
      <c r="G1794" s="170"/>
      <c r="H1794" s="170" t="s">
        <v>137</v>
      </c>
      <c r="I1794" s="171" t="s">
        <v>2290</v>
      </c>
      <c r="J1794" s="172" t="s">
        <v>186</v>
      </c>
      <c r="K1794" s="173">
        <f>K1797*90%</f>
        <v>3600</v>
      </c>
      <c r="L1794" s="174" t="s">
        <v>111</v>
      </c>
      <c r="M1794" s="175" t="s">
        <v>2291</v>
      </c>
      <c r="AV1794" s="138"/>
      <c r="AW1794" s="138"/>
      <c r="AX1794" s="138"/>
      <c r="AY1794" s="138"/>
      <c r="AZ1794" s="138"/>
      <c r="BA1794" s="138"/>
      <c r="BB1794" s="138"/>
      <c r="BC1794" s="138"/>
      <c r="BD1794" s="138"/>
      <c r="BE1794" s="138"/>
      <c r="BF1794" s="138"/>
      <c r="BG1794" s="138"/>
      <c r="BH1794" s="138"/>
      <c r="BI1794" s="138"/>
      <c r="BJ1794" s="138"/>
      <c r="BK1794" s="138"/>
      <c r="BL1794" s="138"/>
      <c r="BM1794" s="138"/>
      <c r="BN1794" s="138"/>
      <c r="BO1794" s="138"/>
    </row>
    <row r="1795" spans="1:67" x14ac:dyDescent="0.2">
      <c r="A1795" s="177"/>
      <c r="B1795" s="178"/>
      <c r="C1795" s="179"/>
      <c r="D1795" s="243"/>
      <c r="E1795" s="180"/>
      <c r="F1795" s="180"/>
      <c r="G1795" s="180"/>
      <c r="H1795" s="180"/>
      <c r="I1795" s="188" t="s">
        <v>2292</v>
      </c>
      <c r="J1795" s="187" t="s">
        <v>752</v>
      </c>
      <c r="K1795" s="208">
        <f>K1797*5%</f>
        <v>200</v>
      </c>
      <c r="L1795" s="184"/>
      <c r="M1795" s="185"/>
      <c r="AV1795" s="138"/>
      <c r="AW1795" s="138"/>
      <c r="AX1795" s="138"/>
      <c r="AY1795" s="138"/>
      <c r="AZ1795" s="138"/>
      <c r="BA1795" s="138"/>
      <c r="BB1795" s="138"/>
      <c r="BC1795" s="138"/>
      <c r="BD1795" s="138"/>
      <c r="BE1795" s="138"/>
      <c r="BF1795" s="138"/>
      <c r="BG1795" s="138"/>
      <c r="BH1795" s="138"/>
      <c r="BI1795" s="138"/>
      <c r="BJ1795" s="138"/>
      <c r="BK1795" s="138"/>
      <c r="BL1795" s="138"/>
      <c r="BM1795" s="138"/>
      <c r="BN1795" s="138"/>
      <c r="BO1795" s="138"/>
    </row>
    <row r="1796" spans="1:67" x14ac:dyDescent="0.2">
      <c r="A1796" s="177"/>
      <c r="B1796" s="178"/>
      <c r="C1796" s="179"/>
      <c r="D1796" s="243"/>
      <c r="E1796" s="180"/>
      <c r="F1796" s="180"/>
      <c r="G1796" s="180"/>
      <c r="H1796" s="180"/>
      <c r="I1796" s="274" t="s">
        <v>2293</v>
      </c>
      <c r="J1796" s="187" t="s">
        <v>1559</v>
      </c>
      <c r="K1796" s="208">
        <f>K1797*5%</f>
        <v>200</v>
      </c>
      <c r="L1796" s="184"/>
      <c r="M1796" s="185"/>
      <c r="AV1796" s="138"/>
      <c r="AW1796" s="138"/>
      <c r="AX1796" s="138"/>
      <c r="AY1796" s="138"/>
      <c r="AZ1796" s="138"/>
      <c r="BA1796" s="138"/>
      <c r="BB1796" s="138"/>
      <c r="BC1796" s="138"/>
      <c r="BD1796" s="138"/>
      <c r="BE1796" s="138"/>
      <c r="BF1796" s="138"/>
      <c r="BG1796" s="138"/>
      <c r="BH1796" s="138"/>
      <c r="BI1796" s="138"/>
      <c r="BJ1796" s="138"/>
      <c r="BK1796" s="138"/>
      <c r="BL1796" s="138"/>
      <c r="BM1796" s="138"/>
      <c r="BN1796" s="138"/>
      <c r="BO1796" s="138"/>
    </row>
    <row r="1797" spans="1:67" x14ac:dyDescent="0.2">
      <c r="A1797" s="189"/>
      <c r="B1797" s="190"/>
      <c r="C1797" s="191"/>
      <c r="D1797" s="244"/>
      <c r="E1797" s="192"/>
      <c r="F1797" s="192"/>
      <c r="G1797" s="192"/>
      <c r="H1797" s="192"/>
      <c r="I1797" s="193"/>
      <c r="J1797" s="194"/>
      <c r="K1797" s="202">
        <v>4000</v>
      </c>
      <c r="L1797" s="196"/>
      <c r="M1797" s="197"/>
      <c r="AV1797" s="138"/>
      <c r="AW1797" s="138"/>
      <c r="AX1797" s="138"/>
      <c r="AY1797" s="138"/>
      <c r="AZ1797" s="138"/>
      <c r="BA1797" s="138"/>
      <c r="BB1797" s="138"/>
      <c r="BC1797" s="138"/>
      <c r="BD1797" s="138"/>
      <c r="BE1797" s="138"/>
      <c r="BF1797" s="138"/>
      <c r="BG1797" s="138"/>
      <c r="BH1797" s="138"/>
      <c r="BI1797" s="138"/>
      <c r="BJ1797" s="138"/>
      <c r="BK1797" s="138"/>
      <c r="BL1797" s="138"/>
      <c r="BM1797" s="138"/>
      <c r="BN1797" s="138"/>
      <c r="BO1797" s="138"/>
    </row>
    <row r="1798" spans="1:67" ht="24" customHeight="1" x14ac:dyDescent="0.2">
      <c r="A1798" s="167">
        <v>425</v>
      </c>
      <c r="B1798" s="168" t="s">
        <v>2294</v>
      </c>
      <c r="C1798" s="169"/>
      <c r="D1798" s="250" t="s">
        <v>107</v>
      </c>
      <c r="E1798" s="170"/>
      <c r="F1798" s="170"/>
      <c r="G1798" s="170"/>
      <c r="H1798" s="170" t="s">
        <v>137</v>
      </c>
      <c r="I1798" s="217" t="s">
        <v>2295</v>
      </c>
      <c r="J1798" s="172" t="s">
        <v>186</v>
      </c>
      <c r="K1798" s="405">
        <f>K1801*80%</f>
        <v>3200</v>
      </c>
      <c r="L1798" s="175" t="s">
        <v>111</v>
      </c>
      <c r="M1798" s="175" t="s">
        <v>2296</v>
      </c>
      <c r="AV1798" s="138"/>
      <c r="AW1798" s="138"/>
      <c r="AX1798" s="138"/>
      <c r="AY1798" s="138"/>
      <c r="AZ1798" s="138"/>
      <c r="BA1798" s="138"/>
      <c r="BB1798" s="138"/>
      <c r="BC1798" s="138"/>
      <c r="BD1798" s="138"/>
      <c r="BE1798" s="138"/>
      <c r="BF1798" s="138"/>
      <c r="BG1798" s="138"/>
      <c r="BH1798" s="138"/>
      <c r="BI1798" s="138"/>
      <c r="BJ1798" s="138"/>
      <c r="BK1798" s="138"/>
      <c r="BL1798" s="138"/>
      <c r="BM1798" s="138"/>
      <c r="BN1798" s="138"/>
      <c r="BO1798" s="138"/>
    </row>
    <row r="1799" spans="1:67" x14ac:dyDescent="0.2">
      <c r="A1799" s="177"/>
      <c r="B1799" s="178"/>
      <c r="C1799" s="179"/>
      <c r="D1799" s="243"/>
      <c r="E1799" s="180"/>
      <c r="F1799" s="180"/>
      <c r="G1799" s="180"/>
      <c r="H1799" s="180"/>
      <c r="I1799" s="188" t="s">
        <v>2297</v>
      </c>
      <c r="J1799" s="226" t="s">
        <v>1559</v>
      </c>
      <c r="K1799" s="407">
        <f>K1801*10%</f>
        <v>400</v>
      </c>
      <c r="L1799" s="185"/>
      <c r="M1799" s="185"/>
      <c r="AV1799" s="138"/>
      <c r="AW1799" s="138"/>
      <c r="AX1799" s="138"/>
      <c r="AY1799" s="138"/>
      <c r="AZ1799" s="138"/>
      <c r="BA1799" s="138"/>
      <c r="BB1799" s="138"/>
      <c r="BC1799" s="138"/>
      <c r="BD1799" s="138"/>
      <c r="BE1799" s="138"/>
      <c r="BF1799" s="138"/>
      <c r="BG1799" s="138"/>
      <c r="BH1799" s="138"/>
      <c r="BI1799" s="138"/>
      <c r="BJ1799" s="138"/>
      <c r="BK1799" s="138"/>
      <c r="BL1799" s="138"/>
      <c r="BM1799" s="138"/>
      <c r="BN1799" s="138"/>
      <c r="BO1799" s="138"/>
    </row>
    <row r="1800" spans="1:67" x14ac:dyDescent="0.2">
      <c r="A1800" s="177"/>
      <c r="B1800" s="178"/>
      <c r="C1800" s="179"/>
      <c r="D1800" s="243"/>
      <c r="E1800" s="180"/>
      <c r="F1800" s="180"/>
      <c r="G1800" s="180"/>
      <c r="H1800" s="180"/>
      <c r="I1800" s="171" t="s">
        <v>2298</v>
      </c>
      <c r="J1800" s="226" t="s">
        <v>1559</v>
      </c>
      <c r="K1800" s="407">
        <f>K1801*10%</f>
        <v>400</v>
      </c>
      <c r="L1800" s="185"/>
      <c r="M1800" s="185"/>
      <c r="AV1800" s="138"/>
      <c r="AW1800" s="138"/>
      <c r="AX1800" s="138"/>
      <c r="AY1800" s="138"/>
      <c r="AZ1800" s="138"/>
      <c r="BA1800" s="138"/>
      <c r="BB1800" s="138"/>
      <c r="BC1800" s="138"/>
      <c r="BD1800" s="138"/>
      <c r="BE1800" s="138"/>
      <c r="BF1800" s="138"/>
      <c r="BG1800" s="138"/>
      <c r="BH1800" s="138"/>
      <c r="BI1800" s="138"/>
      <c r="BJ1800" s="138"/>
      <c r="BK1800" s="138"/>
      <c r="BL1800" s="138"/>
      <c r="BM1800" s="138"/>
      <c r="BN1800" s="138"/>
      <c r="BO1800" s="138"/>
    </row>
    <row r="1801" spans="1:67" x14ac:dyDescent="0.2">
      <c r="A1801" s="189"/>
      <c r="B1801" s="190"/>
      <c r="C1801" s="191"/>
      <c r="D1801" s="244"/>
      <c r="E1801" s="192"/>
      <c r="F1801" s="192"/>
      <c r="G1801" s="192"/>
      <c r="H1801" s="192"/>
      <c r="I1801" s="203"/>
      <c r="J1801" s="204"/>
      <c r="K1801" s="447">
        <v>4000</v>
      </c>
      <c r="L1801" s="197"/>
      <c r="M1801" s="197"/>
      <c r="AV1801" s="138"/>
      <c r="AW1801" s="138"/>
      <c r="AX1801" s="138"/>
      <c r="AY1801" s="138"/>
      <c r="AZ1801" s="138"/>
      <c r="BA1801" s="138"/>
      <c r="BB1801" s="138"/>
      <c r="BC1801" s="138"/>
      <c r="BD1801" s="138"/>
      <c r="BE1801" s="138"/>
      <c r="BF1801" s="138"/>
      <c r="BG1801" s="138"/>
      <c r="BH1801" s="138"/>
      <c r="BI1801" s="138"/>
      <c r="BJ1801" s="138"/>
      <c r="BK1801" s="138"/>
      <c r="BL1801" s="138"/>
      <c r="BM1801" s="138"/>
      <c r="BN1801" s="138"/>
      <c r="BO1801" s="138"/>
    </row>
    <row r="1802" spans="1:67" ht="21.75" customHeight="1" x14ac:dyDescent="0.2">
      <c r="A1802" s="167">
        <v>426</v>
      </c>
      <c r="B1802" s="168" t="s">
        <v>2299</v>
      </c>
      <c r="C1802" s="169"/>
      <c r="D1802" s="250" t="s">
        <v>107</v>
      </c>
      <c r="E1802" s="170"/>
      <c r="F1802" s="170"/>
      <c r="G1802" s="170"/>
      <c r="H1802" s="170"/>
      <c r="I1802" s="274" t="s">
        <v>2300</v>
      </c>
      <c r="J1802" s="247" t="s">
        <v>186</v>
      </c>
      <c r="K1802" s="213">
        <f>4000*15%</f>
        <v>600</v>
      </c>
      <c r="L1802" s="175" t="s">
        <v>111</v>
      </c>
      <c r="M1802" s="175" t="s">
        <v>2301</v>
      </c>
      <c r="AV1802" s="138"/>
      <c r="AW1802" s="138"/>
      <c r="AX1802" s="138"/>
      <c r="AY1802" s="138"/>
      <c r="AZ1802" s="138"/>
      <c r="BA1802" s="138"/>
      <c r="BB1802" s="138"/>
      <c r="BC1802" s="138"/>
      <c r="BD1802" s="138"/>
      <c r="BE1802" s="138"/>
      <c r="BF1802" s="138"/>
      <c r="BG1802" s="138"/>
      <c r="BH1802" s="138"/>
      <c r="BI1802" s="138"/>
      <c r="BJ1802" s="138"/>
      <c r="BK1802" s="138"/>
      <c r="BL1802" s="138"/>
      <c r="BM1802" s="138"/>
      <c r="BN1802" s="138"/>
      <c r="BO1802" s="138"/>
    </row>
    <row r="1803" spans="1:67" x14ac:dyDescent="0.2">
      <c r="A1803" s="177"/>
      <c r="B1803" s="178"/>
      <c r="C1803" s="179"/>
      <c r="D1803" s="243"/>
      <c r="E1803" s="180"/>
      <c r="F1803" s="180"/>
      <c r="G1803" s="180"/>
      <c r="H1803" s="180"/>
      <c r="I1803" s="188" t="s">
        <v>2302</v>
      </c>
      <c r="J1803" s="207" t="s">
        <v>1559</v>
      </c>
      <c r="K1803" s="201">
        <f>4000*10%</f>
        <v>400</v>
      </c>
      <c r="L1803" s="185"/>
      <c r="M1803" s="185"/>
      <c r="AV1803" s="138"/>
      <c r="AW1803" s="138"/>
      <c r="AX1803" s="138"/>
      <c r="AY1803" s="138"/>
      <c r="AZ1803" s="138"/>
      <c r="BA1803" s="138"/>
      <c r="BB1803" s="138"/>
      <c r="BC1803" s="138"/>
      <c r="BD1803" s="138"/>
      <c r="BE1803" s="138"/>
      <c r="BF1803" s="138"/>
      <c r="BG1803" s="138"/>
      <c r="BH1803" s="138"/>
      <c r="BI1803" s="138"/>
      <c r="BJ1803" s="138"/>
      <c r="BK1803" s="138"/>
      <c r="BL1803" s="138"/>
      <c r="BM1803" s="138"/>
      <c r="BN1803" s="138"/>
      <c r="BO1803" s="138"/>
    </row>
    <row r="1804" spans="1:67" x14ac:dyDescent="0.2">
      <c r="A1804" s="177"/>
      <c r="B1804" s="178"/>
      <c r="C1804" s="179"/>
      <c r="D1804" s="243"/>
      <c r="E1804" s="180"/>
      <c r="F1804" s="180"/>
      <c r="G1804" s="180"/>
      <c r="H1804" s="180"/>
      <c r="I1804" s="188" t="s">
        <v>2303</v>
      </c>
      <c r="J1804" s="207" t="s">
        <v>1559</v>
      </c>
      <c r="K1804" s="201">
        <f>4000*10%</f>
        <v>400</v>
      </c>
      <c r="L1804" s="185"/>
      <c r="M1804" s="185"/>
      <c r="AV1804" s="138"/>
      <c r="AW1804" s="138"/>
      <c r="AX1804" s="138"/>
      <c r="AY1804" s="138"/>
      <c r="AZ1804" s="138"/>
      <c r="BA1804" s="138"/>
      <c r="BB1804" s="138"/>
      <c r="BC1804" s="138"/>
      <c r="BD1804" s="138"/>
      <c r="BE1804" s="138"/>
      <c r="BF1804" s="138"/>
      <c r="BG1804" s="138"/>
      <c r="BH1804" s="138"/>
      <c r="BI1804" s="138"/>
      <c r="BJ1804" s="138"/>
      <c r="BK1804" s="138"/>
      <c r="BL1804" s="138"/>
      <c r="BM1804" s="138"/>
      <c r="BN1804" s="138"/>
      <c r="BO1804" s="138"/>
    </row>
    <row r="1805" spans="1:67" x14ac:dyDescent="0.2">
      <c r="A1805" s="177"/>
      <c r="B1805" s="178"/>
      <c r="C1805" s="179"/>
      <c r="D1805" s="243"/>
      <c r="E1805" s="180"/>
      <c r="F1805" s="180"/>
      <c r="G1805" s="180"/>
      <c r="H1805" s="180"/>
      <c r="I1805" s="188" t="s">
        <v>2304</v>
      </c>
      <c r="J1805" s="207" t="s">
        <v>1559</v>
      </c>
      <c r="K1805" s="201">
        <f>4000*65%</f>
        <v>2600</v>
      </c>
      <c r="L1805" s="185"/>
      <c r="M1805" s="185"/>
      <c r="AV1805" s="138"/>
      <c r="AW1805" s="138"/>
      <c r="AX1805" s="138"/>
      <c r="AY1805" s="138"/>
      <c r="AZ1805" s="138"/>
      <c r="BA1805" s="138"/>
      <c r="BB1805" s="138"/>
      <c r="BC1805" s="138"/>
      <c r="BD1805" s="138"/>
      <c r="BE1805" s="138"/>
      <c r="BF1805" s="138"/>
      <c r="BG1805" s="138"/>
      <c r="BH1805" s="138"/>
      <c r="BI1805" s="138"/>
      <c r="BJ1805" s="138"/>
      <c r="BK1805" s="138"/>
      <c r="BL1805" s="138"/>
      <c r="BM1805" s="138"/>
      <c r="BN1805" s="138"/>
      <c r="BO1805" s="138"/>
    </row>
    <row r="1806" spans="1:67" x14ac:dyDescent="0.2">
      <c r="A1806" s="189"/>
      <c r="B1806" s="190"/>
      <c r="C1806" s="191"/>
      <c r="D1806" s="244"/>
      <c r="E1806" s="192"/>
      <c r="F1806" s="192"/>
      <c r="G1806" s="192"/>
      <c r="H1806" s="192"/>
      <c r="I1806" s="203"/>
      <c r="J1806" s="204"/>
      <c r="K1806" s="211">
        <f>SUM(K1802:K1805)</f>
        <v>4000</v>
      </c>
      <c r="L1806" s="197"/>
      <c r="M1806" s="197"/>
      <c r="AV1806" s="138"/>
      <c r="AW1806" s="138"/>
      <c r="AX1806" s="138"/>
      <c r="AY1806" s="138"/>
      <c r="AZ1806" s="138"/>
      <c r="BA1806" s="138"/>
      <c r="BB1806" s="138"/>
      <c r="BC1806" s="138"/>
      <c r="BD1806" s="138"/>
      <c r="BE1806" s="138"/>
      <c r="BF1806" s="138"/>
      <c r="BG1806" s="138"/>
      <c r="BH1806" s="138"/>
      <c r="BI1806" s="138"/>
      <c r="BJ1806" s="138"/>
      <c r="BK1806" s="138"/>
      <c r="BL1806" s="138"/>
      <c r="BM1806" s="138"/>
      <c r="BN1806" s="138"/>
      <c r="BO1806" s="138"/>
    </row>
    <row r="1807" spans="1:67" ht="23.25" customHeight="1" x14ac:dyDescent="0.2">
      <c r="A1807" s="167">
        <v>427</v>
      </c>
      <c r="B1807" s="168" t="s">
        <v>2305</v>
      </c>
      <c r="C1807" s="169"/>
      <c r="D1807" s="250" t="s">
        <v>107</v>
      </c>
      <c r="E1807" s="170"/>
      <c r="F1807" s="170"/>
      <c r="G1807" s="170"/>
      <c r="H1807" s="170" t="s">
        <v>137</v>
      </c>
      <c r="I1807" s="274" t="s">
        <v>2306</v>
      </c>
      <c r="J1807" s="247" t="s">
        <v>186</v>
      </c>
      <c r="K1807" s="210">
        <f>6500*50%</f>
        <v>3250</v>
      </c>
      <c r="L1807" s="175" t="s">
        <v>111</v>
      </c>
      <c r="M1807" s="175" t="s">
        <v>2307</v>
      </c>
      <c r="AV1807" s="138"/>
      <c r="AW1807" s="138"/>
      <c r="AX1807" s="138"/>
      <c r="AY1807" s="138"/>
      <c r="AZ1807" s="138"/>
      <c r="BA1807" s="138"/>
      <c r="BB1807" s="138"/>
      <c r="BC1807" s="138"/>
      <c r="BD1807" s="138"/>
      <c r="BE1807" s="138"/>
      <c r="BF1807" s="138"/>
      <c r="BG1807" s="138"/>
      <c r="BH1807" s="138"/>
      <c r="BI1807" s="138"/>
      <c r="BJ1807" s="138"/>
      <c r="BK1807" s="138"/>
      <c r="BL1807" s="138"/>
      <c r="BM1807" s="138"/>
      <c r="BN1807" s="138"/>
      <c r="BO1807" s="138"/>
    </row>
    <row r="1808" spans="1:67" x14ac:dyDescent="0.2">
      <c r="A1808" s="177"/>
      <c r="B1808" s="178"/>
      <c r="C1808" s="179"/>
      <c r="D1808" s="243"/>
      <c r="E1808" s="180"/>
      <c r="F1808" s="180"/>
      <c r="G1808" s="180"/>
      <c r="H1808" s="180"/>
      <c r="I1808" s="188" t="s">
        <v>2308</v>
      </c>
      <c r="J1808" s="207" t="s">
        <v>1559</v>
      </c>
      <c r="K1808" s="214">
        <f>6500*40%</f>
        <v>2600</v>
      </c>
      <c r="L1808" s="185"/>
      <c r="M1808" s="185"/>
      <c r="AV1808" s="138"/>
      <c r="AW1808" s="138"/>
      <c r="AX1808" s="138"/>
      <c r="AY1808" s="138"/>
      <c r="AZ1808" s="138"/>
      <c r="BA1808" s="138"/>
      <c r="BB1808" s="138"/>
      <c r="BC1808" s="138"/>
      <c r="BD1808" s="138"/>
      <c r="BE1808" s="138"/>
      <c r="BF1808" s="138"/>
      <c r="BG1808" s="138"/>
      <c r="BH1808" s="138"/>
      <c r="BI1808" s="138"/>
      <c r="BJ1808" s="138"/>
      <c r="BK1808" s="138"/>
      <c r="BL1808" s="138"/>
      <c r="BM1808" s="138"/>
      <c r="BN1808" s="138"/>
      <c r="BO1808" s="138"/>
    </row>
    <row r="1809" spans="1:67" x14ac:dyDescent="0.2">
      <c r="A1809" s="177"/>
      <c r="B1809" s="178"/>
      <c r="C1809" s="179"/>
      <c r="D1809" s="243"/>
      <c r="E1809" s="180"/>
      <c r="F1809" s="180"/>
      <c r="G1809" s="180"/>
      <c r="H1809" s="180"/>
      <c r="I1809" s="188" t="s">
        <v>2309</v>
      </c>
      <c r="J1809" s="207" t="s">
        <v>1559</v>
      </c>
      <c r="K1809" s="214">
        <f>6500*10%</f>
        <v>650</v>
      </c>
      <c r="L1809" s="185"/>
      <c r="M1809" s="185"/>
      <c r="AV1809" s="138"/>
      <c r="AW1809" s="138"/>
      <c r="AX1809" s="138"/>
      <c r="AY1809" s="138"/>
      <c r="AZ1809" s="138"/>
      <c r="BA1809" s="138"/>
      <c r="BB1809" s="138"/>
      <c r="BC1809" s="138"/>
      <c r="BD1809" s="138"/>
      <c r="BE1809" s="138"/>
      <c r="BF1809" s="138"/>
      <c r="BG1809" s="138"/>
      <c r="BH1809" s="138"/>
      <c r="BI1809" s="138"/>
      <c r="BJ1809" s="138"/>
      <c r="BK1809" s="138"/>
      <c r="BL1809" s="138"/>
      <c r="BM1809" s="138"/>
      <c r="BN1809" s="138"/>
      <c r="BO1809" s="138"/>
    </row>
    <row r="1810" spans="1:67" x14ac:dyDescent="0.2">
      <c r="A1810" s="189"/>
      <c r="B1810" s="190"/>
      <c r="C1810" s="191"/>
      <c r="D1810" s="244"/>
      <c r="E1810" s="192"/>
      <c r="F1810" s="192"/>
      <c r="G1810" s="192"/>
      <c r="H1810" s="192"/>
      <c r="I1810" s="203"/>
      <c r="J1810" s="204"/>
      <c r="K1810" s="211">
        <f>SUM(K1807:K1809)</f>
        <v>6500</v>
      </c>
      <c r="L1810" s="197"/>
      <c r="M1810" s="197"/>
      <c r="AV1810" s="138"/>
      <c r="AW1810" s="138"/>
      <c r="AX1810" s="138"/>
      <c r="AY1810" s="138"/>
      <c r="AZ1810" s="138"/>
      <c r="BA1810" s="138"/>
      <c r="BB1810" s="138"/>
      <c r="BC1810" s="138"/>
      <c r="BD1810" s="138"/>
      <c r="BE1810" s="138"/>
      <c r="BF1810" s="138"/>
      <c r="BG1810" s="138"/>
      <c r="BH1810" s="138"/>
      <c r="BI1810" s="138"/>
      <c r="BJ1810" s="138"/>
      <c r="BK1810" s="138"/>
      <c r="BL1810" s="138"/>
      <c r="BM1810" s="138"/>
      <c r="BN1810" s="138"/>
      <c r="BO1810" s="138"/>
    </row>
    <row r="1811" spans="1:67" ht="23.25" customHeight="1" x14ac:dyDescent="0.2">
      <c r="A1811" s="167">
        <v>428</v>
      </c>
      <c r="B1811" s="168" t="s">
        <v>2310</v>
      </c>
      <c r="C1811" s="169"/>
      <c r="D1811" s="250" t="s">
        <v>107</v>
      </c>
      <c r="E1811" s="170"/>
      <c r="F1811" s="170"/>
      <c r="G1811" s="170"/>
      <c r="H1811" s="170" t="s">
        <v>137</v>
      </c>
      <c r="I1811" s="274" t="s">
        <v>2311</v>
      </c>
      <c r="J1811" s="247" t="s">
        <v>186</v>
      </c>
      <c r="K1811" s="210">
        <f>5000*60%</f>
        <v>3000</v>
      </c>
      <c r="L1811" s="175" t="s">
        <v>111</v>
      </c>
      <c r="M1811" s="175" t="s">
        <v>2312</v>
      </c>
      <c r="AV1811" s="138"/>
      <c r="AW1811" s="138"/>
      <c r="AX1811" s="138"/>
      <c r="AY1811" s="138"/>
      <c r="AZ1811" s="138"/>
      <c r="BA1811" s="138"/>
      <c r="BB1811" s="138"/>
      <c r="BC1811" s="138"/>
      <c r="BD1811" s="138"/>
      <c r="BE1811" s="138"/>
      <c r="BF1811" s="138"/>
      <c r="BG1811" s="138"/>
      <c r="BH1811" s="138"/>
      <c r="BI1811" s="138"/>
      <c r="BJ1811" s="138"/>
      <c r="BK1811" s="138"/>
      <c r="BL1811" s="138"/>
      <c r="BM1811" s="138"/>
      <c r="BN1811" s="138"/>
      <c r="BO1811" s="138"/>
    </row>
    <row r="1812" spans="1:67" x14ac:dyDescent="0.2">
      <c r="A1812" s="177"/>
      <c r="B1812" s="178"/>
      <c r="C1812" s="179"/>
      <c r="D1812" s="243"/>
      <c r="E1812" s="180"/>
      <c r="F1812" s="180"/>
      <c r="G1812" s="180"/>
      <c r="H1812" s="180"/>
      <c r="I1812" s="188" t="s">
        <v>2313</v>
      </c>
      <c r="J1812" s="207" t="s">
        <v>1559</v>
      </c>
      <c r="K1812" s="214">
        <f>5000*20%</f>
        <v>1000</v>
      </c>
      <c r="L1812" s="185"/>
      <c r="M1812" s="185"/>
      <c r="AV1812" s="138"/>
      <c r="AW1812" s="138"/>
      <c r="AX1812" s="138"/>
      <c r="AY1812" s="138"/>
      <c r="AZ1812" s="138"/>
      <c r="BA1812" s="138"/>
      <c r="BB1812" s="138"/>
      <c r="BC1812" s="138"/>
      <c r="BD1812" s="138"/>
      <c r="BE1812" s="138"/>
      <c r="BF1812" s="138"/>
      <c r="BG1812" s="138"/>
      <c r="BH1812" s="138"/>
      <c r="BI1812" s="138"/>
      <c r="BJ1812" s="138"/>
      <c r="BK1812" s="138"/>
      <c r="BL1812" s="138"/>
      <c r="BM1812" s="138"/>
      <c r="BN1812" s="138"/>
      <c r="BO1812" s="138"/>
    </row>
    <row r="1813" spans="1:67" ht="48" x14ac:dyDescent="0.2">
      <c r="A1813" s="177"/>
      <c r="B1813" s="178"/>
      <c r="C1813" s="179"/>
      <c r="D1813" s="243"/>
      <c r="E1813" s="180"/>
      <c r="F1813" s="180"/>
      <c r="G1813" s="180"/>
      <c r="H1813" s="180"/>
      <c r="I1813" s="188" t="s">
        <v>2314</v>
      </c>
      <c r="J1813" s="207" t="s">
        <v>1559</v>
      </c>
      <c r="K1813" s="214">
        <f>5000*20%</f>
        <v>1000</v>
      </c>
      <c r="L1813" s="185"/>
      <c r="M1813" s="185"/>
      <c r="AV1813" s="138"/>
      <c r="AW1813" s="138"/>
      <c r="AX1813" s="138"/>
      <c r="AY1813" s="138"/>
      <c r="AZ1813" s="138"/>
      <c r="BA1813" s="138"/>
      <c r="BB1813" s="138"/>
      <c r="BC1813" s="138"/>
      <c r="BD1813" s="138"/>
      <c r="BE1813" s="138"/>
      <c r="BF1813" s="138"/>
      <c r="BG1813" s="138"/>
      <c r="BH1813" s="138"/>
      <c r="BI1813" s="138"/>
      <c r="BJ1813" s="138"/>
      <c r="BK1813" s="138"/>
      <c r="BL1813" s="138"/>
      <c r="BM1813" s="138"/>
      <c r="BN1813" s="138"/>
      <c r="BO1813" s="138"/>
    </row>
    <row r="1814" spans="1:67" x14ac:dyDescent="0.2">
      <c r="A1814" s="189"/>
      <c r="B1814" s="190"/>
      <c r="C1814" s="191"/>
      <c r="D1814" s="244"/>
      <c r="E1814" s="192"/>
      <c r="F1814" s="192"/>
      <c r="G1814" s="192"/>
      <c r="H1814" s="192"/>
      <c r="I1814" s="203"/>
      <c r="J1814" s="204"/>
      <c r="K1814" s="205">
        <f>SUM(K1811:K1813)</f>
        <v>5000</v>
      </c>
      <c r="L1814" s="197"/>
      <c r="M1814" s="197"/>
      <c r="AV1814" s="138"/>
      <c r="AW1814" s="138"/>
      <c r="AX1814" s="138"/>
      <c r="AY1814" s="138"/>
      <c r="AZ1814" s="138"/>
      <c r="BA1814" s="138"/>
      <c r="BB1814" s="138"/>
      <c r="BC1814" s="138"/>
      <c r="BD1814" s="138"/>
      <c r="BE1814" s="138"/>
      <c r="BF1814" s="138"/>
      <c r="BG1814" s="138"/>
      <c r="BH1814" s="138"/>
      <c r="BI1814" s="138"/>
      <c r="BJ1814" s="138"/>
      <c r="BK1814" s="138"/>
      <c r="BL1814" s="138"/>
      <c r="BM1814" s="138"/>
      <c r="BN1814" s="138"/>
      <c r="BO1814" s="138"/>
    </row>
    <row r="1815" spans="1:67" ht="23.25" customHeight="1" x14ac:dyDescent="0.2">
      <c r="A1815" s="167">
        <v>429</v>
      </c>
      <c r="B1815" s="168" t="s">
        <v>2315</v>
      </c>
      <c r="C1815" s="169"/>
      <c r="D1815" s="250" t="s">
        <v>107</v>
      </c>
      <c r="E1815" s="170"/>
      <c r="F1815" s="170"/>
      <c r="G1815" s="170"/>
      <c r="H1815" s="170" t="s">
        <v>108</v>
      </c>
      <c r="I1815" s="274" t="s">
        <v>2316</v>
      </c>
      <c r="J1815" s="247" t="s">
        <v>186</v>
      </c>
      <c r="K1815" s="213">
        <f>5000*50%</f>
        <v>2500</v>
      </c>
      <c r="L1815" s="175" t="s">
        <v>111</v>
      </c>
      <c r="M1815" s="175" t="s">
        <v>2317</v>
      </c>
      <c r="AV1815" s="138"/>
      <c r="AW1815" s="138"/>
      <c r="AX1815" s="138"/>
      <c r="AY1815" s="138"/>
      <c r="AZ1815" s="138"/>
      <c r="BA1815" s="138"/>
      <c r="BB1815" s="138"/>
      <c r="BC1815" s="138"/>
      <c r="BD1815" s="138"/>
      <c r="BE1815" s="138"/>
      <c r="BF1815" s="138"/>
      <c r="BG1815" s="138"/>
      <c r="BH1815" s="138"/>
      <c r="BI1815" s="138"/>
      <c r="BJ1815" s="138"/>
      <c r="BK1815" s="138"/>
      <c r="BL1815" s="138"/>
      <c r="BM1815" s="138"/>
      <c r="BN1815" s="138"/>
      <c r="BO1815" s="138"/>
    </row>
    <row r="1816" spans="1:67" x14ac:dyDescent="0.2">
      <c r="A1816" s="177"/>
      <c r="B1816" s="178"/>
      <c r="C1816" s="179"/>
      <c r="D1816" s="243"/>
      <c r="E1816" s="180"/>
      <c r="F1816" s="180"/>
      <c r="G1816" s="180"/>
      <c r="H1816" s="180"/>
      <c r="I1816" s="188" t="s">
        <v>2318</v>
      </c>
      <c r="J1816" s="207" t="s">
        <v>1559</v>
      </c>
      <c r="K1816" s="201">
        <f>5000*20%</f>
        <v>1000</v>
      </c>
      <c r="L1816" s="185"/>
      <c r="M1816" s="185"/>
      <c r="AV1816" s="138"/>
      <c r="AW1816" s="138"/>
      <c r="AX1816" s="138"/>
      <c r="AY1816" s="138"/>
      <c r="AZ1816" s="138"/>
      <c r="BA1816" s="138"/>
      <c r="BB1816" s="138"/>
      <c r="BC1816" s="138"/>
      <c r="BD1816" s="138"/>
      <c r="BE1816" s="138"/>
      <c r="BF1816" s="138"/>
      <c r="BG1816" s="138"/>
      <c r="BH1816" s="138"/>
      <c r="BI1816" s="138"/>
      <c r="BJ1816" s="138"/>
      <c r="BK1816" s="138"/>
      <c r="BL1816" s="138"/>
      <c r="BM1816" s="138"/>
      <c r="BN1816" s="138"/>
      <c r="BO1816" s="138"/>
    </row>
    <row r="1817" spans="1:67" ht="48" x14ac:dyDescent="0.2">
      <c r="A1817" s="177"/>
      <c r="B1817" s="178"/>
      <c r="C1817" s="179"/>
      <c r="D1817" s="243"/>
      <c r="E1817" s="180"/>
      <c r="F1817" s="180"/>
      <c r="G1817" s="180"/>
      <c r="H1817" s="180"/>
      <c r="I1817" s="188" t="s">
        <v>2314</v>
      </c>
      <c r="J1817" s="207" t="s">
        <v>1559</v>
      </c>
      <c r="K1817" s="201">
        <f>5000*20%</f>
        <v>1000</v>
      </c>
      <c r="L1817" s="185"/>
      <c r="M1817" s="185"/>
      <c r="AV1817" s="138"/>
      <c r="AW1817" s="138"/>
      <c r="AX1817" s="138"/>
      <c r="AY1817" s="138"/>
      <c r="AZ1817" s="138"/>
      <c r="BA1817" s="138"/>
      <c r="BB1817" s="138"/>
      <c r="BC1817" s="138"/>
      <c r="BD1817" s="138"/>
      <c r="BE1817" s="138"/>
      <c r="BF1817" s="138"/>
      <c r="BG1817" s="138"/>
      <c r="BH1817" s="138"/>
      <c r="BI1817" s="138"/>
      <c r="BJ1817" s="138"/>
      <c r="BK1817" s="138"/>
      <c r="BL1817" s="138"/>
      <c r="BM1817" s="138"/>
      <c r="BN1817" s="138"/>
      <c r="BO1817" s="138"/>
    </row>
    <row r="1818" spans="1:67" x14ac:dyDescent="0.2">
      <c r="A1818" s="177"/>
      <c r="B1818" s="178"/>
      <c r="C1818" s="179"/>
      <c r="D1818" s="243"/>
      <c r="E1818" s="180"/>
      <c r="F1818" s="180"/>
      <c r="G1818" s="180"/>
      <c r="H1818" s="180"/>
      <c r="I1818" s="188" t="s">
        <v>2319</v>
      </c>
      <c r="J1818" s="207" t="s">
        <v>1559</v>
      </c>
      <c r="K1818" s="201">
        <f>5000*10%</f>
        <v>500</v>
      </c>
      <c r="L1818" s="185"/>
      <c r="M1818" s="185"/>
      <c r="AV1818" s="138"/>
      <c r="AW1818" s="138"/>
      <c r="AX1818" s="138"/>
      <c r="AY1818" s="138"/>
      <c r="AZ1818" s="138"/>
      <c r="BA1818" s="138"/>
      <c r="BB1818" s="138"/>
      <c r="BC1818" s="138"/>
      <c r="BD1818" s="138"/>
      <c r="BE1818" s="138"/>
      <c r="BF1818" s="138"/>
      <c r="BG1818" s="138"/>
      <c r="BH1818" s="138"/>
      <c r="BI1818" s="138"/>
      <c r="BJ1818" s="138"/>
      <c r="BK1818" s="138"/>
      <c r="BL1818" s="138"/>
      <c r="BM1818" s="138"/>
      <c r="BN1818" s="138"/>
      <c r="BO1818" s="138"/>
    </row>
    <row r="1819" spans="1:67" x14ac:dyDescent="0.2">
      <c r="A1819" s="189"/>
      <c r="B1819" s="190"/>
      <c r="C1819" s="191"/>
      <c r="D1819" s="244"/>
      <c r="E1819" s="192"/>
      <c r="F1819" s="192"/>
      <c r="G1819" s="192"/>
      <c r="H1819" s="192"/>
      <c r="I1819" s="203"/>
      <c r="J1819" s="204"/>
      <c r="K1819" s="211">
        <f>SUM(K1815:K1818)</f>
        <v>5000</v>
      </c>
      <c r="L1819" s="197"/>
      <c r="M1819" s="197"/>
      <c r="AV1819" s="138"/>
      <c r="AW1819" s="138"/>
      <c r="AX1819" s="138"/>
      <c r="AY1819" s="138"/>
      <c r="AZ1819" s="138"/>
      <c r="BA1819" s="138"/>
      <c r="BB1819" s="138"/>
      <c r="BC1819" s="138"/>
      <c r="BD1819" s="138"/>
      <c r="BE1819" s="138"/>
      <c r="BF1819" s="138"/>
      <c r="BG1819" s="138"/>
      <c r="BH1819" s="138"/>
      <c r="BI1819" s="138"/>
      <c r="BJ1819" s="138"/>
      <c r="BK1819" s="138"/>
      <c r="BL1819" s="138"/>
      <c r="BM1819" s="138"/>
      <c r="BN1819" s="138"/>
      <c r="BO1819" s="138"/>
    </row>
    <row r="1820" spans="1:67" ht="22.5" customHeight="1" x14ac:dyDescent="0.2">
      <c r="A1820" s="167">
        <v>430</v>
      </c>
      <c r="B1820" s="168" t="s">
        <v>2320</v>
      </c>
      <c r="C1820" s="169"/>
      <c r="D1820" s="250" t="s">
        <v>107</v>
      </c>
      <c r="E1820" s="170"/>
      <c r="F1820" s="170"/>
      <c r="G1820" s="170"/>
      <c r="H1820" s="170" t="s">
        <v>137</v>
      </c>
      <c r="I1820" s="274" t="s">
        <v>2321</v>
      </c>
      <c r="J1820" s="247" t="s">
        <v>186</v>
      </c>
      <c r="K1820" s="212">
        <f>6500*80%</f>
        <v>5200</v>
      </c>
      <c r="L1820" s="174" t="s">
        <v>111</v>
      </c>
      <c r="M1820" s="175" t="s">
        <v>2322</v>
      </c>
      <c r="AV1820" s="138"/>
      <c r="AW1820" s="138"/>
      <c r="AX1820" s="138"/>
      <c r="AY1820" s="138"/>
      <c r="AZ1820" s="138"/>
      <c r="BA1820" s="138"/>
      <c r="BB1820" s="138"/>
      <c r="BC1820" s="138"/>
      <c r="BD1820" s="138"/>
      <c r="BE1820" s="138"/>
      <c r="BF1820" s="138"/>
      <c r="BG1820" s="138"/>
      <c r="BH1820" s="138"/>
      <c r="BI1820" s="138"/>
      <c r="BJ1820" s="138"/>
      <c r="BK1820" s="138"/>
      <c r="BL1820" s="138"/>
      <c r="BM1820" s="138"/>
      <c r="BN1820" s="138"/>
      <c r="BO1820" s="138"/>
    </row>
    <row r="1821" spans="1:67" x14ac:dyDescent="0.2">
      <c r="A1821" s="177"/>
      <c r="B1821" s="178"/>
      <c r="C1821" s="179"/>
      <c r="D1821" s="243"/>
      <c r="E1821" s="180"/>
      <c r="F1821" s="180"/>
      <c r="G1821" s="180"/>
      <c r="H1821" s="180"/>
      <c r="I1821" s="188" t="s">
        <v>2323</v>
      </c>
      <c r="J1821" s="207" t="s">
        <v>1559</v>
      </c>
      <c r="K1821" s="229">
        <f>6500*10%</f>
        <v>650</v>
      </c>
      <c r="L1821" s="184"/>
      <c r="M1821" s="185"/>
      <c r="AV1821" s="138"/>
      <c r="AW1821" s="138"/>
      <c r="AX1821" s="138"/>
      <c r="AY1821" s="138"/>
      <c r="AZ1821" s="138"/>
      <c r="BA1821" s="138"/>
      <c r="BB1821" s="138"/>
      <c r="BC1821" s="138"/>
      <c r="BD1821" s="138"/>
      <c r="BE1821" s="138"/>
      <c r="BF1821" s="138"/>
      <c r="BG1821" s="138"/>
      <c r="BH1821" s="138"/>
      <c r="BI1821" s="138"/>
      <c r="BJ1821" s="138"/>
      <c r="BK1821" s="138"/>
      <c r="BL1821" s="138"/>
      <c r="BM1821" s="138"/>
      <c r="BN1821" s="138"/>
      <c r="BO1821" s="138"/>
    </row>
    <row r="1822" spans="1:67" x14ac:dyDescent="0.2">
      <c r="A1822" s="177"/>
      <c r="B1822" s="178"/>
      <c r="C1822" s="179"/>
      <c r="D1822" s="243"/>
      <c r="E1822" s="180"/>
      <c r="F1822" s="180"/>
      <c r="G1822" s="180"/>
      <c r="H1822" s="180"/>
      <c r="I1822" s="188" t="s">
        <v>2324</v>
      </c>
      <c r="J1822" s="207" t="s">
        <v>1559</v>
      </c>
      <c r="K1822" s="229">
        <f>6500*10%</f>
        <v>650</v>
      </c>
      <c r="L1822" s="184"/>
      <c r="M1822" s="185"/>
      <c r="AV1822" s="138"/>
      <c r="AW1822" s="138"/>
      <c r="AX1822" s="138"/>
      <c r="AY1822" s="138"/>
      <c r="AZ1822" s="138"/>
      <c r="BA1822" s="138"/>
      <c r="BB1822" s="138"/>
      <c r="BC1822" s="138"/>
      <c r="BD1822" s="138"/>
      <c r="BE1822" s="138"/>
      <c r="BF1822" s="138"/>
      <c r="BG1822" s="138"/>
      <c r="BH1822" s="138"/>
      <c r="BI1822" s="138"/>
      <c r="BJ1822" s="138"/>
      <c r="BK1822" s="138"/>
      <c r="BL1822" s="138"/>
      <c r="BM1822" s="138"/>
      <c r="BN1822" s="138"/>
      <c r="BO1822" s="138"/>
    </row>
    <row r="1823" spans="1:67" x14ac:dyDescent="0.2">
      <c r="A1823" s="189"/>
      <c r="B1823" s="190"/>
      <c r="C1823" s="191"/>
      <c r="D1823" s="244"/>
      <c r="E1823" s="192"/>
      <c r="F1823" s="192"/>
      <c r="G1823" s="192"/>
      <c r="H1823" s="192"/>
      <c r="I1823" s="203"/>
      <c r="J1823" s="204"/>
      <c r="K1823" s="216">
        <f>SUM(K1820:K1822)</f>
        <v>6500</v>
      </c>
      <c r="L1823" s="196"/>
      <c r="M1823" s="197"/>
      <c r="AV1823" s="138"/>
      <c r="AW1823" s="138"/>
      <c r="AX1823" s="138"/>
      <c r="AY1823" s="138"/>
      <c r="AZ1823" s="138"/>
      <c r="BA1823" s="138"/>
      <c r="BB1823" s="138"/>
      <c r="BC1823" s="138"/>
      <c r="BD1823" s="138"/>
      <c r="BE1823" s="138"/>
      <c r="BF1823" s="138"/>
      <c r="BG1823" s="138"/>
      <c r="BH1823" s="138"/>
      <c r="BI1823" s="138"/>
      <c r="BJ1823" s="138"/>
      <c r="BK1823" s="138"/>
      <c r="BL1823" s="138"/>
      <c r="BM1823" s="138"/>
      <c r="BN1823" s="138"/>
      <c r="BO1823" s="138"/>
    </row>
    <row r="1824" spans="1:67" ht="20.25" customHeight="1" x14ac:dyDescent="0.2">
      <c r="A1824" s="167">
        <v>431</v>
      </c>
      <c r="B1824" s="168" t="s">
        <v>2325</v>
      </c>
      <c r="C1824" s="169"/>
      <c r="D1824" s="250" t="s">
        <v>107</v>
      </c>
      <c r="E1824" s="170"/>
      <c r="F1824" s="170"/>
      <c r="G1824" s="170"/>
      <c r="H1824" s="170" t="s">
        <v>137</v>
      </c>
      <c r="I1824" s="274" t="s">
        <v>2326</v>
      </c>
      <c r="J1824" s="247" t="s">
        <v>186</v>
      </c>
      <c r="K1824" s="206">
        <f>5000*10%</f>
        <v>500</v>
      </c>
      <c r="L1824" s="174" t="s">
        <v>111</v>
      </c>
      <c r="M1824" s="175" t="s">
        <v>2327</v>
      </c>
      <c r="AV1824" s="138"/>
      <c r="AW1824" s="138"/>
      <c r="AX1824" s="138"/>
      <c r="AY1824" s="138"/>
      <c r="AZ1824" s="138"/>
      <c r="BA1824" s="138"/>
      <c r="BB1824" s="138"/>
      <c r="BC1824" s="138"/>
      <c r="BD1824" s="138"/>
      <c r="BE1824" s="138"/>
      <c r="BF1824" s="138"/>
      <c r="BG1824" s="138"/>
      <c r="BH1824" s="138"/>
      <c r="BI1824" s="138"/>
      <c r="BJ1824" s="138"/>
      <c r="BK1824" s="138"/>
      <c r="BL1824" s="138"/>
      <c r="BM1824" s="138"/>
      <c r="BN1824" s="138"/>
      <c r="BO1824" s="138"/>
    </row>
    <row r="1825" spans="1:67" ht="20.25" customHeight="1" x14ac:dyDescent="0.2">
      <c r="A1825" s="177"/>
      <c r="B1825" s="178"/>
      <c r="C1825" s="179"/>
      <c r="D1825" s="243"/>
      <c r="E1825" s="180"/>
      <c r="F1825" s="180"/>
      <c r="G1825" s="180"/>
      <c r="H1825" s="180"/>
      <c r="I1825" s="188" t="s">
        <v>2328</v>
      </c>
      <c r="J1825" s="207" t="s">
        <v>1559</v>
      </c>
      <c r="K1825" s="208">
        <f>5000*80%</f>
        <v>4000</v>
      </c>
      <c r="L1825" s="184"/>
      <c r="M1825" s="185"/>
      <c r="AV1825" s="138"/>
      <c r="AW1825" s="138"/>
      <c r="AX1825" s="138"/>
      <c r="AY1825" s="138"/>
      <c r="AZ1825" s="138"/>
      <c r="BA1825" s="138"/>
      <c r="BB1825" s="138"/>
      <c r="BC1825" s="138"/>
      <c r="BD1825" s="138"/>
      <c r="BE1825" s="138"/>
      <c r="BF1825" s="138"/>
      <c r="BG1825" s="138"/>
      <c r="BH1825" s="138"/>
      <c r="BI1825" s="138"/>
      <c r="BJ1825" s="138"/>
      <c r="BK1825" s="138"/>
      <c r="BL1825" s="138"/>
      <c r="BM1825" s="138"/>
      <c r="BN1825" s="138"/>
      <c r="BO1825" s="138"/>
    </row>
    <row r="1826" spans="1:67" ht="20.25" customHeight="1" x14ac:dyDescent="0.2">
      <c r="A1826" s="177"/>
      <c r="B1826" s="178"/>
      <c r="C1826" s="179"/>
      <c r="D1826" s="243"/>
      <c r="E1826" s="180"/>
      <c r="F1826" s="180"/>
      <c r="G1826" s="180"/>
      <c r="H1826" s="180"/>
      <c r="I1826" s="188" t="s">
        <v>2324</v>
      </c>
      <c r="J1826" s="207" t="s">
        <v>1559</v>
      </c>
      <c r="K1826" s="208">
        <f t="shared" ref="K1826" si="37">5000*10%</f>
        <v>500</v>
      </c>
      <c r="L1826" s="184"/>
      <c r="M1826" s="185"/>
      <c r="AV1826" s="138"/>
      <c r="AW1826" s="138"/>
      <c r="AX1826" s="138"/>
      <c r="AY1826" s="138"/>
      <c r="AZ1826" s="138"/>
      <c r="BA1826" s="138"/>
      <c r="BB1826" s="138"/>
      <c r="BC1826" s="138"/>
      <c r="BD1826" s="138"/>
      <c r="BE1826" s="138"/>
      <c r="BF1826" s="138"/>
      <c r="BG1826" s="138"/>
      <c r="BH1826" s="138"/>
      <c r="BI1826" s="138"/>
      <c r="BJ1826" s="138"/>
      <c r="BK1826" s="138"/>
      <c r="BL1826" s="138"/>
      <c r="BM1826" s="138"/>
      <c r="BN1826" s="138"/>
      <c r="BO1826" s="138"/>
    </row>
    <row r="1827" spans="1:67" ht="20.25" customHeight="1" x14ac:dyDescent="0.2">
      <c r="A1827" s="189"/>
      <c r="B1827" s="190"/>
      <c r="C1827" s="191"/>
      <c r="D1827" s="244"/>
      <c r="E1827" s="192"/>
      <c r="F1827" s="192"/>
      <c r="G1827" s="192"/>
      <c r="H1827" s="192"/>
      <c r="I1827" s="203"/>
      <c r="J1827" s="204"/>
      <c r="K1827" s="195">
        <f>SUM(K1824:K1826)</f>
        <v>5000</v>
      </c>
      <c r="L1827" s="196"/>
      <c r="M1827" s="197"/>
      <c r="AV1827" s="138"/>
      <c r="AW1827" s="138"/>
      <c r="AX1827" s="138"/>
      <c r="AY1827" s="138"/>
      <c r="AZ1827" s="138"/>
      <c r="BA1827" s="138"/>
      <c r="BB1827" s="138"/>
      <c r="BC1827" s="138"/>
      <c r="BD1827" s="138"/>
      <c r="BE1827" s="138"/>
      <c r="BF1827" s="138"/>
      <c r="BG1827" s="138"/>
      <c r="BH1827" s="138"/>
      <c r="BI1827" s="138"/>
      <c r="BJ1827" s="138"/>
      <c r="BK1827" s="138"/>
      <c r="BL1827" s="138"/>
      <c r="BM1827" s="138"/>
      <c r="BN1827" s="138"/>
      <c r="BO1827" s="138"/>
    </row>
    <row r="1828" spans="1:67" ht="21.75" customHeight="1" x14ac:dyDescent="0.2">
      <c r="A1828" s="167">
        <v>432</v>
      </c>
      <c r="B1828" s="168" t="s">
        <v>2329</v>
      </c>
      <c r="C1828" s="169"/>
      <c r="D1828" s="250" t="s">
        <v>107</v>
      </c>
      <c r="E1828" s="170"/>
      <c r="F1828" s="170"/>
      <c r="G1828" s="170"/>
      <c r="H1828" s="170"/>
      <c r="I1828" s="274" t="s">
        <v>2330</v>
      </c>
      <c r="J1828" s="247" t="s">
        <v>186</v>
      </c>
      <c r="K1828" s="213">
        <f>6500*15%</f>
        <v>975</v>
      </c>
      <c r="L1828" s="175" t="s">
        <v>111</v>
      </c>
      <c r="M1828" s="175" t="s">
        <v>2331</v>
      </c>
      <c r="AV1828" s="138"/>
      <c r="AW1828" s="138"/>
      <c r="AX1828" s="138"/>
      <c r="AY1828" s="138"/>
      <c r="AZ1828" s="138"/>
      <c r="BA1828" s="138"/>
      <c r="BB1828" s="138"/>
      <c r="BC1828" s="138"/>
      <c r="BD1828" s="138"/>
      <c r="BE1828" s="138"/>
      <c r="BF1828" s="138"/>
      <c r="BG1828" s="138"/>
      <c r="BH1828" s="138"/>
      <c r="BI1828" s="138"/>
      <c r="BJ1828" s="138"/>
      <c r="BK1828" s="138"/>
      <c r="BL1828" s="138"/>
      <c r="BM1828" s="138"/>
      <c r="BN1828" s="138"/>
      <c r="BO1828" s="138"/>
    </row>
    <row r="1829" spans="1:67" x14ac:dyDescent="0.2">
      <c r="A1829" s="177"/>
      <c r="B1829" s="178"/>
      <c r="C1829" s="179"/>
      <c r="D1829" s="243"/>
      <c r="E1829" s="180"/>
      <c r="F1829" s="180"/>
      <c r="G1829" s="180"/>
      <c r="H1829" s="180"/>
      <c r="I1829" s="188" t="s">
        <v>2332</v>
      </c>
      <c r="J1829" s="207" t="s">
        <v>1559</v>
      </c>
      <c r="K1829" s="201">
        <f>6500*20%</f>
        <v>1300</v>
      </c>
      <c r="L1829" s="185"/>
      <c r="M1829" s="185"/>
      <c r="AV1829" s="138"/>
      <c r="AW1829" s="138"/>
      <c r="AX1829" s="138"/>
      <c r="AY1829" s="138"/>
      <c r="AZ1829" s="138"/>
      <c r="BA1829" s="138"/>
      <c r="BB1829" s="138"/>
      <c r="BC1829" s="138"/>
      <c r="BD1829" s="138"/>
      <c r="BE1829" s="138"/>
      <c r="BF1829" s="138"/>
      <c r="BG1829" s="138"/>
      <c r="BH1829" s="138"/>
      <c r="BI1829" s="138"/>
      <c r="BJ1829" s="138"/>
      <c r="BK1829" s="138"/>
      <c r="BL1829" s="138"/>
      <c r="BM1829" s="138"/>
      <c r="BN1829" s="138"/>
      <c r="BO1829" s="138"/>
    </row>
    <row r="1830" spans="1:67" x14ac:dyDescent="0.2">
      <c r="A1830" s="177"/>
      <c r="B1830" s="178"/>
      <c r="C1830" s="179"/>
      <c r="D1830" s="243"/>
      <c r="E1830" s="180"/>
      <c r="F1830" s="180"/>
      <c r="G1830" s="180"/>
      <c r="H1830" s="180"/>
      <c r="I1830" s="188" t="s">
        <v>2333</v>
      </c>
      <c r="J1830" s="207" t="s">
        <v>1559</v>
      </c>
      <c r="K1830" s="201">
        <f t="shared" ref="K1830:K1833" si="38">6500*15%</f>
        <v>975</v>
      </c>
      <c r="L1830" s="185"/>
      <c r="M1830" s="185"/>
      <c r="AV1830" s="138"/>
      <c r="AW1830" s="138"/>
      <c r="AX1830" s="138"/>
      <c r="AY1830" s="138"/>
      <c r="AZ1830" s="138"/>
      <c r="BA1830" s="138"/>
      <c r="BB1830" s="138"/>
      <c r="BC1830" s="138"/>
      <c r="BD1830" s="138"/>
      <c r="BE1830" s="138"/>
      <c r="BF1830" s="138"/>
      <c r="BG1830" s="138"/>
      <c r="BH1830" s="138"/>
      <c r="BI1830" s="138"/>
      <c r="BJ1830" s="138"/>
      <c r="BK1830" s="138"/>
      <c r="BL1830" s="138"/>
      <c r="BM1830" s="138"/>
      <c r="BN1830" s="138"/>
      <c r="BO1830" s="138"/>
    </row>
    <row r="1831" spans="1:67" x14ac:dyDescent="0.2">
      <c r="A1831" s="177"/>
      <c r="B1831" s="178"/>
      <c r="C1831" s="179"/>
      <c r="D1831" s="243"/>
      <c r="E1831" s="180"/>
      <c r="F1831" s="180"/>
      <c r="G1831" s="180"/>
      <c r="H1831" s="180"/>
      <c r="I1831" s="188" t="s">
        <v>2334</v>
      </c>
      <c r="J1831" s="207" t="s">
        <v>1559</v>
      </c>
      <c r="K1831" s="201">
        <f>6500*20%</f>
        <v>1300</v>
      </c>
      <c r="L1831" s="185"/>
      <c r="M1831" s="185"/>
      <c r="AV1831" s="138"/>
      <c r="AW1831" s="138"/>
      <c r="AX1831" s="138"/>
      <c r="AY1831" s="138"/>
      <c r="AZ1831" s="138"/>
      <c r="BA1831" s="138"/>
      <c r="BB1831" s="138"/>
      <c r="BC1831" s="138"/>
      <c r="BD1831" s="138"/>
      <c r="BE1831" s="138"/>
      <c r="BF1831" s="138"/>
      <c r="BG1831" s="138"/>
      <c r="BH1831" s="138"/>
      <c r="BI1831" s="138"/>
      <c r="BJ1831" s="138"/>
      <c r="BK1831" s="138"/>
      <c r="BL1831" s="138"/>
      <c r="BM1831" s="138"/>
      <c r="BN1831" s="138"/>
      <c r="BO1831" s="138"/>
    </row>
    <row r="1832" spans="1:67" x14ac:dyDescent="0.2">
      <c r="A1832" s="177"/>
      <c r="B1832" s="178"/>
      <c r="C1832" s="179"/>
      <c r="D1832" s="243"/>
      <c r="E1832" s="180"/>
      <c r="F1832" s="180"/>
      <c r="G1832" s="180"/>
      <c r="H1832" s="180"/>
      <c r="I1832" s="188" t="s">
        <v>2335</v>
      </c>
      <c r="J1832" s="207" t="s">
        <v>1559</v>
      </c>
      <c r="K1832" s="201">
        <f t="shared" si="38"/>
        <v>975</v>
      </c>
      <c r="L1832" s="185"/>
      <c r="M1832" s="185"/>
      <c r="AV1832" s="138"/>
      <c r="AW1832" s="138"/>
      <c r="AX1832" s="138"/>
      <c r="AY1832" s="138"/>
      <c r="AZ1832" s="138"/>
      <c r="BA1832" s="138"/>
      <c r="BB1832" s="138"/>
      <c r="BC1832" s="138"/>
      <c r="BD1832" s="138"/>
      <c r="BE1832" s="138"/>
      <c r="BF1832" s="138"/>
      <c r="BG1832" s="138"/>
      <c r="BH1832" s="138"/>
      <c r="BI1832" s="138"/>
      <c r="BJ1832" s="138"/>
      <c r="BK1832" s="138"/>
      <c r="BL1832" s="138"/>
      <c r="BM1832" s="138"/>
      <c r="BN1832" s="138"/>
      <c r="BO1832" s="138"/>
    </row>
    <row r="1833" spans="1:67" x14ac:dyDescent="0.2">
      <c r="A1833" s="177"/>
      <c r="B1833" s="178"/>
      <c r="C1833" s="179"/>
      <c r="D1833" s="243"/>
      <c r="E1833" s="180"/>
      <c r="F1833" s="180"/>
      <c r="G1833" s="180"/>
      <c r="H1833" s="180"/>
      <c r="I1833" s="188" t="s">
        <v>2336</v>
      </c>
      <c r="J1833" s="207" t="s">
        <v>1559</v>
      </c>
      <c r="K1833" s="201">
        <f t="shared" si="38"/>
        <v>975</v>
      </c>
      <c r="L1833" s="185"/>
      <c r="M1833" s="185"/>
      <c r="AV1833" s="138"/>
      <c r="AW1833" s="138"/>
      <c r="AX1833" s="138"/>
      <c r="AY1833" s="138"/>
      <c r="AZ1833" s="138"/>
      <c r="BA1833" s="138"/>
      <c r="BB1833" s="138"/>
      <c r="BC1833" s="138"/>
      <c r="BD1833" s="138"/>
      <c r="BE1833" s="138"/>
      <c r="BF1833" s="138"/>
      <c r="BG1833" s="138"/>
      <c r="BH1833" s="138"/>
      <c r="BI1833" s="138"/>
      <c r="BJ1833" s="138"/>
      <c r="BK1833" s="138"/>
      <c r="BL1833" s="138"/>
      <c r="BM1833" s="138"/>
      <c r="BN1833" s="138"/>
      <c r="BO1833" s="138"/>
    </row>
    <row r="1834" spans="1:67" x14ac:dyDescent="0.2">
      <c r="A1834" s="189"/>
      <c r="B1834" s="190"/>
      <c r="C1834" s="191"/>
      <c r="D1834" s="244"/>
      <c r="E1834" s="192"/>
      <c r="F1834" s="192"/>
      <c r="G1834" s="192"/>
      <c r="H1834" s="192"/>
      <c r="I1834" s="203"/>
      <c r="J1834" s="204"/>
      <c r="K1834" s="211">
        <f>SUM(K1828:K1833)</f>
        <v>6500</v>
      </c>
      <c r="L1834" s="197"/>
      <c r="M1834" s="197"/>
      <c r="AV1834" s="138"/>
      <c r="AW1834" s="138"/>
      <c r="AX1834" s="138"/>
      <c r="AY1834" s="138"/>
      <c r="AZ1834" s="138"/>
      <c r="BA1834" s="138"/>
      <c r="BB1834" s="138"/>
      <c r="BC1834" s="138"/>
      <c r="BD1834" s="138"/>
      <c r="BE1834" s="138"/>
      <c r="BF1834" s="138"/>
      <c r="BG1834" s="138"/>
      <c r="BH1834" s="138"/>
      <c r="BI1834" s="138"/>
      <c r="BJ1834" s="138"/>
      <c r="BK1834" s="138"/>
      <c r="BL1834" s="138"/>
      <c r="BM1834" s="138"/>
      <c r="BN1834" s="138"/>
      <c r="BO1834" s="138"/>
    </row>
    <row r="1835" spans="1:67" ht="22.5" customHeight="1" x14ac:dyDescent="0.2">
      <c r="A1835" s="167">
        <v>433</v>
      </c>
      <c r="B1835" s="168" t="s">
        <v>2337</v>
      </c>
      <c r="C1835" s="169"/>
      <c r="D1835" s="250" t="s">
        <v>107</v>
      </c>
      <c r="E1835" s="170"/>
      <c r="F1835" s="170"/>
      <c r="G1835" s="170"/>
      <c r="H1835" s="170" t="s">
        <v>137</v>
      </c>
      <c r="I1835" s="274" t="s">
        <v>2338</v>
      </c>
      <c r="J1835" s="247" t="s">
        <v>1559</v>
      </c>
      <c r="K1835" s="206">
        <f>5000*40%</f>
        <v>2000</v>
      </c>
      <c r="L1835" s="174" t="s">
        <v>111</v>
      </c>
      <c r="M1835" s="175" t="s">
        <v>2339</v>
      </c>
      <c r="AV1835" s="138"/>
      <c r="AW1835" s="138"/>
      <c r="AX1835" s="138"/>
      <c r="AY1835" s="138"/>
      <c r="AZ1835" s="138"/>
      <c r="BA1835" s="138"/>
      <c r="BB1835" s="138"/>
      <c r="BC1835" s="138"/>
      <c r="BD1835" s="138"/>
      <c r="BE1835" s="138"/>
      <c r="BF1835" s="138"/>
      <c r="BG1835" s="138"/>
      <c r="BH1835" s="138"/>
      <c r="BI1835" s="138"/>
      <c r="BJ1835" s="138"/>
      <c r="BK1835" s="138"/>
      <c r="BL1835" s="138"/>
      <c r="BM1835" s="138"/>
      <c r="BN1835" s="138"/>
      <c r="BO1835" s="138"/>
    </row>
    <row r="1836" spans="1:67" x14ac:dyDescent="0.2">
      <c r="A1836" s="177"/>
      <c r="B1836" s="178"/>
      <c r="C1836" s="179"/>
      <c r="D1836" s="243"/>
      <c r="E1836" s="180"/>
      <c r="F1836" s="180"/>
      <c r="G1836" s="180"/>
      <c r="H1836" s="180"/>
      <c r="I1836" s="188" t="s">
        <v>2340</v>
      </c>
      <c r="J1836" s="207" t="s">
        <v>1559</v>
      </c>
      <c r="K1836" s="208">
        <f>5000*30%</f>
        <v>1500</v>
      </c>
      <c r="L1836" s="184"/>
      <c r="M1836" s="185"/>
      <c r="AV1836" s="138"/>
      <c r="AW1836" s="138"/>
      <c r="AX1836" s="138"/>
      <c r="AY1836" s="138"/>
      <c r="AZ1836" s="138"/>
      <c r="BA1836" s="138"/>
      <c r="BB1836" s="138"/>
      <c r="BC1836" s="138"/>
      <c r="BD1836" s="138"/>
      <c r="BE1836" s="138"/>
      <c r="BF1836" s="138"/>
      <c r="BG1836" s="138"/>
      <c r="BH1836" s="138"/>
      <c r="BI1836" s="138"/>
      <c r="BJ1836" s="138"/>
      <c r="BK1836" s="138"/>
      <c r="BL1836" s="138"/>
      <c r="BM1836" s="138"/>
      <c r="BN1836" s="138"/>
      <c r="BO1836" s="138"/>
    </row>
    <row r="1837" spans="1:67" x14ac:dyDescent="0.2">
      <c r="A1837" s="177"/>
      <c r="B1837" s="178"/>
      <c r="C1837" s="179"/>
      <c r="D1837" s="243"/>
      <c r="E1837" s="180"/>
      <c r="F1837" s="180"/>
      <c r="G1837" s="180"/>
      <c r="H1837" s="180"/>
      <c r="I1837" s="188" t="s">
        <v>2341</v>
      </c>
      <c r="J1837" s="207" t="s">
        <v>1559</v>
      </c>
      <c r="K1837" s="208">
        <f>5000*30%</f>
        <v>1500</v>
      </c>
      <c r="L1837" s="184"/>
      <c r="M1837" s="185"/>
      <c r="AV1837" s="138"/>
      <c r="AW1837" s="138"/>
      <c r="AX1837" s="138"/>
      <c r="AY1837" s="138"/>
      <c r="AZ1837" s="138"/>
      <c r="BA1837" s="138"/>
      <c r="BB1837" s="138"/>
      <c r="BC1837" s="138"/>
      <c r="BD1837" s="138"/>
      <c r="BE1837" s="138"/>
      <c r="BF1837" s="138"/>
      <c r="BG1837" s="138"/>
      <c r="BH1837" s="138"/>
      <c r="BI1837" s="138"/>
      <c r="BJ1837" s="138"/>
      <c r="BK1837" s="138"/>
      <c r="BL1837" s="138"/>
      <c r="BM1837" s="138"/>
      <c r="BN1837" s="138"/>
      <c r="BO1837" s="138"/>
    </row>
    <row r="1838" spans="1:67" x14ac:dyDescent="0.2">
      <c r="A1838" s="189"/>
      <c r="B1838" s="190"/>
      <c r="C1838" s="191"/>
      <c r="D1838" s="244"/>
      <c r="E1838" s="192"/>
      <c r="F1838" s="192"/>
      <c r="G1838" s="192"/>
      <c r="H1838" s="192"/>
      <c r="I1838" s="203"/>
      <c r="J1838" s="204"/>
      <c r="K1838" s="195">
        <f>SUM(K1835:K1837)</f>
        <v>5000</v>
      </c>
      <c r="L1838" s="196"/>
      <c r="M1838" s="197"/>
      <c r="AV1838" s="138"/>
      <c r="AW1838" s="138"/>
      <c r="AX1838" s="138"/>
      <c r="AY1838" s="138"/>
      <c r="AZ1838" s="138"/>
      <c r="BA1838" s="138"/>
      <c r="BB1838" s="138"/>
      <c r="BC1838" s="138"/>
      <c r="BD1838" s="138"/>
      <c r="BE1838" s="138"/>
      <c r="BF1838" s="138"/>
      <c r="BG1838" s="138"/>
      <c r="BH1838" s="138"/>
      <c r="BI1838" s="138"/>
      <c r="BJ1838" s="138"/>
      <c r="BK1838" s="138"/>
      <c r="BL1838" s="138"/>
      <c r="BM1838" s="138"/>
      <c r="BN1838" s="138"/>
      <c r="BO1838" s="138"/>
    </row>
    <row r="1839" spans="1:67" ht="24.75" customHeight="1" x14ac:dyDescent="0.2">
      <c r="A1839" s="167">
        <v>434</v>
      </c>
      <c r="B1839" s="168" t="s">
        <v>2342</v>
      </c>
      <c r="C1839" s="169"/>
      <c r="D1839" s="250" t="s">
        <v>107</v>
      </c>
      <c r="E1839" s="170"/>
      <c r="F1839" s="170"/>
      <c r="G1839" s="170"/>
      <c r="H1839" s="170" t="s">
        <v>108</v>
      </c>
      <c r="I1839" s="274" t="s">
        <v>2343</v>
      </c>
      <c r="J1839" s="247" t="s">
        <v>186</v>
      </c>
      <c r="K1839" s="206">
        <f>5000*30%</f>
        <v>1500</v>
      </c>
      <c r="L1839" s="174" t="s">
        <v>111</v>
      </c>
      <c r="M1839" s="175" t="s">
        <v>2344</v>
      </c>
      <c r="AV1839" s="138"/>
      <c r="AW1839" s="138"/>
      <c r="AX1839" s="138"/>
      <c r="AY1839" s="138"/>
      <c r="AZ1839" s="138"/>
      <c r="BA1839" s="138"/>
      <c r="BB1839" s="138"/>
      <c r="BC1839" s="138"/>
      <c r="BD1839" s="138"/>
      <c r="BE1839" s="138"/>
      <c r="BF1839" s="138"/>
      <c r="BG1839" s="138"/>
      <c r="BH1839" s="138"/>
      <c r="BI1839" s="138"/>
      <c r="BJ1839" s="138"/>
      <c r="BK1839" s="138"/>
      <c r="BL1839" s="138"/>
      <c r="BM1839" s="138"/>
      <c r="BN1839" s="138"/>
      <c r="BO1839" s="138"/>
    </row>
    <row r="1840" spans="1:67" x14ac:dyDescent="0.2">
      <c r="A1840" s="177"/>
      <c r="B1840" s="178"/>
      <c r="C1840" s="179"/>
      <c r="D1840" s="243"/>
      <c r="E1840" s="180"/>
      <c r="F1840" s="180"/>
      <c r="G1840" s="180"/>
      <c r="H1840" s="180"/>
      <c r="I1840" s="188" t="s">
        <v>2345</v>
      </c>
      <c r="J1840" s="207" t="s">
        <v>1559</v>
      </c>
      <c r="K1840" s="208">
        <f>5000*25%</f>
        <v>1250</v>
      </c>
      <c r="L1840" s="184"/>
      <c r="M1840" s="185"/>
      <c r="AV1840" s="138"/>
      <c r="AW1840" s="138"/>
      <c r="AX1840" s="138"/>
      <c r="AY1840" s="138"/>
      <c r="AZ1840" s="138"/>
      <c r="BA1840" s="138"/>
      <c r="BB1840" s="138"/>
      <c r="BC1840" s="138"/>
      <c r="BD1840" s="138"/>
      <c r="BE1840" s="138"/>
      <c r="BF1840" s="138"/>
      <c r="BG1840" s="138"/>
      <c r="BH1840" s="138"/>
      <c r="BI1840" s="138"/>
      <c r="BJ1840" s="138"/>
      <c r="BK1840" s="138"/>
      <c r="BL1840" s="138"/>
      <c r="BM1840" s="138"/>
      <c r="BN1840" s="138"/>
      <c r="BO1840" s="138"/>
    </row>
    <row r="1841" spans="1:67" x14ac:dyDescent="0.2">
      <c r="A1841" s="177"/>
      <c r="B1841" s="178"/>
      <c r="C1841" s="179"/>
      <c r="D1841" s="243"/>
      <c r="E1841" s="180"/>
      <c r="F1841" s="180"/>
      <c r="G1841" s="180"/>
      <c r="H1841" s="180"/>
      <c r="I1841" s="188" t="s">
        <v>2346</v>
      </c>
      <c r="J1841" s="207" t="s">
        <v>1559</v>
      </c>
      <c r="K1841" s="208">
        <f>5000*25%</f>
        <v>1250</v>
      </c>
      <c r="L1841" s="184"/>
      <c r="M1841" s="185"/>
      <c r="AV1841" s="138"/>
      <c r="AW1841" s="138"/>
      <c r="AX1841" s="138"/>
      <c r="AY1841" s="138"/>
      <c r="AZ1841" s="138"/>
      <c r="BA1841" s="138"/>
      <c r="BB1841" s="138"/>
      <c r="BC1841" s="138"/>
      <c r="BD1841" s="138"/>
      <c r="BE1841" s="138"/>
      <c r="BF1841" s="138"/>
      <c r="BG1841" s="138"/>
      <c r="BH1841" s="138"/>
      <c r="BI1841" s="138"/>
      <c r="BJ1841" s="138"/>
      <c r="BK1841" s="138"/>
      <c r="BL1841" s="138"/>
      <c r="BM1841" s="138"/>
      <c r="BN1841" s="138"/>
      <c r="BO1841" s="138"/>
    </row>
    <row r="1842" spans="1:67" x14ac:dyDescent="0.2">
      <c r="A1842" s="177"/>
      <c r="B1842" s="178"/>
      <c r="C1842" s="179"/>
      <c r="D1842" s="243"/>
      <c r="E1842" s="180"/>
      <c r="F1842" s="180"/>
      <c r="G1842" s="180"/>
      <c r="H1842" s="180"/>
      <c r="I1842" s="188" t="s">
        <v>2347</v>
      </c>
      <c r="J1842" s="207" t="s">
        <v>1559</v>
      </c>
      <c r="K1842" s="208">
        <f>5000*20%</f>
        <v>1000</v>
      </c>
      <c r="L1842" s="184"/>
      <c r="M1842" s="185"/>
      <c r="AV1842" s="138"/>
      <c r="AW1842" s="138"/>
      <c r="AX1842" s="138"/>
      <c r="AY1842" s="138"/>
      <c r="AZ1842" s="138"/>
      <c r="BA1842" s="138"/>
      <c r="BB1842" s="138"/>
      <c r="BC1842" s="138"/>
      <c r="BD1842" s="138"/>
      <c r="BE1842" s="138"/>
      <c r="BF1842" s="138"/>
      <c r="BG1842" s="138"/>
      <c r="BH1842" s="138"/>
      <c r="BI1842" s="138"/>
      <c r="BJ1842" s="138"/>
      <c r="BK1842" s="138"/>
      <c r="BL1842" s="138"/>
      <c r="BM1842" s="138"/>
      <c r="BN1842" s="138"/>
      <c r="BO1842" s="138"/>
    </row>
    <row r="1843" spans="1:67" x14ac:dyDescent="0.2">
      <c r="A1843" s="189"/>
      <c r="B1843" s="190"/>
      <c r="C1843" s="191"/>
      <c r="D1843" s="244"/>
      <c r="E1843" s="192"/>
      <c r="F1843" s="192"/>
      <c r="G1843" s="192"/>
      <c r="H1843" s="192"/>
      <c r="I1843" s="203"/>
      <c r="J1843" s="204"/>
      <c r="K1843" s="195">
        <f>SUM(K1839:K1842)</f>
        <v>5000</v>
      </c>
      <c r="L1843" s="196"/>
      <c r="M1843" s="197"/>
      <c r="AV1843" s="138"/>
      <c r="AW1843" s="138"/>
      <c r="AX1843" s="138"/>
      <c r="AY1843" s="138"/>
      <c r="AZ1843" s="138"/>
      <c r="BA1843" s="138"/>
      <c r="BB1843" s="138"/>
      <c r="BC1843" s="138"/>
      <c r="BD1843" s="138"/>
      <c r="BE1843" s="138"/>
      <c r="BF1843" s="138"/>
      <c r="BG1843" s="138"/>
      <c r="BH1843" s="138"/>
      <c r="BI1843" s="138"/>
      <c r="BJ1843" s="138"/>
      <c r="BK1843" s="138"/>
      <c r="BL1843" s="138"/>
      <c r="BM1843" s="138"/>
      <c r="BN1843" s="138"/>
      <c r="BO1843" s="138"/>
    </row>
    <row r="1844" spans="1:67" ht="24.75" customHeight="1" x14ac:dyDescent="0.2">
      <c r="A1844" s="167">
        <v>435</v>
      </c>
      <c r="B1844" s="168" t="s">
        <v>2348</v>
      </c>
      <c r="C1844" s="169"/>
      <c r="D1844" s="250" t="s">
        <v>107</v>
      </c>
      <c r="E1844" s="170"/>
      <c r="F1844" s="170"/>
      <c r="G1844" s="170"/>
      <c r="H1844" s="170"/>
      <c r="I1844" s="274" t="s">
        <v>2349</v>
      </c>
      <c r="J1844" s="247" t="s">
        <v>186</v>
      </c>
      <c r="K1844" s="213">
        <f>6500*60%</f>
        <v>3900</v>
      </c>
      <c r="L1844" s="175" t="s">
        <v>111</v>
      </c>
      <c r="M1844" s="175" t="s">
        <v>2350</v>
      </c>
      <c r="AV1844" s="138"/>
      <c r="AW1844" s="138"/>
      <c r="AX1844" s="138"/>
      <c r="AY1844" s="138"/>
      <c r="AZ1844" s="138"/>
      <c r="BA1844" s="138"/>
      <c r="BB1844" s="138"/>
      <c r="BC1844" s="138"/>
      <c r="BD1844" s="138"/>
      <c r="BE1844" s="138"/>
      <c r="BF1844" s="138"/>
      <c r="BG1844" s="138"/>
      <c r="BH1844" s="138"/>
      <c r="BI1844" s="138"/>
      <c r="BJ1844" s="138"/>
      <c r="BK1844" s="138"/>
      <c r="BL1844" s="138"/>
      <c r="BM1844" s="138"/>
      <c r="BN1844" s="138"/>
      <c r="BO1844" s="138"/>
    </row>
    <row r="1845" spans="1:67" x14ac:dyDescent="0.2">
      <c r="A1845" s="177"/>
      <c r="B1845" s="178"/>
      <c r="C1845" s="179"/>
      <c r="D1845" s="243"/>
      <c r="E1845" s="180"/>
      <c r="F1845" s="180"/>
      <c r="G1845" s="180"/>
      <c r="H1845" s="180"/>
      <c r="I1845" s="188" t="s">
        <v>2351</v>
      </c>
      <c r="J1845" s="207" t="s">
        <v>1559</v>
      </c>
      <c r="K1845" s="201">
        <f>6500*10%</f>
        <v>650</v>
      </c>
      <c r="L1845" s="185"/>
      <c r="M1845" s="185"/>
      <c r="AV1845" s="138"/>
      <c r="AW1845" s="138"/>
      <c r="AX1845" s="138"/>
      <c r="AY1845" s="138"/>
      <c r="AZ1845" s="138"/>
      <c r="BA1845" s="138"/>
      <c r="BB1845" s="138"/>
      <c r="BC1845" s="138"/>
      <c r="BD1845" s="138"/>
      <c r="BE1845" s="138"/>
      <c r="BF1845" s="138"/>
      <c r="BG1845" s="138"/>
      <c r="BH1845" s="138"/>
      <c r="BI1845" s="138"/>
      <c r="BJ1845" s="138"/>
      <c r="BK1845" s="138"/>
      <c r="BL1845" s="138"/>
      <c r="BM1845" s="138"/>
      <c r="BN1845" s="138"/>
      <c r="BO1845" s="138"/>
    </row>
    <row r="1846" spans="1:67" x14ac:dyDescent="0.2">
      <c r="A1846" s="177"/>
      <c r="B1846" s="178"/>
      <c r="C1846" s="179"/>
      <c r="D1846" s="243"/>
      <c r="E1846" s="180"/>
      <c r="F1846" s="180"/>
      <c r="G1846" s="180"/>
      <c r="H1846" s="180"/>
      <c r="I1846" s="188" t="s">
        <v>2302</v>
      </c>
      <c r="J1846" s="207" t="s">
        <v>1559</v>
      </c>
      <c r="K1846" s="201">
        <f t="shared" ref="K1846:K1848" si="39">6500*10%</f>
        <v>650</v>
      </c>
      <c r="L1846" s="185"/>
      <c r="M1846" s="185"/>
      <c r="AV1846" s="138"/>
      <c r="AW1846" s="138"/>
      <c r="AX1846" s="138"/>
      <c r="AY1846" s="138"/>
      <c r="AZ1846" s="138"/>
      <c r="BA1846" s="138"/>
      <c r="BB1846" s="138"/>
      <c r="BC1846" s="138"/>
      <c r="BD1846" s="138"/>
      <c r="BE1846" s="138"/>
      <c r="BF1846" s="138"/>
      <c r="BG1846" s="138"/>
      <c r="BH1846" s="138"/>
      <c r="BI1846" s="138"/>
      <c r="BJ1846" s="138"/>
      <c r="BK1846" s="138"/>
      <c r="BL1846" s="138"/>
      <c r="BM1846" s="138"/>
      <c r="BN1846" s="138"/>
      <c r="BO1846" s="138"/>
    </row>
    <row r="1847" spans="1:67" x14ac:dyDescent="0.2">
      <c r="A1847" s="177"/>
      <c r="B1847" s="178"/>
      <c r="C1847" s="179"/>
      <c r="D1847" s="243"/>
      <c r="E1847" s="180"/>
      <c r="F1847" s="180"/>
      <c r="G1847" s="180"/>
      <c r="H1847" s="180"/>
      <c r="I1847" s="188" t="s">
        <v>2352</v>
      </c>
      <c r="J1847" s="207" t="s">
        <v>1559</v>
      </c>
      <c r="K1847" s="201">
        <f t="shared" si="39"/>
        <v>650</v>
      </c>
      <c r="L1847" s="185"/>
      <c r="M1847" s="185"/>
      <c r="AV1847" s="138"/>
      <c r="AW1847" s="138"/>
      <c r="AX1847" s="138"/>
      <c r="AY1847" s="138"/>
      <c r="AZ1847" s="138"/>
      <c r="BA1847" s="138"/>
      <c r="BB1847" s="138"/>
      <c r="BC1847" s="138"/>
      <c r="BD1847" s="138"/>
      <c r="BE1847" s="138"/>
      <c r="BF1847" s="138"/>
      <c r="BG1847" s="138"/>
      <c r="BH1847" s="138"/>
      <c r="BI1847" s="138"/>
      <c r="BJ1847" s="138"/>
      <c r="BK1847" s="138"/>
      <c r="BL1847" s="138"/>
      <c r="BM1847" s="138"/>
      <c r="BN1847" s="138"/>
      <c r="BO1847" s="138"/>
    </row>
    <row r="1848" spans="1:67" x14ac:dyDescent="0.2">
      <c r="A1848" s="177"/>
      <c r="B1848" s="178"/>
      <c r="C1848" s="179"/>
      <c r="D1848" s="243"/>
      <c r="E1848" s="180"/>
      <c r="F1848" s="180"/>
      <c r="G1848" s="180"/>
      <c r="H1848" s="180"/>
      <c r="I1848" s="188" t="s">
        <v>2353</v>
      </c>
      <c r="J1848" s="207" t="s">
        <v>1559</v>
      </c>
      <c r="K1848" s="201">
        <f t="shared" si="39"/>
        <v>650</v>
      </c>
      <c r="L1848" s="185"/>
      <c r="M1848" s="185"/>
      <c r="AV1848" s="138"/>
      <c r="AW1848" s="138"/>
      <c r="AX1848" s="138"/>
      <c r="AY1848" s="138"/>
      <c r="AZ1848" s="138"/>
      <c r="BA1848" s="138"/>
      <c r="BB1848" s="138"/>
      <c r="BC1848" s="138"/>
      <c r="BD1848" s="138"/>
      <c r="BE1848" s="138"/>
      <c r="BF1848" s="138"/>
      <c r="BG1848" s="138"/>
      <c r="BH1848" s="138"/>
      <c r="BI1848" s="138"/>
      <c r="BJ1848" s="138"/>
      <c r="BK1848" s="138"/>
      <c r="BL1848" s="138"/>
      <c r="BM1848" s="138"/>
      <c r="BN1848" s="138"/>
      <c r="BO1848" s="138"/>
    </row>
    <row r="1849" spans="1:67" x14ac:dyDescent="0.2">
      <c r="A1849" s="189"/>
      <c r="B1849" s="190"/>
      <c r="C1849" s="191"/>
      <c r="D1849" s="244"/>
      <c r="E1849" s="192"/>
      <c r="F1849" s="192"/>
      <c r="G1849" s="192"/>
      <c r="H1849" s="192"/>
      <c r="I1849" s="203"/>
      <c r="J1849" s="204"/>
      <c r="K1849" s="211">
        <f>SUM(K1844:K1848)</f>
        <v>6500</v>
      </c>
      <c r="L1849" s="197"/>
      <c r="M1849" s="197"/>
      <c r="AV1849" s="138"/>
      <c r="AW1849" s="138"/>
      <c r="AX1849" s="138"/>
      <c r="AY1849" s="138"/>
      <c r="AZ1849" s="138"/>
      <c r="BA1849" s="138"/>
      <c r="BB1849" s="138"/>
      <c r="BC1849" s="138"/>
      <c r="BD1849" s="138"/>
      <c r="BE1849" s="138"/>
      <c r="BF1849" s="138"/>
      <c r="BG1849" s="138"/>
      <c r="BH1849" s="138"/>
      <c r="BI1849" s="138"/>
      <c r="BJ1849" s="138"/>
      <c r="BK1849" s="138"/>
      <c r="BL1849" s="138"/>
      <c r="BM1849" s="138"/>
      <c r="BN1849" s="138"/>
      <c r="BO1849" s="138"/>
    </row>
    <row r="1850" spans="1:67" ht="23.25" customHeight="1" x14ac:dyDescent="0.2">
      <c r="A1850" s="167">
        <v>436</v>
      </c>
      <c r="B1850" s="168" t="s">
        <v>2354</v>
      </c>
      <c r="C1850" s="169"/>
      <c r="D1850" s="250" t="s">
        <v>107</v>
      </c>
      <c r="E1850" s="170"/>
      <c r="F1850" s="170"/>
      <c r="G1850" s="170"/>
      <c r="H1850" s="170"/>
      <c r="I1850" s="274" t="s">
        <v>2355</v>
      </c>
      <c r="J1850" s="247" t="s">
        <v>186</v>
      </c>
      <c r="K1850" s="212">
        <f>5000*20%</f>
        <v>1000</v>
      </c>
      <c r="L1850" s="174" t="s">
        <v>111</v>
      </c>
      <c r="M1850" s="175" t="s">
        <v>2356</v>
      </c>
      <c r="AV1850" s="138"/>
      <c r="AW1850" s="138"/>
      <c r="AX1850" s="138"/>
      <c r="AY1850" s="138"/>
      <c r="AZ1850" s="138"/>
      <c r="BA1850" s="138"/>
      <c r="BB1850" s="138"/>
      <c r="BC1850" s="138"/>
      <c r="BD1850" s="138"/>
      <c r="BE1850" s="138"/>
      <c r="BF1850" s="138"/>
      <c r="BG1850" s="138"/>
      <c r="BH1850" s="138"/>
      <c r="BI1850" s="138"/>
      <c r="BJ1850" s="138"/>
      <c r="BK1850" s="138"/>
      <c r="BL1850" s="138"/>
      <c r="BM1850" s="138"/>
      <c r="BN1850" s="138"/>
      <c r="BO1850" s="138"/>
    </row>
    <row r="1851" spans="1:67" x14ac:dyDescent="0.2">
      <c r="A1851" s="177"/>
      <c r="B1851" s="178"/>
      <c r="C1851" s="179"/>
      <c r="D1851" s="243"/>
      <c r="E1851" s="180"/>
      <c r="F1851" s="180"/>
      <c r="G1851" s="180"/>
      <c r="H1851" s="180"/>
      <c r="I1851" s="188" t="s">
        <v>2352</v>
      </c>
      <c r="J1851" s="207" t="s">
        <v>1559</v>
      </c>
      <c r="K1851" s="229">
        <f>5000*10%</f>
        <v>500</v>
      </c>
      <c r="L1851" s="184"/>
      <c r="M1851" s="185"/>
      <c r="AV1851" s="138"/>
      <c r="AW1851" s="138"/>
      <c r="AX1851" s="138"/>
      <c r="AY1851" s="138"/>
      <c r="AZ1851" s="138"/>
      <c r="BA1851" s="138"/>
      <c r="BB1851" s="138"/>
      <c r="BC1851" s="138"/>
      <c r="BD1851" s="138"/>
      <c r="BE1851" s="138"/>
      <c r="BF1851" s="138"/>
      <c r="BG1851" s="138"/>
      <c r="BH1851" s="138"/>
      <c r="BI1851" s="138"/>
      <c r="BJ1851" s="138"/>
      <c r="BK1851" s="138"/>
      <c r="BL1851" s="138"/>
      <c r="BM1851" s="138"/>
      <c r="BN1851" s="138"/>
      <c r="BO1851" s="138"/>
    </row>
    <row r="1852" spans="1:67" x14ac:dyDescent="0.2">
      <c r="A1852" s="177"/>
      <c r="B1852" s="178"/>
      <c r="C1852" s="179"/>
      <c r="D1852" s="243"/>
      <c r="E1852" s="180"/>
      <c r="F1852" s="180"/>
      <c r="G1852" s="180"/>
      <c r="H1852" s="180"/>
      <c r="I1852" s="188" t="s">
        <v>2303</v>
      </c>
      <c r="J1852" s="207" t="s">
        <v>1559</v>
      </c>
      <c r="K1852" s="229">
        <f>5000*10%</f>
        <v>500</v>
      </c>
      <c r="L1852" s="184"/>
      <c r="M1852" s="185"/>
      <c r="AV1852" s="138"/>
      <c r="AW1852" s="138"/>
      <c r="AX1852" s="138"/>
      <c r="AY1852" s="138"/>
      <c r="AZ1852" s="138"/>
      <c r="BA1852" s="138"/>
      <c r="BB1852" s="138"/>
      <c r="BC1852" s="138"/>
      <c r="BD1852" s="138"/>
      <c r="BE1852" s="138"/>
      <c r="BF1852" s="138"/>
      <c r="BG1852" s="138"/>
      <c r="BH1852" s="138"/>
      <c r="BI1852" s="138"/>
      <c r="BJ1852" s="138"/>
      <c r="BK1852" s="138"/>
      <c r="BL1852" s="138"/>
      <c r="BM1852" s="138"/>
      <c r="BN1852" s="138"/>
      <c r="BO1852" s="138"/>
    </row>
    <row r="1853" spans="1:67" x14ac:dyDescent="0.2">
      <c r="A1853" s="177"/>
      <c r="B1853" s="178"/>
      <c r="C1853" s="179"/>
      <c r="D1853" s="243"/>
      <c r="E1853" s="180"/>
      <c r="F1853" s="180"/>
      <c r="G1853" s="180"/>
      <c r="H1853" s="180"/>
      <c r="I1853" s="188" t="s">
        <v>2357</v>
      </c>
      <c r="J1853" s="207" t="s">
        <v>1559</v>
      </c>
      <c r="K1853" s="229">
        <f>5000*60%</f>
        <v>3000</v>
      </c>
      <c r="L1853" s="184"/>
      <c r="M1853" s="185"/>
      <c r="AV1853" s="138"/>
      <c r="AW1853" s="138"/>
      <c r="AX1853" s="138"/>
      <c r="AY1853" s="138"/>
      <c r="AZ1853" s="138"/>
      <c r="BA1853" s="138"/>
      <c r="BB1853" s="138"/>
      <c r="BC1853" s="138"/>
      <c r="BD1853" s="138"/>
      <c r="BE1853" s="138"/>
      <c r="BF1853" s="138"/>
      <c r="BG1853" s="138"/>
      <c r="BH1853" s="138"/>
      <c r="BI1853" s="138"/>
      <c r="BJ1853" s="138"/>
      <c r="BK1853" s="138"/>
      <c r="BL1853" s="138"/>
      <c r="BM1853" s="138"/>
      <c r="BN1853" s="138"/>
      <c r="BO1853" s="138"/>
    </row>
    <row r="1854" spans="1:67" x14ac:dyDescent="0.2">
      <c r="A1854" s="189"/>
      <c r="B1854" s="190"/>
      <c r="C1854" s="191"/>
      <c r="D1854" s="244"/>
      <c r="E1854" s="192"/>
      <c r="F1854" s="192"/>
      <c r="G1854" s="192"/>
      <c r="H1854" s="192"/>
      <c r="I1854" s="203"/>
      <c r="J1854" s="204"/>
      <c r="K1854" s="216">
        <f>SUM(K1850:K1853)</f>
        <v>5000</v>
      </c>
      <c r="L1854" s="196"/>
      <c r="M1854" s="197"/>
      <c r="AV1854" s="138"/>
      <c r="AW1854" s="138"/>
      <c r="AX1854" s="138"/>
      <c r="AY1854" s="138"/>
      <c r="AZ1854" s="138"/>
      <c r="BA1854" s="138"/>
      <c r="BB1854" s="138"/>
      <c r="BC1854" s="138"/>
      <c r="BD1854" s="138"/>
      <c r="BE1854" s="138"/>
      <c r="BF1854" s="138"/>
      <c r="BG1854" s="138"/>
      <c r="BH1854" s="138"/>
      <c r="BI1854" s="138"/>
      <c r="BJ1854" s="138"/>
      <c r="BK1854" s="138"/>
      <c r="BL1854" s="138"/>
      <c r="BM1854" s="138"/>
      <c r="BN1854" s="138"/>
      <c r="BO1854" s="138"/>
    </row>
    <row r="1855" spans="1:67" ht="24.75" customHeight="1" x14ac:dyDescent="0.2">
      <c r="A1855" s="167">
        <v>437</v>
      </c>
      <c r="B1855" s="168" t="s">
        <v>2358</v>
      </c>
      <c r="C1855" s="169"/>
      <c r="D1855" s="250" t="s">
        <v>107</v>
      </c>
      <c r="E1855" s="170"/>
      <c r="F1855" s="170"/>
      <c r="G1855" s="170"/>
      <c r="H1855" s="170"/>
      <c r="I1855" s="274" t="s">
        <v>2359</v>
      </c>
      <c r="J1855" s="247" t="s">
        <v>186</v>
      </c>
      <c r="K1855" s="210">
        <f>5000*70%</f>
        <v>3500</v>
      </c>
      <c r="L1855" s="175" t="s">
        <v>111</v>
      </c>
      <c r="M1855" s="175" t="s">
        <v>2360</v>
      </c>
      <c r="AV1855" s="138"/>
      <c r="AW1855" s="138"/>
      <c r="AX1855" s="138"/>
      <c r="AY1855" s="138"/>
      <c r="AZ1855" s="138"/>
      <c r="BA1855" s="138"/>
      <c r="BB1855" s="138"/>
      <c r="BC1855" s="138"/>
      <c r="BD1855" s="138"/>
      <c r="BE1855" s="138"/>
      <c r="BF1855" s="138"/>
      <c r="BG1855" s="138"/>
      <c r="BH1855" s="138"/>
      <c r="BI1855" s="138"/>
      <c r="BJ1855" s="138"/>
      <c r="BK1855" s="138"/>
      <c r="BL1855" s="138"/>
      <c r="BM1855" s="138"/>
      <c r="BN1855" s="138"/>
      <c r="BO1855" s="138"/>
    </row>
    <row r="1856" spans="1:67" x14ac:dyDescent="0.2">
      <c r="A1856" s="177"/>
      <c r="B1856" s="178"/>
      <c r="C1856" s="179"/>
      <c r="D1856" s="243"/>
      <c r="E1856" s="180"/>
      <c r="F1856" s="180"/>
      <c r="G1856" s="180"/>
      <c r="H1856" s="180"/>
      <c r="I1856" s="188" t="s">
        <v>2361</v>
      </c>
      <c r="J1856" s="207" t="s">
        <v>1559</v>
      </c>
      <c r="K1856" s="214">
        <f>5000*30%</f>
        <v>1500</v>
      </c>
      <c r="L1856" s="185"/>
      <c r="M1856" s="185"/>
      <c r="AV1856" s="138"/>
      <c r="AW1856" s="138"/>
      <c r="AX1856" s="138"/>
      <c r="AY1856" s="138"/>
      <c r="AZ1856" s="138"/>
      <c r="BA1856" s="138"/>
      <c r="BB1856" s="138"/>
      <c r="BC1856" s="138"/>
      <c r="BD1856" s="138"/>
      <c r="BE1856" s="138"/>
      <c r="BF1856" s="138"/>
      <c r="BG1856" s="138"/>
      <c r="BH1856" s="138"/>
      <c r="BI1856" s="138"/>
      <c r="BJ1856" s="138"/>
      <c r="BK1856" s="138"/>
      <c r="BL1856" s="138"/>
      <c r="BM1856" s="138"/>
      <c r="BN1856" s="138"/>
      <c r="BO1856" s="138"/>
    </row>
    <row r="1857" spans="1:67" x14ac:dyDescent="0.2">
      <c r="A1857" s="189"/>
      <c r="B1857" s="190"/>
      <c r="C1857" s="191"/>
      <c r="D1857" s="244"/>
      <c r="E1857" s="192"/>
      <c r="F1857" s="192"/>
      <c r="G1857" s="192"/>
      <c r="H1857" s="192"/>
      <c r="I1857" s="203"/>
      <c r="J1857" s="204"/>
      <c r="K1857" s="245">
        <f>SUM(K1855:K1856)</f>
        <v>5000</v>
      </c>
      <c r="L1857" s="197"/>
      <c r="M1857" s="197"/>
      <c r="AV1857" s="138"/>
      <c r="AW1857" s="138"/>
      <c r="AX1857" s="138"/>
      <c r="AY1857" s="138"/>
      <c r="AZ1857" s="138"/>
      <c r="BA1857" s="138"/>
      <c r="BB1857" s="138"/>
      <c r="BC1857" s="138"/>
      <c r="BD1857" s="138"/>
      <c r="BE1857" s="138"/>
      <c r="BF1857" s="138"/>
      <c r="BG1857" s="138"/>
      <c r="BH1857" s="138"/>
      <c r="BI1857" s="138"/>
      <c r="BJ1857" s="138"/>
      <c r="BK1857" s="138"/>
      <c r="BL1857" s="138"/>
      <c r="BM1857" s="138"/>
      <c r="BN1857" s="138"/>
      <c r="BO1857" s="138"/>
    </row>
    <row r="1858" spans="1:67" ht="65.25" customHeight="1" x14ac:dyDescent="0.2">
      <c r="A1858" s="231">
        <v>438</v>
      </c>
      <c r="B1858" s="253" t="s">
        <v>2362</v>
      </c>
      <c r="C1858" s="254" t="s">
        <v>2362</v>
      </c>
      <c r="D1858" s="255" t="s">
        <v>107</v>
      </c>
      <c r="E1858" s="256"/>
      <c r="F1858" s="256"/>
      <c r="G1858" s="256"/>
      <c r="H1858" s="257"/>
      <c r="I1858" s="193" t="s">
        <v>2363</v>
      </c>
      <c r="J1858" s="215" t="s">
        <v>1559</v>
      </c>
      <c r="K1858" s="416">
        <v>35000</v>
      </c>
      <c r="L1858" s="259" t="s">
        <v>111</v>
      </c>
      <c r="M1858" s="215" t="s">
        <v>2364</v>
      </c>
      <c r="AV1858" s="138"/>
      <c r="AW1858" s="138"/>
      <c r="AX1858" s="138"/>
      <c r="AY1858" s="138"/>
      <c r="AZ1858" s="138"/>
      <c r="BA1858" s="138"/>
      <c r="BB1858" s="138"/>
      <c r="BC1858" s="138"/>
      <c r="BD1858" s="138"/>
      <c r="BE1858" s="138"/>
      <c r="BF1858" s="138"/>
      <c r="BG1858" s="138"/>
      <c r="BH1858" s="138"/>
      <c r="BI1858" s="138"/>
      <c r="BJ1858" s="138"/>
      <c r="BK1858" s="138"/>
      <c r="BL1858" s="138"/>
      <c r="BM1858" s="138"/>
      <c r="BN1858" s="138"/>
      <c r="BO1858" s="138"/>
    </row>
    <row r="1859" spans="1:67" ht="67.5" customHeight="1" x14ac:dyDescent="0.2">
      <c r="A1859" s="292">
        <v>439</v>
      </c>
      <c r="B1859" s="253" t="s">
        <v>2365</v>
      </c>
      <c r="C1859" s="254"/>
      <c r="D1859" s="260" t="s">
        <v>25</v>
      </c>
      <c r="E1859" s="384"/>
      <c r="F1859" s="384"/>
      <c r="G1859" s="384" t="s">
        <v>2366</v>
      </c>
      <c r="H1859" s="384" t="s">
        <v>1127</v>
      </c>
      <c r="I1859" s="280" t="s">
        <v>2367</v>
      </c>
      <c r="J1859" s="281" t="s">
        <v>1559</v>
      </c>
      <c r="K1859" s="351">
        <v>20000</v>
      </c>
      <c r="L1859" s="293" t="s">
        <v>2366</v>
      </c>
      <c r="M1859" s="172" t="s">
        <v>2368</v>
      </c>
      <c r="AV1859" s="138"/>
      <c r="AW1859" s="138"/>
      <c r="AX1859" s="138"/>
      <c r="AY1859" s="138"/>
      <c r="AZ1859" s="138"/>
      <c r="BA1859" s="138"/>
      <c r="BB1859" s="138"/>
      <c r="BC1859" s="138"/>
      <c r="BD1859" s="138"/>
      <c r="BE1859" s="138"/>
      <c r="BF1859" s="138"/>
      <c r="BG1859" s="138"/>
      <c r="BH1859" s="138"/>
      <c r="BI1859" s="138"/>
      <c r="BJ1859" s="138"/>
      <c r="BK1859" s="138"/>
      <c r="BL1859" s="138"/>
      <c r="BM1859" s="138"/>
      <c r="BN1859" s="138"/>
      <c r="BO1859" s="138"/>
    </row>
    <row r="1860" spans="1:67" ht="51" customHeight="1" x14ac:dyDescent="0.2">
      <c r="A1860" s="167">
        <v>440</v>
      </c>
      <c r="B1860" s="301" t="s">
        <v>2369</v>
      </c>
      <c r="C1860" s="302"/>
      <c r="D1860" s="170" t="s">
        <v>107</v>
      </c>
      <c r="E1860" s="170"/>
      <c r="F1860" s="170"/>
      <c r="G1860" s="170"/>
      <c r="H1860" s="170"/>
      <c r="I1860" s="274" t="s">
        <v>2370</v>
      </c>
      <c r="J1860" s="275" t="s">
        <v>1559</v>
      </c>
      <c r="K1860" s="276">
        <f>16000*50%</f>
        <v>8000</v>
      </c>
      <c r="L1860" s="175" t="s">
        <v>111</v>
      </c>
      <c r="M1860" s="175" t="s">
        <v>2371</v>
      </c>
      <c r="AV1860" s="138"/>
      <c r="AW1860" s="138"/>
      <c r="AX1860" s="138"/>
      <c r="AY1860" s="138"/>
      <c r="AZ1860" s="138"/>
      <c r="BA1860" s="138"/>
      <c r="BB1860" s="138"/>
      <c r="BC1860" s="138"/>
      <c r="BD1860" s="138"/>
      <c r="BE1860" s="138"/>
      <c r="BF1860" s="138"/>
      <c r="BG1860" s="138"/>
      <c r="BH1860" s="138"/>
      <c r="BI1860" s="138"/>
      <c r="BJ1860" s="138"/>
      <c r="BK1860" s="138"/>
      <c r="BL1860" s="138"/>
      <c r="BM1860" s="138"/>
      <c r="BN1860" s="138"/>
      <c r="BO1860" s="138"/>
    </row>
    <row r="1861" spans="1:67" ht="44.25" customHeight="1" x14ac:dyDescent="0.2">
      <c r="A1861" s="177"/>
      <c r="B1861" s="286"/>
      <c r="C1861" s="287"/>
      <c r="D1861" s="180"/>
      <c r="E1861" s="180"/>
      <c r="F1861" s="180"/>
      <c r="G1861" s="180"/>
      <c r="H1861" s="180"/>
      <c r="I1861" s="188" t="s">
        <v>2372</v>
      </c>
      <c r="J1861" s="270" t="s">
        <v>1559</v>
      </c>
      <c r="K1861" s="214">
        <f>16000*50%</f>
        <v>8000</v>
      </c>
      <c r="L1861" s="185"/>
      <c r="M1861" s="185"/>
      <c r="AV1861" s="138"/>
      <c r="AW1861" s="138"/>
      <c r="AX1861" s="138"/>
      <c r="AY1861" s="138"/>
      <c r="AZ1861" s="138"/>
      <c r="BA1861" s="138"/>
      <c r="BB1861" s="138"/>
      <c r="BC1861" s="138"/>
      <c r="BD1861" s="138"/>
      <c r="BE1861" s="138"/>
      <c r="BF1861" s="138"/>
      <c r="BG1861" s="138"/>
      <c r="BH1861" s="138"/>
      <c r="BI1861" s="138"/>
      <c r="BJ1861" s="138"/>
      <c r="BK1861" s="138"/>
      <c r="BL1861" s="138"/>
      <c r="BM1861" s="138"/>
      <c r="BN1861" s="138"/>
      <c r="BO1861" s="138"/>
    </row>
    <row r="1862" spans="1:67" ht="39" customHeight="1" x14ac:dyDescent="0.2">
      <c r="A1862" s="189"/>
      <c r="B1862" s="303"/>
      <c r="C1862" s="304"/>
      <c r="D1862" s="192"/>
      <c r="E1862" s="192"/>
      <c r="F1862" s="192"/>
      <c r="G1862" s="192"/>
      <c r="H1862" s="192"/>
      <c r="I1862" s="181"/>
      <c r="J1862" s="305"/>
      <c r="K1862" s="199">
        <f>SUM(K1860:K1861)</f>
        <v>16000</v>
      </c>
      <c r="L1862" s="197"/>
      <c r="M1862" s="197"/>
      <c r="AV1862" s="138"/>
      <c r="AW1862" s="138"/>
      <c r="AX1862" s="138"/>
      <c r="AY1862" s="138"/>
      <c r="AZ1862" s="138"/>
      <c r="BA1862" s="138"/>
      <c r="BB1862" s="138"/>
      <c r="BC1862" s="138"/>
      <c r="BD1862" s="138"/>
      <c r="BE1862" s="138"/>
      <c r="BF1862" s="138"/>
      <c r="BG1862" s="138"/>
      <c r="BH1862" s="138"/>
      <c r="BI1862" s="138"/>
      <c r="BJ1862" s="138"/>
      <c r="BK1862" s="138"/>
      <c r="BL1862" s="138"/>
      <c r="BM1862" s="138"/>
      <c r="BN1862" s="138"/>
      <c r="BO1862" s="138"/>
    </row>
    <row r="1863" spans="1:67" ht="42.75" customHeight="1" x14ac:dyDescent="0.2">
      <c r="A1863" s="167">
        <v>441</v>
      </c>
      <c r="B1863" s="301" t="s">
        <v>2373</v>
      </c>
      <c r="C1863" s="302"/>
      <c r="D1863" s="170" t="s">
        <v>107</v>
      </c>
      <c r="E1863" s="170"/>
      <c r="F1863" s="170"/>
      <c r="G1863" s="170"/>
      <c r="H1863" s="170"/>
      <c r="I1863" s="217" t="s">
        <v>2374</v>
      </c>
      <c r="J1863" s="265" t="s">
        <v>1559</v>
      </c>
      <c r="K1863" s="266">
        <f>10000*40%</f>
        <v>4000</v>
      </c>
      <c r="L1863" s="175" t="s">
        <v>111</v>
      </c>
      <c r="M1863" s="175" t="s">
        <v>1297</v>
      </c>
      <c r="AV1863" s="138"/>
      <c r="AW1863" s="138"/>
      <c r="AX1863" s="138"/>
      <c r="AY1863" s="138"/>
      <c r="AZ1863" s="138"/>
      <c r="BA1863" s="138"/>
      <c r="BB1863" s="138"/>
      <c r="BC1863" s="138"/>
      <c r="BD1863" s="138"/>
      <c r="BE1863" s="138"/>
      <c r="BF1863" s="138"/>
      <c r="BG1863" s="138"/>
      <c r="BH1863" s="138"/>
      <c r="BI1863" s="138"/>
      <c r="BJ1863" s="138"/>
      <c r="BK1863" s="138"/>
      <c r="BL1863" s="138"/>
      <c r="BM1863" s="138"/>
      <c r="BN1863" s="138"/>
      <c r="BO1863" s="138"/>
    </row>
    <row r="1864" spans="1:67" ht="43.5" customHeight="1" x14ac:dyDescent="0.2">
      <c r="A1864" s="177"/>
      <c r="B1864" s="286"/>
      <c r="C1864" s="287"/>
      <c r="D1864" s="180"/>
      <c r="E1864" s="180"/>
      <c r="F1864" s="180"/>
      <c r="G1864" s="180"/>
      <c r="H1864" s="180"/>
      <c r="I1864" s="188" t="s">
        <v>2375</v>
      </c>
      <c r="J1864" s="270" t="s">
        <v>1559</v>
      </c>
      <c r="K1864" s="214">
        <f>10000*30%</f>
        <v>3000</v>
      </c>
      <c r="L1864" s="185"/>
      <c r="M1864" s="185"/>
      <c r="AV1864" s="138"/>
      <c r="AW1864" s="138"/>
      <c r="AX1864" s="138"/>
      <c r="AY1864" s="138"/>
      <c r="AZ1864" s="138"/>
      <c r="BA1864" s="138"/>
      <c r="BB1864" s="138"/>
      <c r="BC1864" s="138"/>
      <c r="BD1864" s="138"/>
      <c r="BE1864" s="138"/>
      <c r="BF1864" s="138"/>
      <c r="BG1864" s="138"/>
      <c r="BH1864" s="138"/>
      <c r="BI1864" s="138"/>
      <c r="BJ1864" s="138"/>
      <c r="BK1864" s="138"/>
      <c r="BL1864" s="138"/>
      <c r="BM1864" s="138"/>
      <c r="BN1864" s="138"/>
      <c r="BO1864" s="138"/>
    </row>
    <row r="1865" spans="1:67" ht="36.75" customHeight="1" x14ac:dyDescent="0.2">
      <c r="A1865" s="177"/>
      <c r="B1865" s="286"/>
      <c r="C1865" s="287"/>
      <c r="D1865" s="180"/>
      <c r="E1865" s="180"/>
      <c r="F1865" s="180"/>
      <c r="G1865" s="180"/>
      <c r="H1865" s="180"/>
      <c r="I1865" s="188" t="s">
        <v>2376</v>
      </c>
      <c r="J1865" s="270" t="s">
        <v>1559</v>
      </c>
      <c r="K1865" s="214">
        <f>10000*30%</f>
        <v>3000</v>
      </c>
      <c r="L1865" s="185"/>
      <c r="M1865" s="185"/>
      <c r="AV1865" s="138"/>
      <c r="AW1865" s="138"/>
      <c r="AX1865" s="138"/>
      <c r="AY1865" s="138"/>
      <c r="AZ1865" s="138"/>
      <c r="BA1865" s="138"/>
      <c r="BB1865" s="138"/>
      <c r="BC1865" s="138"/>
      <c r="BD1865" s="138"/>
      <c r="BE1865" s="138"/>
      <c r="BF1865" s="138"/>
      <c r="BG1865" s="138"/>
      <c r="BH1865" s="138"/>
      <c r="BI1865" s="138"/>
      <c r="BJ1865" s="138"/>
      <c r="BK1865" s="138"/>
      <c r="BL1865" s="138"/>
      <c r="BM1865" s="138"/>
      <c r="BN1865" s="138"/>
      <c r="BO1865" s="138"/>
    </row>
    <row r="1866" spans="1:67" ht="38.25" customHeight="1" x14ac:dyDescent="0.2">
      <c r="A1866" s="189"/>
      <c r="B1866" s="303"/>
      <c r="C1866" s="304"/>
      <c r="D1866" s="192"/>
      <c r="E1866" s="192"/>
      <c r="F1866" s="192"/>
      <c r="G1866" s="192"/>
      <c r="H1866" s="192"/>
      <c r="I1866" s="203"/>
      <c r="J1866" s="273"/>
      <c r="K1866" s="245">
        <f>SUM(K1863:K1865)</f>
        <v>10000</v>
      </c>
      <c r="L1866" s="197"/>
      <c r="M1866" s="197"/>
      <c r="AV1866" s="138"/>
      <c r="AW1866" s="138"/>
      <c r="AX1866" s="138"/>
      <c r="AY1866" s="138"/>
      <c r="AZ1866" s="138"/>
      <c r="BA1866" s="138"/>
      <c r="BB1866" s="138"/>
      <c r="BC1866" s="138"/>
      <c r="BD1866" s="138"/>
      <c r="BE1866" s="138"/>
      <c r="BF1866" s="138"/>
      <c r="BG1866" s="138"/>
      <c r="BH1866" s="138"/>
      <c r="BI1866" s="138"/>
      <c r="BJ1866" s="138"/>
      <c r="BK1866" s="138"/>
      <c r="BL1866" s="138"/>
      <c r="BM1866" s="138"/>
      <c r="BN1866" s="138"/>
      <c r="BO1866" s="138"/>
    </row>
    <row r="1867" spans="1:67" x14ac:dyDescent="0.2">
      <c r="A1867" s="167">
        <v>442</v>
      </c>
      <c r="B1867" s="168" t="s">
        <v>2377</v>
      </c>
      <c r="C1867" s="169"/>
      <c r="D1867" s="170" t="s">
        <v>107</v>
      </c>
      <c r="E1867" s="170"/>
      <c r="F1867" s="170"/>
      <c r="G1867" s="170"/>
      <c r="H1867" s="246" t="s">
        <v>137</v>
      </c>
      <c r="I1867" s="217" t="s">
        <v>2378</v>
      </c>
      <c r="J1867" s="265" t="s">
        <v>998</v>
      </c>
      <c r="K1867" s="266">
        <f>7700*50%</f>
        <v>3850</v>
      </c>
      <c r="L1867" s="169" t="s">
        <v>111</v>
      </c>
      <c r="M1867" s="175" t="s">
        <v>2379</v>
      </c>
      <c r="AV1867" s="138"/>
      <c r="AW1867" s="138"/>
      <c r="AX1867" s="138"/>
      <c r="AY1867" s="138"/>
      <c r="AZ1867" s="138"/>
      <c r="BA1867" s="138"/>
      <c r="BB1867" s="138"/>
      <c r="BC1867" s="138"/>
      <c r="BD1867" s="138"/>
      <c r="BE1867" s="138"/>
      <c r="BF1867" s="138"/>
      <c r="BG1867" s="138"/>
      <c r="BH1867" s="138"/>
      <c r="BI1867" s="138"/>
      <c r="BJ1867" s="138"/>
      <c r="BK1867" s="138"/>
      <c r="BL1867" s="138"/>
      <c r="BM1867" s="138"/>
      <c r="BN1867" s="138"/>
      <c r="BO1867" s="138"/>
    </row>
    <row r="1868" spans="1:67" x14ac:dyDescent="0.2">
      <c r="A1868" s="177"/>
      <c r="B1868" s="178"/>
      <c r="C1868" s="179"/>
      <c r="D1868" s="180"/>
      <c r="E1868" s="180"/>
      <c r="F1868" s="180"/>
      <c r="G1868" s="180"/>
      <c r="H1868" s="248"/>
      <c r="I1868" s="188" t="s">
        <v>2380</v>
      </c>
      <c r="J1868" s="270" t="s">
        <v>998</v>
      </c>
      <c r="K1868" s="214">
        <f>7700*25%</f>
        <v>1925</v>
      </c>
      <c r="L1868" s="179"/>
      <c r="M1868" s="185"/>
      <c r="AV1868" s="138"/>
      <c r="AW1868" s="138"/>
      <c r="AX1868" s="138"/>
      <c r="AY1868" s="138"/>
      <c r="AZ1868" s="138"/>
      <c r="BA1868" s="138"/>
      <c r="BB1868" s="138"/>
      <c r="BC1868" s="138"/>
      <c r="BD1868" s="138"/>
      <c r="BE1868" s="138"/>
      <c r="BF1868" s="138"/>
      <c r="BG1868" s="138"/>
      <c r="BH1868" s="138"/>
      <c r="BI1868" s="138"/>
      <c r="BJ1868" s="138"/>
      <c r="BK1868" s="138"/>
      <c r="BL1868" s="138"/>
      <c r="BM1868" s="138"/>
      <c r="BN1868" s="138"/>
      <c r="BO1868" s="138"/>
    </row>
    <row r="1869" spans="1:67" x14ac:dyDescent="0.2">
      <c r="A1869" s="177"/>
      <c r="B1869" s="178"/>
      <c r="C1869" s="179"/>
      <c r="D1869" s="180"/>
      <c r="E1869" s="180"/>
      <c r="F1869" s="180"/>
      <c r="G1869" s="180"/>
      <c r="H1869" s="248"/>
      <c r="I1869" s="188" t="s">
        <v>2381</v>
      </c>
      <c r="J1869" s="270" t="s">
        <v>998</v>
      </c>
      <c r="K1869" s="214">
        <f>7700*25%</f>
        <v>1925</v>
      </c>
      <c r="L1869" s="179"/>
      <c r="M1869" s="185"/>
      <c r="AV1869" s="138"/>
      <c r="AW1869" s="138"/>
      <c r="AX1869" s="138"/>
      <c r="AY1869" s="138"/>
      <c r="AZ1869" s="138"/>
      <c r="BA1869" s="138"/>
      <c r="BB1869" s="138"/>
      <c r="BC1869" s="138"/>
      <c r="BD1869" s="138"/>
      <c r="BE1869" s="138"/>
      <c r="BF1869" s="138"/>
      <c r="BG1869" s="138"/>
      <c r="BH1869" s="138"/>
      <c r="BI1869" s="138"/>
      <c r="BJ1869" s="138"/>
      <c r="BK1869" s="138"/>
      <c r="BL1869" s="138"/>
      <c r="BM1869" s="138"/>
      <c r="BN1869" s="138"/>
      <c r="BO1869" s="138"/>
    </row>
    <row r="1870" spans="1:67" x14ac:dyDescent="0.2">
      <c r="A1870" s="189"/>
      <c r="B1870" s="190"/>
      <c r="C1870" s="191"/>
      <c r="D1870" s="192"/>
      <c r="E1870" s="192"/>
      <c r="F1870" s="192"/>
      <c r="G1870" s="192"/>
      <c r="H1870" s="249"/>
      <c r="I1870" s="203"/>
      <c r="J1870" s="273"/>
      <c r="K1870" s="245">
        <f>SUM(K1867:K1869)</f>
        <v>7700</v>
      </c>
      <c r="L1870" s="191"/>
      <c r="M1870" s="197"/>
      <c r="AV1870" s="138"/>
      <c r="AW1870" s="138"/>
      <c r="AX1870" s="138"/>
      <c r="AY1870" s="138"/>
      <c r="AZ1870" s="138"/>
      <c r="BA1870" s="138"/>
      <c r="BB1870" s="138"/>
      <c r="BC1870" s="138"/>
      <c r="BD1870" s="138"/>
      <c r="BE1870" s="138"/>
      <c r="BF1870" s="138"/>
      <c r="BG1870" s="138"/>
      <c r="BH1870" s="138"/>
      <c r="BI1870" s="138"/>
      <c r="BJ1870" s="138"/>
      <c r="BK1870" s="138"/>
      <c r="BL1870" s="138"/>
      <c r="BM1870" s="138"/>
      <c r="BN1870" s="138"/>
      <c r="BO1870" s="138"/>
    </row>
    <row r="1871" spans="1:67" x14ac:dyDescent="0.2">
      <c r="A1871" s="167">
        <v>443</v>
      </c>
      <c r="B1871" s="168" t="s">
        <v>2382</v>
      </c>
      <c r="C1871" s="169"/>
      <c r="D1871" s="170" t="s">
        <v>107</v>
      </c>
      <c r="E1871" s="170"/>
      <c r="F1871" s="170"/>
      <c r="G1871" s="170"/>
      <c r="H1871" s="246" t="s">
        <v>137</v>
      </c>
      <c r="I1871" s="217" t="s">
        <v>2383</v>
      </c>
      <c r="J1871" s="265" t="s">
        <v>998</v>
      </c>
      <c r="K1871" s="266">
        <f>7700*70%</f>
        <v>5390</v>
      </c>
      <c r="L1871" s="169" t="s">
        <v>111</v>
      </c>
      <c r="M1871" s="175" t="s">
        <v>2384</v>
      </c>
      <c r="AV1871" s="138"/>
      <c r="AW1871" s="138"/>
      <c r="AX1871" s="138"/>
      <c r="AY1871" s="138"/>
      <c r="AZ1871" s="138"/>
      <c r="BA1871" s="138"/>
      <c r="BB1871" s="138"/>
      <c r="BC1871" s="138"/>
      <c r="BD1871" s="138"/>
      <c r="BE1871" s="138"/>
      <c r="BF1871" s="138"/>
      <c r="BG1871" s="138"/>
      <c r="BH1871" s="138"/>
      <c r="BI1871" s="138"/>
      <c r="BJ1871" s="138"/>
      <c r="BK1871" s="138"/>
      <c r="BL1871" s="138"/>
      <c r="BM1871" s="138"/>
      <c r="BN1871" s="138"/>
      <c r="BO1871" s="138"/>
    </row>
    <row r="1872" spans="1:67" x14ac:dyDescent="0.2">
      <c r="A1872" s="177"/>
      <c r="B1872" s="178"/>
      <c r="C1872" s="179"/>
      <c r="D1872" s="180"/>
      <c r="E1872" s="180"/>
      <c r="F1872" s="180"/>
      <c r="G1872" s="180"/>
      <c r="H1872" s="248"/>
      <c r="I1872" s="188" t="s">
        <v>2385</v>
      </c>
      <c r="J1872" s="270" t="s">
        <v>998</v>
      </c>
      <c r="K1872" s="214">
        <f>7700*20%</f>
        <v>1540</v>
      </c>
      <c r="L1872" s="179"/>
      <c r="M1872" s="185"/>
      <c r="AV1872" s="138"/>
      <c r="AW1872" s="138"/>
      <c r="AX1872" s="138"/>
      <c r="AY1872" s="138"/>
      <c r="AZ1872" s="138"/>
      <c r="BA1872" s="138"/>
      <c r="BB1872" s="138"/>
      <c r="BC1872" s="138"/>
      <c r="BD1872" s="138"/>
      <c r="BE1872" s="138"/>
      <c r="BF1872" s="138"/>
      <c r="BG1872" s="138"/>
      <c r="BH1872" s="138"/>
      <c r="BI1872" s="138"/>
      <c r="BJ1872" s="138"/>
      <c r="BK1872" s="138"/>
      <c r="BL1872" s="138"/>
      <c r="BM1872" s="138"/>
      <c r="BN1872" s="138"/>
      <c r="BO1872" s="138"/>
    </row>
    <row r="1873" spans="1:67" x14ac:dyDescent="0.2">
      <c r="A1873" s="177"/>
      <c r="B1873" s="178"/>
      <c r="C1873" s="179"/>
      <c r="D1873" s="180"/>
      <c r="E1873" s="180"/>
      <c r="F1873" s="180"/>
      <c r="G1873" s="180"/>
      <c r="H1873" s="248"/>
      <c r="I1873" s="188" t="s">
        <v>2386</v>
      </c>
      <c r="J1873" s="270" t="s">
        <v>998</v>
      </c>
      <c r="K1873" s="214">
        <f>7700*10%</f>
        <v>770</v>
      </c>
      <c r="L1873" s="179"/>
      <c r="M1873" s="185"/>
      <c r="AV1873" s="138"/>
      <c r="AW1873" s="138"/>
      <c r="AX1873" s="138"/>
      <c r="AY1873" s="138"/>
      <c r="AZ1873" s="138"/>
      <c r="BA1873" s="138"/>
      <c r="BB1873" s="138"/>
      <c r="BC1873" s="138"/>
      <c r="BD1873" s="138"/>
      <c r="BE1873" s="138"/>
      <c r="BF1873" s="138"/>
      <c r="BG1873" s="138"/>
      <c r="BH1873" s="138"/>
      <c r="BI1873" s="138"/>
      <c r="BJ1873" s="138"/>
      <c r="BK1873" s="138"/>
      <c r="BL1873" s="138"/>
      <c r="BM1873" s="138"/>
      <c r="BN1873" s="138"/>
      <c r="BO1873" s="138"/>
    </row>
    <row r="1874" spans="1:67" x14ac:dyDescent="0.2">
      <c r="A1874" s="189"/>
      <c r="B1874" s="190"/>
      <c r="C1874" s="191"/>
      <c r="D1874" s="192"/>
      <c r="E1874" s="192"/>
      <c r="F1874" s="192"/>
      <c r="G1874" s="192"/>
      <c r="H1874" s="249"/>
      <c r="I1874" s="203"/>
      <c r="J1874" s="273"/>
      <c r="K1874" s="245">
        <f>SUM(K1871:K1873)</f>
        <v>7700</v>
      </c>
      <c r="L1874" s="191"/>
      <c r="M1874" s="197"/>
      <c r="AV1874" s="138"/>
      <c r="AW1874" s="138"/>
      <c r="AX1874" s="138"/>
      <c r="AY1874" s="138"/>
      <c r="AZ1874" s="138"/>
      <c r="BA1874" s="138"/>
      <c r="BB1874" s="138"/>
      <c r="BC1874" s="138"/>
      <c r="BD1874" s="138"/>
      <c r="BE1874" s="138"/>
      <c r="BF1874" s="138"/>
      <c r="BG1874" s="138"/>
      <c r="BH1874" s="138"/>
      <c r="BI1874" s="138"/>
      <c r="BJ1874" s="138"/>
      <c r="BK1874" s="138"/>
      <c r="BL1874" s="138"/>
      <c r="BM1874" s="138"/>
      <c r="BN1874" s="138"/>
      <c r="BO1874" s="138"/>
    </row>
    <row r="1875" spans="1:67" x14ac:dyDescent="0.2">
      <c r="A1875" s="167">
        <v>444</v>
      </c>
      <c r="B1875" s="168" t="s">
        <v>2387</v>
      </c>
      <c r="C1875" s="169"/>
      <c r="D1875" s="170" t="s">
        <v>107</v>
      </c>
      <c r="E1875" s="170"/>
      <c r="F1875" s="170"/>
      <c r="G1875" s="170"/>
      <c r="H1875" s="246"/>
      <c r="I1875" s="274" t="s">
        <v>2388</v>
      </c>
      <c r="J1875" s="275" t="s">
        <v>998</v>
      </c>
      <c r="K1875" s="276">
        <f>6300*50%</f>
        <v>3150</v>
      </c>
      <c r="L1875" s="169" t="s">
        <v>111</v>
      </c>
      <c r="M1875" s="175" t="s">
        <v>2389</v>
      </c>
      <c r="AV1875" s="138"/>
      <c r="AW1875" s="138"/>
      <c r="AX1875" s="138"/>
      <c r="AY1875" s="138"/>
      <c r="AZ1875" s="138"/>
      <c r="BA1875" s="138"/>
      <c r="BB1875" s="138"/>
      <c r="BC1875" s="138"/>
      <c r="BD1875" s="138"/>
      <c r="BE1875" s="138"/>
      <c r="BF1875" s="138"/>
      <c r="BG1875" s="138"/>
      <c r="BH1875" s="138"/>
      <c r="BI1875" s="138"/>
      <c r="BJ1875" s="138"/>
      <c r="BK1875" s="138"/>
      <c r="BL1875" s="138"/>
      <c r="BM1875" s="138"/>
      <c r="BN1875" s="138"/>
      <c r="BO1875" s="138"/>
    </row>
    <row r="1876" spans="1:67" x14ac:dyDescent="0.2">
      <c r="A1876" s="177"/>
      <c r="B1876" s="178"/>
      <c r="C1876" s="179"/>
      <c r="D1876" s="180"/>
      <c r="E1876" s="180"/>
      <c r="F1876" s="180"/>
      <c r="G1876" s="180"/>
      <c r="H1876" s="248"/>
      <c r="I1876" s="188" t="s">
        <v>2390</v>
      </c>
      <c r="J1876" s="270" t="s">
        <v>998</v>
      </c>
      <c r="K1876" s="214">
        <f>6300*25%</f>
        <v>1575</v>
      </c>
      <c r="L1876" s="179"/>
      <c r="M1876" s="185"/>
      <c r="AV1876" s="138"/>
      <c r="AW1876" s="138"/>
      <c r="AX1876" s="138"/>
      <c r="AY1876" s="138"/>
      <c r="AZ1876" s="138"/>
      <c r="BA1876" s="138"/>
      <c r="BB1876" s="138"/>
      <c r="BC1876" s="138"/>
      <c r="BD1876" s="138"/>
      <c r="BE1876" s="138"/>
      <c r="BF1876" s="138"/>
      <c r="BG1876" s="138"/>
      <c r="BH1876" s="138"/>
      <c r="BI1876" s="138"/>
      <c r="BJ1876" s="138"/>
      <c r="BK1876" s="138"/>
      <c r="BL1876" s="138"/>
      <c r="BM1876" s="138"/>
      <c r="BN1876" s="138"/>
      <c r="BO1876" s="138"/>
    </row>
    <row r="1877" spans="1:67" x14ac:dyDescent="0.2">
      <c r="A1877" s="177"/>
      <c r="B1877" s="178"/>
      <c r="C1877" s="179"/>
      <c r="D1877" s="180"/>
      <c r="E1877" s="180"/>
      <c r="F1877" s="180"/>
      <c r="G1877" s="180"/>
      <c r="H1877" s="248"/>
      <c r="I1877" s="188" t="s">
        <v>2391</v>
      </c>
      <c r="J1877" s="270" t="s">
        <v>752</v>
      </c>
      <c r="K1877" s="214">
        <f>6300*25%</f>
        <v>1575</v>
      </c>
      <c r="L1877" s="179"/>
      <c r="M1877" s="185"/>
      <c r="AV1877" s="138"/>
      <c r="AW1877" s="138"/>
      <c r="AX1877" s="138"/>
      <c r="AY1877" s="138"/>
      <c r="AZ1877" s="138"/>
      <c r="BA1877" s="138"/>
      <c r="BB1877" s="138"/>
      <c r="BC1877" s="138"/>
      <c r="BD1877" s="138"/>
      <c r="BE1877" s="138"/>
      <c r="BF1877" s="138"/>
      <c r="BG1877" s="138"/>
      <c r="BH1877" s="138"/>
      <c r="BI1877" s="138"/>
      <c r="BJ1877" s="138"/>
      <c r="BK1877" s="138"/>
      <c r="BL1877" s="138"/>
      <c r="BM1877" s="138"/>
      <c r="BN1877" s="138"/>
      <c r="BO1877" s="138"/>
    </row>
    <row r="1878" spans="1:67" x14ac:dyDescent="0.2">
      <c r="A1878" s="189"/>
      <c r="B1878" s="190"/>
      <c r="C1878" s="191"/>
      <c r="D1878" s="192"/>
      <c r="E1878" s="192"/>
      <c r="F1878" s="192"/>
      <c r="G1878" s="192"/>
      <c r="H1878" s="249"/>
      <c r="I1878" s="181"/>
      <c r="J1878" s="305"/>
      <c r="K1878" s="199">
        <f>SUM(K1875:K1877)</f>
        <v>6300</v>
      </c>
      <c r="L1878" s="191"/>
      <c r="M1878" s="197"/>
      <c r="AV1878" s="138"/>
      <c r="AW1878" s="138"/>
      <c r="AX1878" s="138"/>
      <c r="AY1878" s="138"/>
      <c r="AZ1878" s="138"/>
      <c r="BA1878" s="138"/>
      <c r="BB1878" s="138"/>
      <c r="BC1878" s="138"/>
      <c r="BD1878" s="138"/>
      <c r="BE1878" s="138"/>
      <c r="BF1878" s="138"/>
      <c r="BG1878" s="138"/>
      <c r="BH1878" s="138"/>
      <c r="BI1878" s="138"/>
      <c r="BJ1878" s="138"/>
      <c r="BK1878" s="138"/>
      <c r="BL1878" s="138"/>
      <c r="BM1878" s="138"/>
      <c r="BN1878" s="138"/>
      <c r="BO1878" s="138"/>
    </row>
    <row r="1879" spans="1:67" x14ac:dyDescent="0.2">
      <c r="A1879" s="167">
        <v>445</v>
      </c>
      <c r="B1879" s="168" t="s">
        <v>2392</v>
      </c>
      <c r="C1879" s="169"/>
      <c r="D1879" s="170" t="s">
        <v>107</v>
      </c>
      <c r="E1879" s="170"/>
      <c r="F1879" s="170"/>
      <c r="G1879" s="170"/>
      <c r="H1879" s="246"/>
      <c r="I1879" s="217" t="s">
        <v>2393</v>
      </c>
      <c r="J1879" s="265" t="s">
        <v>998</v>
      </c>
      <c r="K1879" s="266">
        <f>7700*40%</f>
        <v>3080</v>
      </c>
      <c r="L1879" s="169" t="s">
        <v>111</v>
      </c>
      <c r="M1879" s="175" t="s">
        <v>2394</v>
      </c>
      <c r="AV1879" s="138"/>
      <c r="AW1879" s="138"/>
      <c r="AX1879" s="138"/>
      <c r="AY1879" s="138"/>
      <c r="AZ1879" s="138"/>
      <c r="BA1879" s="138"/>
      <c r="BB1879" s="138"/>
      <c r="BC1879" s="138"/>
      <c r="BD1879" s="138"/>
      <c r="BE1879" s="138"/>
      <c r="BF1879" s="138"/>
      <c r="BG1879" s="138"/>
      <c r="BH1879" s="138"/>
      <c r="BI1879" s="138"/>
      <c r="BJ1879" s="138"/>
      <c r="BK1879" s="138"/>
      <c r="BL1879" s="138"/>
      <c r="BM1879" s="138"/>
      <c r="BN1879" s="138"/>
      <c r="BO1879" s="138"/>
    </row>
    <row r="1880" spans="1:67" x14ac:dyDescent="0.2">
      <c r="A1880" s="177"/>
      <c r="B1880" s="178"/>
      <c r="C1880" s="179"/>
      <c r="D1880" s="180"/>
      <c r="E1880" s="180"/>
      <c r="F1880" s="180"/>
      <c r="G1880" s="180"/>
      <c r="H1880" s="248"/>
      <c r="I1880" s="188" t="s">
        <v>2395</v>
      </c>
      <c r="J1880" s="270" t="s">
        <v>998</v>
      </c>
      <c r="K1880" s="214">
        <f>7700*30%</f>
        <v>2310</v>
      </c>
      <c r="L1880" s="179"/>
      <c r="M1880" s="185"/>
      <c r="AV1880" s="138"/>
      <c r="AW1880" s="138"/>
      <c r="AX1880" s="138"/>
      <c r="AY1880" s="138"/>
      <c r="AZ1880" s="138"/>
      <c r="BA1880" s="138"/>
      <c r="BB1880" s="138"/>
      <c r="BC1880" s="138"/>
      <c r="BD1880" s="138"/>
      <c r="BE1880" s="138"/>
      <c r="BF1880" s="138"/>
      <c r="BG1880" s="138"/>
      <c r="BH1880" s="138"/>
      <c r="BI1880" s="138"/>
      <c r="BJ1880" s="138"/>
      <c r="BK1880" s="138"/>
      <c r="BL1880" s="138"/>
      <c r="BM1880" s="138"/>
      <c r="BN1880" s="138"/>
      <c r="BO1880" s="138"/>
    </row>
    <row r="1881" spans="1:67" x14ac:dyDescent="0.2">
      <c r="A1881" s="177"/>
      <c r="B1881" s="178"/>
      <c r="C1881" s="179"/>
      <c r="D1881" s="180"/>
      <c r="E1881" s="180"/>
      <c r="F1881" s="180"/>
      <c r="G1881" s="180"/>
      <c r="H1881" s="248"/>
      <c r="I1881" s="188" t="s">
        <v>2396</v>
      </c>
      <c r="J1881" s="270" t="s">
        <v>998</v>
      </c>
      <c r="K1881" s="214">
        <f>7700*30%</f>
        <v>2310</v>
      </c>
      <c r="L1881" s="179"/>
      <c r="M1881" s="185"/>
      <c r="AV1881" s="138"/>
      <c r="AW1881" s="138"/>
      <c r="AX1881" s="138"/>
      <c r="AY1881" s="138"/>
      <c r="AZ1881" s="138"/>
      <c r="BA1881" s="138"/>
      <c r="BB1881" s="138"/>
      <c r="BC1881" s="138"/>
      <c r="BD1881" s="138"/>
      <c r="BE1881" s="138"/>
      <c r="BF1881" s="138"/>
      <c r="BG1881" s="138"/>
      <c r="BH1881" s="138"/>
      <c r="BI1881" s="138"/>
      <c r="BJ1881" s="138"/>
      <c r="BK1881" s="138"/>
      <c r="BL1881" s="138"/>
      <c r="BM1881" s="138"/>
      <c r="BN1881" s="138"/>
      <c r="BO1881" s="138"/>
    </row>
    <row r="1882" spans="1:67" x14ac:dyDescent="0.2">
      <c r="A1882" s="189"/>
      <c r="B1882" s="190"/>
      <c r="C1882" s="191"/>
      <c r="D1882" s="192"/>
      <c r="E1882" s="192"/>
      <c r="F1882" s="192"/>
      <c r="G1882" s="192"/>
      <c r="H1882" s="249"/>
      <c r="I1882" s="203"/>
      <c r="J1882" s="273"/>
      <c r="K1882" s="245">
        <f>SUM(K1879:K1881)</f>
        <v>7700</v>
      </c>
      <c r="L1882" s="191"/>
      <c r="M1882" s="197"/>
      <c r="AV1882" s="138"/>
      <c r="AW1882" s="138"/>
      <c r="AX1882" s="138"/>
      <c r="AY1882" s="138"/>
      <c r="AZ1882" s="138"/>
      <c r="BA1882" s="138"/>
      <c r="BB1882" s="138"/>
      <c r="BC1882" s="138"/>
      <c r="BD1882" s="138"/>
      <c r="BE1882" s="138"/>
      <c r="BF1882" s="138"/>
      <c r="BG1882" s="138"/>
      <c r="BH1882" s="138"/>
      <c r="BI1882" s="138"/>
      <c r="BJ1882" s="138"/>
      <c r="BK1882" s="138"/>
      <c r="BL1882" s="138"/>
      <c r="BM1882" s="138"/>
      <c r="BN1882" s="138"/>
      <c r="BO1882" s="138"/>
    </row>
    <row r="1883" spans="1:67" x14ac:dyDescent="0.2">
      <c r="A1883" s="167">
        <v>446</v>
      </c>
      <c r="B1883" s="168" t="s">
        <v>2397</v>
      </c>
      <c r="C1883" s="169"/>
      <c r="D1883" s="170" t="s">
        <v>107</v>
      </c>
      <c r="E1883" s="170"/>
      <c r="F1883" s="170"/>
      <c r="G1883" s="170"/>
      <c r="H1883" s="246"/>
      <c r="I1883" s="274" t="s">
        <v>2398</v>
      </c>
      <c r="J1883" s="275" t="s">
        <v>998</v>
      </c>
      <c r="K1883" s="276">
        <f>7700*60%</f>
        <v>4620</v>
      </c>
      <c r="L1883" s="169" t="s">
        <v>111</v>
      </c>
      <c r="M1883" s="175" t="s">
        <v>2399</v>
      </c>
      <c r="AV1883" s="138"/>
      <c r="AW1883" s="138"/>
      <c r="AX1883" s="138"/>
      <c r="AY1883" s="138"/>
      <c r="AZ1883" s="138"/>
      <c r="BA1883" s="138"/>
      <c r="BB1883" s="138"/>
      <c r="BC1883" s="138"/>
      <c r="BD1883" s="138"/>
      <c r="BE1883" s="138"/>
      <c r="BF1883" s="138"/>
      <c r="BG1883" s="138"/>
      <c r="BH1883" s="138"/>
      <c r="BI1883" s="138"/>
      <c r="BJ1883" s="138"/>
      <c r="BK1883" s="138"/>
      <c r="BL1883" s="138"/>
      <c r="BM1883" s="138"/>
      <c r="BN1883" s="138"/>
      <c r="BO1883" s="138"/>
    </row>
    <row r="1884" spans="1:67" x14ac:dyDescent="0.2">
      <c r="A1884" s="177"/>
      <c r="B1884" s="178"/>
      <c r="C1884" s="179"/>
      <c r="D1884" s="180"/>
      <c r="E1884" s="180"/>
      <c r="F1884" s="180"/>
      <c r="G1884" s="180"/>
      <c r="H1884" s="248"/>
      <c r="I1884" s="188" t="s">
        <v>2400</v>
      </c>
      <c r="J1884" s="270" t="s">
        <v>998</v>
      </c>
      <c r="K1884" s="214">
        <f>7700*20%</f>
        <v>1540</v>
      </c>
      <c r="L1884" s="179"/>
      <c r="M1884" s="185"/>
      <c r="AV1884" s="138"/>
      <c r="AW1884" s="138"/>
      <c r="AX1884" s="138"/>
      <c r="AY1884" s="138"/>
      <c r="AZ1884" s="138"/>
      <c r="BA1884" s="138"/>
      <c r="BB1884" s="138"/>
      <c r="BC1884" s="138"/>
      <c r="BD1884" s="138"/>
      <c r="BE1884" s="138"/>
      <c r="BF1884" s="138"/>
      <c r="BG1884" s="138"/>
      <c r="BH1884" s="138"/>
      <c r="BI1884" s="138"/>
      <c r="BJ1884" s="138"/>
      <c r="BK1884" s="138"/>
      <c r="BL1884" s="138"/>
      <c r="BM1884" s="138"/>
      <c r="BN1884" s="138"/>
      <c r="BO1884" s="138"/>
    </row>
    <row r="1885" spans="1:67" x14ac:dyDescent="0.2">
      <c r="A1885" s="177"/>
      <c r="B1885" s="178"/>
      <c r="C1885" s="179"/>
      <c r="D1885" s="180"/>
      <c r="E1885" s="180"/>
      <c r="F1885" s="180"/>
      <c r="G1885" s="180"/>
      <c r="H1885" s="248"/>
      <c r="I1885" s="188" t="s">
        <v>2401</v>
      </c>
      <c r="J1885" s="270" t="s">
        <v>998</v>
      </c>
      <c r="K1885" s="214">
        <f>7700*20%</f>
        <v>1540</v>
      </c>
      <c r="L1885" s="179"/>
      <c r="M1885" s="185"/>
      <c r="AV1885" s="138"/>
      <c r="AW1885" s="138"/>
      <c r="AX1885" s="138"/>
      <c r="AY1885" s="138"/>
      <c r="AZ1885" s="138"/>
      <c r="BA1885" s="138"/>
      <c r="BB1885" s="138"/>
      <c r="BC1885" s="138"/>
      <c r="BD1885" s="138"/>
      <c r="BE1885" s="138"/>
      <c r="BF1885" s="138"/>
      <c r="BG1885" s="138"/>
      <c r="BH1885" s="138"/>
      <c r="BI1885" s="138"/>
      <c r="BJ1885" s="138"/>
      <c r="BK1885" s="138"/>
      <c r="BL1885" s="138"/>
      <c r="BM1885" s="138"/>
      <c r="BN1885" s="138"/>
      <c r="BO1885" s="138"/>
    </row>
    <row r="1886" spans="1:67" x14ac:dyDescent="0.2">
      <c r="A1886" s="189"/>
      <c r="B1886" s="190"/>
      <c r="C1886" s="191"/>
      <c r="D1886" s="192"/>
      <c r="E1886" s="192"/>
      <c r="F1886" s="192"/>
      <c r="G1886" s="192"/>
      <c r="H1886" s="249"/>
      <c r="I1886" s="181"/>
      <c r="J1886" s="305"/>
      <c r="K1886" s="199">
        <f>SUM(K1883:K1885)</f>
        <v>7700</v>
      </c>
      <c r="L1886" s="191"/>
      <c r="M1886" s="197"/>
      <c r="AV1886" s="138"/>
      <c r="AW1886" s="138"/>
      <c r="AX1886" s="138"/>
      <c r="AY1886" s="138"/>
      <c r="AZ1886" s="138"/>
      <c r="BA1886" s="138"/>
      <c r="BB1886" s="138"/>
      <c r="BC1886" s="138"/>
      <c r="BD1886" s="138"/>
      <c r="BE1886" s="138"/>
      <c r="BF1886" s="138"/>
      <c r="BG1886" s="138"/>
      <c r="BH1886" s="138"/>
      <c r="BI1886" s="138"/>
      <c r="BJ1886" s="138"/>
      <c r="BK1886" s="138"/>
      <c r="BL1886" s="138"/>
      <c r="BM1886" s="138"/>
      <c r="BN1886" s="138"/>
      <c r="BO1886" s="138"/>
    </row>
    <row r="1887" spans="1:67" x14ac:dyDescent="0.2">
      <c r="A1887" s="167">
        <v>447</v>
      </c>
      <c r="B1887" s="168" t="s">
        <v>2402</v>
      </c>
      <c r="C1887" s="169"/>
      <c r="D1887" s="170" t="s">
        <v>107</v>
      </c>
      <c r="E1887" s="170"/>
      <c r="F1887" s="170"/>
      <c r="G1887" s="170"/>
      <c r="H1887" s="246"/>
      <c r="I1887" s="217" t="s">
        <v>2403</v>
      </c>
      <c r="J1887" s="265" t="s">
        <v>998</v>
      </c>
      <c r="K1887" s="266">
        <f>7700*60%</f>
        <v>4620</v>
      </c>
      <c r="L1887" s="169" t="s">
        <v>111</v>
      </c>
      <c r="M1887" s="175" t="s">
        <v>2404</v>
      </c>
      <c r="AV1887" s="138"/>
      <c r="AW1887" s="138"/>
      <c r="AX1887" s="138"/>
      <c r="AY1887" s="138"/>
      <c r="AZ1887" s="138"/>
      <c r="BA1887" s="138"/>
      <c r="BB1887" s="138"/>
      <c r="BC1887" s="138"/>
      <c r="BD1887" s="138"/>
      <c r="BE1887" s="138"/>
      <c r="BF1887" s="138"/>
      <c r="BG1887" s="138"/>
      <c r="BH1887" s="138"/>
      <c r="BI1887" s="138"/>
      <c r="BJ1887" s="138"/>
      <c r="BK1887" s="138"/>
      <c r="BL1887" s="138"/>
      <c r="BM1887" s="138"/>
      <c r="BN1887" s="138"/>
      <c r="BO1887" s="138"/>
    </row>
    <row r="1888" spans="1:67" x14ac:dyDescent="0.2">
      <c r="A1888" s="177"/>
      <c r="B1888" s="178"/>
      <c r="C1888" s="179"/>
      <c r="D1888" s="180"/>
      <c r="E1888" s="180"/>
      <c r="F1888" s="180"/>
      <c r="G1888" s="180"/>
      <c r="H1888" s="248"/>
      <c r="I1888" s="188" t="s">
        <v>2405</v>
      </c>
      <c r="J1888" s="270" t="s">
        <v>998</v>
      </c>
      <c r="K1888" s="214">
        <f>7700*20%</f>
        <v>1540</v>
      </c>
      <c r="L1888" s="179"/>
      <c r="M1888" s="185"/>
      <c r="AV1888" s="138"/>
      <c r="AW1888" s="138"/>
      <c r="AX1888" s="138"/>
      <c r="AY1888" s="138"/>
      <c r="AZ1888" s="138"/>
      <c r="BA1888" s="138"/>
      <c r="BB1888" s="138"/>
      <c r="BC1888" s="138"/>
      <c r="BD1888" s="138"/>
      <c r="BE1888" s="138"/>
      <c r="BF1888" s="138"/>
      <c r="BG1888" s="138"/>
      <c r="BH1888" s="138"/>
      <c r="BI1888" s="138"/>
      <c r="BJ1888" s="138"/>
      <c r="BK1888" s="138"/>
      <c r="BL1888" s="138"/>
      <c r="BM1888" s="138"/>
      <c r="BN1888" s="138"/>
      <c r="BO1888" s="138"/>
    </row>
    <row r="1889" spans="1:67" x14ac:dyDescent="0.2">
      <c r="A1889" s="177"/>
      <c r="B1889" s="178"/>
      <c r="C1889" s="179"/>
      <c r="D1889" s="180"/>
      <c r="E1889" s="180"/>
      <c r="F1889" s="180"/>
      <c r="G1889" s="180"/>
      <c r="H1889" s="248"/>
      <c r="I1889" s="188" t="s">
        <v>2406</v>
      </c>
      <c r="J1889" s="270" t="s">
        <v>998</v>
      </c>
      <c r="K1889" s="214">
        <f>7700*20%</f>
        <v>1540</v>
      </c>
      <c r="L1889" s="179"/>
      <c r="M1889" s="185"/>
      <c r="AV1889" s="138"/>
      <c r="AW1889" s="138"/>
      <c r="AX1889" s="138"/>
      <c r="AY1889" s="138"/>
      <c r="AZ1889" s="138"/>
      <c r="BA1889" s="138"/>
      <c r="BB1889" s="138"/>
      <c r="BC1889" s="138"/>
      <c r="BD1889" s="138"/>
      <c r="BE1889" s="138"/>
      <c r="BF1889" s="138"/>
      <c r="BG1889" s="138"/>
      <c r="BH1889" s="138"/>
      <c r="BI1889" s="138"/>
      <c r="BJ1889" s="138"/>
      <c r="BK1889" s="138"/>
      <c r="BL1889" s="138"/>
      <c r="BM1889" s="138"/>
      <c r="BN1889" s="138"/>
      <c r="BO1889" s="138"/>
    </row>
    <row r="1890" spans="1:67" x14ac:dyDescent="0.2">
      <c r="A1890" s="189"/>
      <c r="B1890" s="190"/>
      <c r="C1890" s="191"/>
      <c r="D1890" s="192"/>
      <c r="E1890" s="192"/>
      <c r="F1890" s="192"/>
      <c r="G1890" s="192"/>
      <c r="H1890" s="249"/>
      <c r="I1890" s="203"/>
      <c r="J1890" s="273"/>
      <c r="K1890" s="245">
        <f>SUM(K1887:K1889)</f>
        <v>7700</v>
      </c>
      <c r="L1890" s="191"/>
      <c r="M1890" s="197"/>
      <c r="AV1890" s="138"/>
      <c r="AW1890" s="138"/>
      <c r="AX1890" s="138"/>
      <c r="AY1890" s="138"/>
      <c r="AZ1890" s="138"/>
      <c r="BA1890" s="138"/>
      <c r="BB1890" s="138"/>
      <c r="BC1890" s="138"/>
      <c r="BD1890" s="138"/>
      <c r="BE1890" s="138"/>
      <c r="BF1890" s="138"/>
      <c r="BG1890" s="138"/>
      <c r="BH1890" s="138"/>
      <c r="BI1890" s="138"/>
      <c r="BJ1890" s="138"/>
      <c r="BK1890" s="138"/>
      <c r="BL1890" s="138"/>
      <c r="BM1890" s="138"/>
      <c r="BN1890" s="138"/>
      <c r="BO1890" s="138"/>
    </row>
    <row r="1891" spans="1:67" x14ac:dyDescent="0.2">
      <c r="A1891" s="167">
        <v>448</v>
      </c>
      <c r="B1891" s="168" t="s">
        <v>2407</v>
      </c>
      <c r="C1891" s="169"/>
      <c r="D1891" s="170" t="s">
        <v>107</v>
      </c>
      <c r="E1891" s="170"/>
      <c r="F1891" s="170"/>
      <c r="G1891" s="170"/>
      <c r="H1891" s="246"/>
      <c r="I1891" s="274" t="s">
        <v>2408</v>
      </c>
      <c r="J1891" s="275" t="s">
        <v>998</v>
      </c>
      <c r="K1891" s="276">
        <f>7700*60%</f>
        <v>4620</v>
      </c>
      <c r="L1891" s="169" t="s">
        <v>111</v>
      </c>
      <c r="M1891" s="175" t="s">
        <v>2409</v>
      </c>
      <c r="AV1891" s="138"/>
      <c r="AW1891" s="138"/>
      <c r="AX1891" s="138"/>
      <c r="AY1891" s="138"/>
      <c r="AZ1891" s="138"/>
      <c r="BA1891" s="138"/>
      <c r="BB1891" s="138"/>
      <c r="BC1891" s="138"/>
      <c r="BD1891" s="138"/>
      <c r="BE1891" s="138"/>
      <c r="BF1891" s="138"/>
      <c r="BG1891" s="138"/>
      <c r="BH1891" s="138"/>
      <c r="BI1891" s="138"/>
      <c r="BJ1891" s="138"/>
      <c r="BK1891" s="138"/>
      <c r="BL1891" s="138"/>
      <c r="BM1891" s="138"/>
      <c r="BN1891" s="138"/>
      <c r="BO1891" s="138"/>
    </row>
    <row r="1892" spans="1:67" x14ac:dyDescent="0.2">
      <c r="A1892" s="177"/>
      <c r="B1892" s="178"/>
      <c r="C1892" s="179"/>
      <c r="D1892" s="180"/>
      <c r="E1892" s="180"/>
      <c r="F1892" s="180"/>
      <c r="G1892" s="180"/>
      <c r="H1892" s="248"/>
      <c r="I1892" s="188" t="s">
        <v>2410</v>
      </c>
      <c r="J1892" s="270" t="s">
        <v>998</v>
      </c>
      <c r="K1892" s="214">
        <f>7700*20%</f>
        <v>1540</v>
      </c>
      <c r="L1892" s="179"/>
      <c r="M1892" s="185"/>
      <c r="AV1892" s="138"/>
      <c r="AW1892" s="138"/>
      <c r="AX1892" s="138"/>
      <c r="AY1892" s="138"/>
      <c r="AZ1892" s="138"/>
      <c r="BA1892" s="138"/>
      <c r="BB1892" s="138"/>
      <c r="BC1892" s="138"/>
      <c r="BD1892" s="138"/>
      <c r="BE1892" s="138"/>
      <c r="BF1892" s="138"/>
      <c r="BG1892" s="138"/>
      <c r="BH1892" s="138"/>
      <c r="BI1892" s="138"/>
      <c r="BJ1892" s="138"/>
      <c r="BK1892" s="138"/>
      <c r="BL1892" s="138"/>
      <c r="BM1892" s="138"/>
      <c r="BN1892" s="138"/>
      <c r="BO1892" s="138"/>
    </row>
    <row r="1893" spans="1:67" x14ac:dyDescent="0.2">
      <c r="A1893" s="177"/>
      <c r="B1893" s="178"/>
      <c r="C1893" s="179"/>
      <c r="D1893" s="180"/>
      <c r="E1893" s="180"/>
      <c r="F1893" s="180"/>
      <c r="G1893" s="180"/>
      <c r="H1893" s="248"/>
      <c r="I1893" s="188" t="s">
        <v>2406</v>
      </c>
      <c r="J1893" s="270" t="s">
        <v>998</v>
      </c>
      <c r="K1893" s="214">
        <f>7700*20%</f>
        <v>1540</v>
      </c>
      <c r="L1893" s="179"/>
      <c r="M1893" s="185"/>
      <c r="AV1893" s="138"/>
      <c r="AW1893" s="138"/>
      <c r="AX1893" s="138"/>
      <c r="AY1893" s="138"/>
      <c r="AZ1893" s="138"/>
      <c r="BA1893" s="138"/>
      <c r="BB1893" s="138"/>
      <c r="BC1893" s="138"/>
      <c r="BD1893" s="138"/>
      <c r="BE1893" s="138"/>
      <c r="BF1893" s="138"/>
      <c r="BG1893" s="138"/>
      <c r="BH1893" s="138"/>
      <c r="BI1893" s="138"/>
      <c r="BJ1893" s="138"/>
      <c r="BK1893" s="138"/>
      <c r="BL1893" s="138"/>
      <c r="BM1893" s="138"/>
      <c r="BN1893" s="138"/>
      <c r="BO1893" s="138"/>
    </row>
    <row r="1894" spans="1:67" x14ac:dyDescent="0.2">
      <c r="A1894" s="189"/>
      <c r="B1894" s="190"/>
      <c r="C1894" s="191"/>
      <c r="D1894" s="192"/>
      <c r="E1894" s="192"/>
      <c r="F1894" s="192"/>
      <c r="G1894" s="192"/>
      <c r="H1894" s="249"/>
      <c r="I1894" s="181"/>
      <c r="J1894" s="305"/>
      <c r="K1894" s="199">
        <f>SUM(K1891:K1893)</f>
        <v>7700</v>
      </c>
      <c r="L1894" s="191"/>
      <c r="M1894" s="197"/>
      <c r="AV1894" s="138"/>
      <c r="AW1894" s="138"/>
      <c r="AX1894" s="138"/>
      <c r="AY1894" s="138"/>
      <c r="AZ1894" s="138"/>
      <c r="BA1894" s="138"/>
      <c r="BB1894" s="138"/>
      <c r="BC1894" s="138"/>
      <c r="BD1894" s="138"/>
      <c r="BE1894" s="138"/>
      <c r="BF1894" s="138"/>
      <c r="BG1894" s="138"/>
      <c r="BH1894" s="138"/>
      <c r="BI1894" s="138"/>
      <c r="BJ1894" s="138"/>
      <c r="BK1894" s="138"/>
      <c r="BL1894" s="138"/>
      <c r="BM1894" s="138"/>
      <c r="BN1894" s="138"/>
      <c r="BO1894" s="138"/>
    </row>
    <row r="1895" spans="1:67" x14ac:dyDescent="0.2">
      <c r="A1895" s="167">
        <v>449</v>
      </c>
      <c r="B1895" s="168" t="s">
        <v>2411</v>
      </c>
      <c r="C1895" s="169"/>
      <c r="D1895" s="170" t="s">
        <v>107</v>
      </c>
      <c r="E1895" s="170"/>
      <c r="F1895" s="170"/>
      <c r="G1895" s="170"/>
      <c r="H1895" s="246" t="s">
        <v>137</v>
      </c>
      <c r="I1895" s="217" t="s">
        <v>2408</v>
      </c>
      <c r="J1895" s="265" t="s">
        <v>998</v>
      </c>
      <c r="K1895" s="266">
        <f>7700*60%</f>
        <v>4620</v>
      </c>
      <c r="L1895" s="169" t="s">
        <v>111</v>
      </c>
      <c r="M1895" s="175" t="s">
        <v>2412</v>
      </c>
      <c r="AV1895" s="138"/>
      <c r="AW1895" s="138"/>
      <c r="AX1895" s="138"/>
      <c r="AY1895" s="138"/>
      <c r="AZ1895" s="138"/>
      <c r="BA1895" s="138"/>
      <c r="BB1895" s="138"/>
      <c r="BC1895" s="138"/>
      <c r="BD1895" s="138"/>
      <c r="BE1895" s="138"/>
      <c r="BF1895" s="138"/>
      <c r="BG1895" s="138"/>
      <c r="BH1895" s="138"/>
      <c r="BI1895" s="138"/>
      <c r="BJ1895" s="138"/>
      <c r="BK1895" s="138"/>
      <c r="BL1895" s="138"/>
      <c r="BM1895" s="138"/>
      <c r="BN1895" s="138"/>
      <c r="BO1895" s="138"/>
    </row>
    <row r="1896" spans="1:67" x14ac:dyDescent="0.2">
      <c r="A1896" s="177"/>
      <c r="B1896" s="178"/>
      <c r="C1896" s="179"/>
      <c r="D1896" s="180"/>
      <c r="E1896" s="180"/>
      <c r="F1896" s="180"/>
      <c r="G1896" s="180"/>
      <c r="H1896" s="248"/>
      <c r="I1896" s="188" t="s">
        <v>2410</v>
      </c>
      <c r="J1896" s="270" t="s">
        <v>998</v>
      </c>
      <c r="K1896" s="214">
        <f>7700*20%</f>
        <v>1540</v>
      </c>
      <c r="L1896" s="179"/>
      <c r="M1896" s="185"/>
      <c r="AV1896" s="138"/>
      <c r="AW1896" s="138"/>
      <c r="AX1896" s="138"/>
      <c r="AY1896" s="138"/>
      <c r="AZ1896" s="138"/>
      <c r="BA1896" s="138"/>
      <c r="BB1896" s="138"/>
      <c r="BC1896" s="138"/>
      <c r="BD1896" s="138"/>
      <c r="BE1896" s="138"/>
      <c r="BF1896" s="138"/>
      <c r="BG1896" s="138"/>
      <c r="BH1896" s="138"/>
      <c r="BI1896" s="138"/>
      <c r="BJ1896" s="138"/>
      <c r="BK1896" s="138"/>
      <c r="BL1896" s="138"/>
      <c r="BM1896" s="138"/>
      <c r="BN1896" s="138"/>
      <c r="BO1896" s="138"/>
    </row>
    <row r="1897" spans="1:67" x14ac:dyDescent="0.2">
      <c r="A1897" s="177"/>
      <c r="B1897" s="178"/>
      <c r="C1897" s="179"/>
      <c r="D1897" s="180"/>
      <c r="E1897" s="180"/>
      <c r="F1897" s="180"/>
      <c r="G1897" s="180"/>
      <c r="H1897" s="248"/>
      <c r="I1897" s="188" t="s">
        <v>2406</v>
      </c>
      <c r="J1897" s="270" t="s">
        <v>998</v>
      </c>
      <c r="K1897" s="214">
        <f>7700*20%</f>
        <v>1540</v>
      </c>
      <c r="L1897" s="179"/>
      <c r="M1897" s="185"/>
      <c r="AV1897" s="138"/>
      <c r="AW1897" s="138"/>
      <c r="AX1897" s="138"/>
      <c r="AY1897" s="138"/>
      <c r="AZ1897" s="138"/>
      <c r="BA1897" s="138"/>
      <c r="BB1897" s="138"/>
      <c r="BC1897" s="138"/>
      <c r="BD1897" s="138"/>
      <c r="BE1897" s="138"/>
      <c r="BF1897" s="138"/>
      <c r="BG1897" s="138"/>
      <c r="BH1897" s="138"/>
      <c r="BI1897" s="138"/>
      <c r="BJ1897" s="138"/>
      <c r="BK1897" s="138"/>
      <c r="BL1897" s="138"/>
      <c r="BM1897" s="138"/>
      <c r="BN1897" s="138"/>
      <c r="BO1897" s="138"/>
    </row>
    <row r="1898" spans="1:67" x14ac:dyDescent="0.2">
      <c r="A1898" s="189"/>
      <c r="B1898" s="190"/>
      <c r="C1898" s="191"/>
      <c r="D1898" s="192"/>
      <c r="E1898" s="192"/>
      <c r="F1898" s="192"/>
      <c r="G1898" s="192"/>
      <c r="H1898" s="249"/>
      <c r="I1898" s="203"/>
      <c r="J1898" s="273"/>
      <c r="K1898" s="245">
        <f>SUM(K1895:K1897)</f>
        <v>7700</v>
      </c>
      <c r="L1898" s="191"/>
      <c r="M1898" s="197"/>
      <c r="AV1898" s="138"/>
      <c r="AW1898" s="138"/>
      <c r="AX1898" s="138"/>
      <c r="AY1898" s="138"/>
      <c r="AZ1898" s="138"/>
      <c r="BA1898" s="138"/>
      <c r="BB1898" s="138"/>
      <c r="BC1898" s="138"/>
      <c r="BD1898" s="138"/>
      <c r="BE1898" s="138"/>
      <c r="BF1898" s="138"/>
      <c r="BG1898" s="138"/>
      <c r="BH1898" s="138"/>
      <c r="BI1898" s="138"/>
      <c r="BJ1898" s="138"/>
      <c r="BK1898" s="138"/>
      <c r="BL1898" s="138"/>
      <c r="BM1898" s="138"/>
      <c r="BN1898" s="138"/>
      <c r="BO1898" s="138"/>
    </row>
    <row r="1899" spans="1:67" x14ac:dyDescent="0.2">
      <c r="A1899" s="167">
        <v>450</v>
      </c>
      <c r="B1899" s="168" t="s">
        <v>2413</v>
      </c>
      <c r="C1899" s="169"/>
      <c r="D1899" s="170" t="s">
        <v>107</v>
      </c>
      <c r="E1899" s="170"/>
      <c r="F1899" s="170"/>
      <c r="G1899" s="170"/>
      <c r="H1899" s="246" t="s">
        <v>164</v>
      </c>
      <c r="I1899" s="274" t="s">
        <v>2414</v>
      </c>
      <c r="J1899" s="275" t="s">
        <v>998</v>
      </c>
      <c r="K1899" s="276">
        <f>7700*80%</f>
        <v>6160</v>
      </c>
      <c r="L1899" s="169" t="s">
        <v>111</v>
      </c>
      <c r="M1899" s="175" t="s">
        <v>2415</v>
      </c>
      <c r="AV1899" s="138"/>
      <c r="AW1899" s="138"/>
      <c r="AX1899" s="138"/>
      <c r="AY1899" s="138"/>
      <c r="AZ1899" s="138"/>
      <c r="BA1899" s="138"/>
      <c r="BB1899" s="138"/>
      <c r="BC1899" s="138"/>
      <c r="BD1899" s="138"/>
      <c r="BE1899" s="138"/>
      <c r="BF1899" s="138"/>
      <c r="BG1899" s="138"/>
      <c r="BH1899" s="138"/>
      <c r="BI1899" s="138"/>
      <c r="BJ1899" s="138"/>
      <c r="BK1899" s="138"/>
      <c r="BL1899" s="138"/>
      <c r="BM1899" s="138"/>
      <c r="BN1899" s="138"/>
      <c r="BO1899" s="138"/>
    </row>
    <row r="1900" spans="1:67" x14ac:dyDescent="0.2">
      <c r="A1900" s="177"/>
      <c r="B1900" s="178"/>
      <c r="C1900" s="179"/>
      <c r="D1900" s="180"/>
      <c r="E1900" s="180"/>
      <c r="F1900" s="180"/>
      <c r="G1900" s="180"/>
      <c r="H1900" s="248"/>
      <c r="I1900" s="188" t="s">
        <v>2416</v>
      </c>
      <c r="J1900" s="270" t="s">
        <v>998</v>
      </c>
      <c r="K1900" s="214">
        <f>7700*20%</f>
        <v>1540</v>
      </c>
      <c r="L1900" s="179"/>
      <c r="M1900" s="185"/>
      <c r="AV1900" s="138"/>
      <c r="AW1900" s="138"/>
      <c r="AX1900" s="138"/>
      <c r="AY1900" s="138"/>
      <c r="AZ1900" s="138"/>
      <c r="BA1900" s="138"/>
      <c r="BB1900" s="138"/>
      <c r="BC1900" s="138"/>
      <c r="BD1900" s="138"/>
      <c r="BE1900" s="138"/>
      <c r="BF1900" s="138"/>
      <c r="BG1900" s="138"/>
      <c r="BH1900" s="138"/>
      <c r="BI1900" s="138"/>
      <c r="BJ1900" s="138"/>
      <c r="BK1900" s="138"/>
      <c r="BL1900" s="138"/>
      <c r="BM1900" s="138"/>
      <c r="BN1900" s="138"/>
      <c r="BO1900" s="138"/>
    </row>
    <row r="1901" spans="1:67" x14ac:dyDescent="0.2">
      <c r="A1901" s="189"/>
      <c r="B1901" s="190"/>
      <c r="C1901" s="191"/>
      <c r="D1901" s="192"/>
      <c r="E1901" s="192"/>
      <c r="F1901" s="192"/>
      <c r="G1901" s="192"/>
      <c r="H1901" s="249"/>
      <c r="I1901" s="181"/>
      <c r="J1901" s="305"/>
      <c r="K1901" s="199">
        <f>SUM(K1899:K1900)</f>
        <v>7700</v>
      </c>
      <c r="L1901" s="191"/>
      <c r="M1901" s="197"/>
      <c r="AV1901" s="138"/>
      <c r="AW1901" s="138"/>
      <c r="AX1901" s="138"/>
      <c r="AY1901" s="138"/>
      <c r="AZ1901" s="138"/>
      <c r="BA1901" s="138"/>
      <c r="BB1901" s="138"/>
      <c r="BC1901" s="138"/>
      <c r="BD1901" s="138"/>
      <c r="BE1901" s="138"/>
      <c r="BF1901" s="138"/>
      <c r="BG1901" s="138"/>
      <c r="BH1901" s="138"/>
      <c r="BI1901" s="138"/>
      <c r="BJ1901" s="138"/>
      <c r="BK1901" s="138"/>
      <c r="BL1901" s="138"/>
      <c r="BM1901" s="138"/>
      <c r="BN1901" s="138"/>
      <c r="BO1901" s="138"/>
    </row>
    <row r="1902" spans="1:67" x14ac:dyDescent="0.2">
      <c r="A1902" s="167">
        <v>451</v>
      </c>
      <c r="B1902" s="168" t="s">
        <v>2417</v>
      </c>
      <c r="C1902" s="169"/>
      <c r="D1902" s="170" t="s">
        <v>107</v>
      </c>
      <c r="E1902" s="170"/>
      <c r="F1902" s="170"/>
      <c r="G1902" s="170"/>
      <c r="H1902" s="246" t="s">
        <v>164</v>
      </c>
      <c r="I1902" s="217" t="s">
        <v>2418</v>
      </c>
      <c r="J1902" s="265" t="s">
        <v>998</v>
      </c>
      <c r="K1902" s="266">
        <f>7700*70%</f>
        <v>5390</v>
      </c>
      <c r="L1902" s="169" t="s">
        <v>111</v>
      </c>
      <c r="M1902" s="175" t="s">
        <v>2419</v>
      </c>
      <c r="AV1902" s="138"/>
      <c r="AW1902" s="138"/>
      <c r="AX1902" s="138"/>
      <c r="AY1902" s="138"/>
      <c r="AZ1902" s="138"/>
      <c r="BA1902" s="138"/>
      <c r="BB1902" s="138"/>
      <c r="BC1902" s="138"/>
      <c r="BD1902" s="138"/>
      <c r="BE1902" s="138"/>
      <c r="BF1902" s="138"/>
      <c r="BG1902" s="138"/>
      <c r="BH1902" s="138"/>
      <c r="BI1902" s="138"/>
      <c r="BJ1902" s="138"/>
      <c r="BK1902" s="138"/>
      <c r="BL1902" s="138"/>
      <c r="BM1902" s="138"/>
      <c r="BN1902" s="138"/>
      <c r="BO1902" s="138"/>
    </row>
    <row r="1903" spans="1:67" x14ac:dyDescent="0.2">
      <c r="A1903" s="177"/>
      <c r="B1903" s="178"/>
      <c r="C1903" s="179"/>
      <c r="D1903" s="180"/>
      <c r="E1903" s="180"/>
      <c r="F1903" s="180"/>
      <c r="G1903" s="180"/>
      <c r="H1903" s="248"/>
      <c r="I1903" s="188" t="s">
        <v>2420</v>
      </c>
      <c r="J1903" s="270" t="s">
        <v>998</v>
      </c>
      <c r="K1903" s="214">
        <f>7700*30%</f>
        <v>2310</v>
      </c>
      <c r="L1903" s="179"/>
      <c r="M1903" s="185"/>
      <c r="AV1903" s="138"/>
      <c r="AW1903" s="138"/>
      <c r="AX1903" s="138"/>
      <c r="AY1903" s="138"/>
      <c r="AZ1903" s="138"/>
      <c r="BA1903" s="138"/>
      <c r="BB1903" s="138"/>
      <c r="BC1903" s="138"/>
      <c r="BD1903" s="138"/>
      <c r="BE1903" s="138"/>
      <c r="BF1903" s="138"/>
      <c r="BG1903" s="138"/>
      <c r="BH1903" s="138"/>
      <c r="BI1903" s="138"/>
      <c r="BJ1903" s="138"/>
      <c r="BK1903" s="138"/>
      <c r="BL1903" s="138"/>
      <c r="BM1903" s="138"/>
      <c r="BN1903" s="138"/>
      <c r="BO1903" s="138"/>
    </row>
    <row r="1904" spans="1:67" x14ac:dyDescent="0.2">
      <c r="A1904" s="189"/>
      <c r="B1904" s="190"/>
      <c r="C1904" s="191"/>
      <c r="D1904" s="192"/>
      <c r="E1904" s="192"/>
      <c r="F1904" s="192"/>
      <c r="G1904" s="192"/>
      <c r="H1904" s="249"/>
      <c r="I1904" s="203"/>
      <c r="J1904" s="273"/>
      <c r="K1904" s="245">
        <f>SUM(K1902:K1903)</f>
        <v>7700</v>
      </c>
      <c r="L1904" s="191"/>
      <c r="M1904" s="197"/>
      <c r="AV1904" s="138"/>
      <c r="AW1904" s="138"/>
      <c r="AX1904" s="138"/>
      <c r="AY1904" s="138"/>
      <c r="AZ1904" s="138"/>
      <c r="BA1904" s="138"/>
      <c r="BB1904" s="138"/>
      <c r="BC1904" s="138"/>
      <c r="BD1904" s="138"/>
      <c r="BE1904" s="138"/>
      <c r="BF1904" s="138"/>
      <c r="BG1904" s="138"/>
      <c r="BH1904" s="138"/>
      <c r="BI1904" s="138"/>
      <c r="BJ1904" s="138"/>
      <c r="BK1904" s="138"/>
      <c r="BL1904" s="138"/>
      <c r="BM1904" s="138"/>
      <c r="BN1904" s="138"/>
      <c r="BO1904" s="138"/>
    </row>
    <row r="1905" spans="1:67" ht="48" x14ac:dyDescent="0.2">
      <c r="A1905" s="167">
        <v>452</v>
      </c>
      <c r="B1905" s="168" t="s">
        <v>2421</v>
      </c>
      <c r="C1905" s="169"/>
      <c r="D1905" s="170" t="s">
        <v>25</v>
      </c>
      <c r="E1905" s="448"/>
      <c r="F1905" s="170" t="s">
        <v>1239</v>
      </c>
      <c r="G1905" s="170" t="s">
        <v>2422</v>
      </c>
      <c r="H1905" s="246" t="s">
        <v>750</v>
      </c>
      <c r="I1905" s="217" t="s">
        <v>2423</v>
      </c>
      <c r="J1905" s="375" t="s">
        <v>998</v>
      </c>
      <c r="K1905" s="370">
        <f>7140100*20%</f>
        <v>1428020</v>
      </c>
      <c r="L1905" s="175" t="s">
        <v>2422</v>
      </c>
      <c r="M1905" s="175" t="s">
        <v>2424</v>
      </c>
      <c r="AV1905" s="138"/>
      <c r="AW1905" s="138"/>
      <c r="AX1905" s="138"/>
      <c r="AY1905" s="138"/>
      <c r="AZ1905" s="138"/>
      <c r="BA1905" s="138"/>
      <c r="BB1905" s="138"/>
      <c r="BC1905" s="138"/>
      <c r="BD1905" s="138"/>
      <c r="BE1905" s="138"/>
      <c r="BF1905" s="138"/>
      <c r="BG1905" s="138"/>
      <c r="BH1905" s="138"/>
      <c r="BI1905" s="138"/>
      <c r="BJ1905" s="138"/>
      <c r="BK1905" s="138"/>
      <c r="BL1905" s="138"/>
      <c r="BM1905" s="138"/>
      <c r="BN1905" s="138"/>
      <c r="BO1905" s="138"/>
    </row>
    <row r="1906" spans="1:67" x14ac:dyDescent="0.2">
      <c r="A1906" s="177"/>
      <c r="B1906" s="178"/>
      <c r="C1906" s="179"/>
      <c r="D1906" s="180"/>
      <c r="E1906" s="180"/>
      <c r="F1906" s="180"/>
      <c r="G1906" s="180"/>
      <c r="H1906" s="248"/>
      <c r="I1906" s="188" t="s">
        <v>2425</v>
      </c>
      <c r="J1906" s="207" t="s">
        <v>196</v>
      </c>
      <c r="K1906" s="199">
        <f t="shared" ref="K1906:K1921" si="40">7140100*5%</f>
        <v>357005</v>
      </c>
      <c r="L1906" s="185"/>
      <c r="M1906" s="185"/>
      <c r="AV1906" s="138"/>
      <c r="AW1906" s="138"/>
      <c r="AX1906" s="138"/>
      <c r="AY1906" s="138"/>
      <c r="AZ1906" s="138"/>
      <c r="BA1906" s="138"/>
      <c r="BB1906" s="138"/>
      <c r="BC1906" s="138"/>
      <c r="BD1906" s="138"/>
      <c r="BE1906" s="138"/>
      <c r="BF1906" s="138"/>
      <c r="BG1906" s="138"/>
      <c r="BH1906" s="138"/>
      <c r="BI1906" s="138"/>
      <c r="BJ1906" s="138"/>
      <c r="BK1906" s="138"/>
      <c r="BL1906" s="138"/>
      <c r="BM1906" s="138"/>
      <c r="BN1906" s="138"/>
      <c r="BO1906" s="138"/>
    </row>
    <row r="1907" spans="1:67" x14ac:dyDescent="0.2">
      <c r="A1907" s="177"/>
      <c r="B1907" s="178"/>
      <c r="C1907" s="179"/>
      <c r="D1907" s="180"/>
      <c r="E1907" s="180"/>
      <c r="F1907" s="180"/>
      <c r="G1907" s="180"/>
      <c r="H1907" s="248"/>
      <c r="I1907" s="171" t="s">
        <v>2426</v>
      </c>
      <c r="J1907" s="207" t="s">
        <v>998</v>
      </c>
      <c r="K1907" s="199">
        <f t="shared" si="40"/>
        <v>357005</v>
      </c>
      <c r="L1907" s="185"/>
      <c r="M1907" s="185"/>
      <c r="AV1907" s="138"/>
      <c r="AW1907" s="138"/>
      <c r="AX1907" s="138"/>
      <c r="AY1907" s="138"/>
      <c r="AZ1907" s="138"/>
      <c r="BA1907" s="138"/>
      <c r="BB1907" s="138"/>
      <c r="BC1907" s="138"/>
      <c r="BD1907" s="138"/>
      <c r="BE1907" s="138"/>
      <c r="BF1907" s="138"/>
      <c r="BG1907" s="138"/>
      <c r="BH1907" s="138"/>
      <c r="BI1907" s="138"/>
      <c r="BJ1907" s="138"/>
      <c r="BK1907" s="138"/>
      <c r="BL1907" s="138"/>
      <c r="BM1907" s="138"/>
      <c r="BN1907" s="138"/>
      <c r="BO1907" s="138"/>
    </row>
    <row r="1908" spans="1:67" x14ac:dyDescent="0.2">
      <c r="A1908" s="177"/>
      <c r="B1908" s="178"/>
      <c r="C1908" s="179"/>
      <c r="D1908" s="180"/>
      <c r="E1908" s="180"/>
      <c r="F1908" s="180"/>
      <c r="G1908" s="180"/>
      <c r="H1908" s="248"/>
      <c r="I1908" s="181" t="s">
        <v>2427</v>
      </c>
      <c r="J1908" s="207" t="s">
        <v>998</v>
      </c>
      <c r="K1908" s="199">
        <f t="shared" si="40"/>
        <v>357005</v>
      </c>
      <c r="L1908" s="185"/>
      <c r="M1908" s="185"/>
      <c r="AV1908" s="138"/>
      <c r="AW1908" s="138"/>
      <c r="AX1908" s="138"/>
      <c r="AY1908" s="138"/>
      <c r="AZ1908" s="138"/>
      <c r="BA1908" s="138"/>
      <c r="BB1908" s="138"/>
      <c r="BC1908" s="138"/>
      <c r="BD1908" s="138"/>
      <c r="BE1908" s="138"/>
      <c r="BF1908" s="138"/>
      <c r="BG1908" s="138"/>
      <c r="BH1908" s="138"/>
      <c r="BI1908" s="138"/>
      <c r="BJ1908" s="138"/>
      <c r="BK1908" s="138"/>
      <c r="BL1908" s="138"/>
      <c r="BM1908" s="138"/>
      <c r="BN1908" s="138"/>
      <c r="BO1908" s="138"/>
    </row>
    <row r="1909" spans="1:67" ht="48" x14ac:dyDescent="0.2">
      <c r="A1909" s="177"/>
      <c r="B1909" s="178"/>
      <c r="C1909" s="179"/>
      <c r="D1909" s="180"/>
      <c r="E1909" s="180"/>
      <c r="F1909" s="180"/>
      <c r="G1909" s="180"/>
      <c r="H1909" s="248"/>
      <c r="I1909" s="181" t="s">
        <v>2428</v>
      </c>
      <c r="J1909" s="371" t="s">
        <v>1387</v>
      </c>
      <c r="K1909" s="199">
        <f t="shared" si="40"/>
        <v>357005</v>
      </c>
      <c r="L1909" s="185"/>
      <c r="M1909" s="185"/>
      <c r="AV1909" s="138"/>
      <c r="AW1909" s="138"/>
      <c r="AX1909" s="138"/>
      <c r="AY1909" s="138"/>
      <c r="AZ1909" s="138"/>
      <c r="BA1909" s="138"/>
      <c r="BB1909" s="138"/>
      <c r="BC1909" s="138"/>
      <c r="BD1909" s="138"/>
      <c r="BE1909" s="138"/>
      <c r="BF1909" s="138"/>
      <c r="BG1909" s="138"/>
      <c r="BH1909" s="138"/>
      <c r="BI1909" s="138"/>
      <c r="BJ1909" s="138"/>
      <c r="BK1909" s="138"/>
      <c r="BL1909" s="138"/>
      <c r="BM1909" s="138"/>
      <c r="BN1909" s="138"/>
      <c r="BO1909" s="138"/>
    </row>
    <row r="1910" spans="1:67" x14ac:dyDescent="0.2">
      <c r="A1910" s="177"/>
      <c r="B1910" s="178"/>
      <c r="C1910" s="179"/>
      <c r="D1910" s="180"/>
      <c r="E1910" s="180"/>
      <c r="F1910" s="180"/>
      <c r="G1910" s="180"/>
      <c r="H1910" s="248"/>
      <c r="I1910" s="181" t="s">
        <v>2429</v>
      </c>
      <c r="J1910" s="226" t="s">
        <v>655</v>
      </c>
      <c r="K1910" s="199">
        <f t="shared" si="40"/>
        <v>357005</v>
      </c>
      <c r="L1910" s="185"/>
      <c r="M1910" s="185"/>
      <c r="AV1910" s="138"/>
      <c r="AW1910" s="138"/>
      <c r="AX1910" s="138"/>
      <c r="AY1910" s="138"/>
      <c r="AZ1910" s="138"/>
      <c r="BA1910" s="138"/>
      <c r="BB1910" s="138"/>
      <c r="BC1910" s="138"/>
      <c r="BD1910" s="138"/>
      <c r="BE1910" s="138"/>
      <c r="BF1910" s="138"/>
      <c r="BG1910" s="138"/>
      <c r="BH1910" s="138"/>
      <c r="BI1910" s="138"/>
      <c r="BJ1910" s="138"/>
      <c r="BK1910" s="138"/>
      <c r="BL1910" s="138"/>
      <c r="BM1910" s="138"/>
      <c r="BN1910" s="138"/>
      <c r="BO1910" s="138"/>
    </row>
    <row r="1911" spans="1:67" x14ac:dyDescent="0.2">
      <c r="A1911" s="177"/>
      <c r="B1911" s="178"/>
      <c r="C1911" s="179"/>
      <c r="D1911" s="180"/>
      <c r="E1911" s="180"/>
      <c r="F1911" s="180"/>
      <c r="G1911" s="180"/>
      <c r="H1911" s="248"/>
      <c r="I1911" s="188" t="s">
        <v>2430</v>
      </c>
      <c r="J1911" s="207" t="s">
        <v>998</v>
      </c>
      <c r="K1911" s="214">
        <f t="shared" si="40"/>
        <v>357005</v>
      </c>
      <c r="L1911" s="185"/>
      <c r="M1911" s="185"/>
      <c r="AV1911" s="138"/>
      <c r="AW1911" s="138"/>
      <c r="AX1911" s="138"/>
      <c r="AY1911" s="138"/>
      <c r="AZ1911" s="138"/>
      <c r="BA1911" s="138"/>
      <c r="BB1911" s="138"/>
      <c r="BC1911" s="138"/>
      <c r="BD1911" s="138"/>
      <c r="BE1911" s="138"/>
      <c r="BF1911" s="138"/>
      <c r="BG1911" s="138"/>
      <c r="BH1911" s="138"/>
      <c r="BI1911" s="138"/>
      <c r="BJ1911" s="138"/>
      <c r="BK1911" s="138"/>
      <c r="BL1911" s="138"/>
      <c r="BM1911" s="138"/>
      <c r="BN1911" s="138"/>
      <c r="BO1911" s="138"/>
    </row>
    <row r="1912" spans="1:67" x14ac:dyDescent="0.2">
      <c r="A1912" s="177"/>
      <c r="B1912" s="178"/>
      <c r="C1912" s="179"/>
      <c r="D1912" s="180"/>
      <c r="E1912" s="180"/>
      <c r="F1912" s="180"/>
      <c r="G1912" s="180"/>
      <c r="H1912" s="248"/>
      <c r="I1912" s="181" t="s">
        <v>1404</v>
      </c>
      <c r="J1912" s="207" t="s">
        <v>998</v>
      </c>
      <c r="K1912" s="214">
        <f t="shared" si="40"/>
        <v>357005</v>
      </c>
      <c r="L1912" s="185"/>
      <c r="M1912" s="185"/>
      <c r="AV1912" s="138"/>
      <c r="AW1912" s="138"/>
      <c r="AX1912" s="138"/>
      <c r="AY1912" s="138"/>
      <c r="AZ1912" s="138"/>
      <c r="BA1912" s="138"/>
      <c r="BB1912" s="138"/>
      <c r="BC1912" s="138"/>
      <c r="BD1912" s="138"/>
      <c r="BE1912" s="138"/>
      <c r="BF1912" s="138"/>
      <c r="BG1912" s="138"/>
      <c r="BH1912" s="138"/>
      <c r="BI1912" s="138"/>
      <c r="BJ1912" s="138"/>
      <c r="BK1912" s="138"/>
      <c r="BL1912" s="138"/>
      <c r="BM1912" s="138"/>
      <c r="BN1912" s="138"/>
      <c r="BO1912" s="138"/>
    </row>
    <row r="1913" spans="1:67" x14ac:dyDescent="0.2">
      <c r="A1913" s="177"/>
      <c r="B1913" s="178"/>
      <c r="C1913" s="179"/>
      <c r="D1913" s="180"/>
      <c r="E1913" s="180"/>
      <c r="F1913" s="180"/>
      <c r="G1913" s="180"/>
      <c r="H1913" s="248"/>
      <c r="I1913" s="181" t="s">
        <v>2431</v>
      </c>
      <c r="J1913" s="371" t="s">
        <v>998</v>
      </c>
      <c r="K1913" s="214">
        <f t="shared" si="40"/>
        <v>357005</v>
      </c>
      <c r="L1913" s="185"/>
      <c r="M1913" s="185"/>
      <c r="AV1913" s="138"/>
      <c r="AW1913" s="138"/>
      <c r="AX1913" s="138"/>
      <c r="AY1913" s="138"/>
      <c r="AZ1913" s="138"/>
      <c r="BA1913" s="138"/>
      <c r="BB1913" s="138"/>
      <c r="BC1913" s="138"/>
      <c r="BD1913" s="138"/>
      <c r="BE1913" s="138"/>
      <c r="BF1913" s="138"/>
      <c r="BG1913" s="138"/>
      <c r="BH1913" s="138"/>
      <c r="BI1913" s="138"/>
      <c r="BJ1913" s="138"/>
      <c r="BK1913" s="138"/>
      <c r="BL1913" s="138"/>
      <c r="BM1913" s="138"/>
      <c r="BN1913" s="138"/>
      <c r="BO1913" s="138"/>
    </row>
    <row r="1914" spans="1:67" x14ac:dyDescent="0.2">
      <c r="A1914" s="177"/>
      <c r="B1914" s="178"/>
      <c r="C1914" s="179"/>
      <c r="D1914" s="180"/>
      <c r="E1914" s="180"/>
      <c r="F1914" s="180"/>
      <c r="G1914" s="180"/>
      <c r="H1914" s="248"/>
      <c r="I1914" s="181" t="s">
        <v>2432</v>
      </c>
      <c r="J1914" s="207" t="s">
        <v>998</v>
      </c>
      <c r="K1914" s="370">
        <f t="shared" si="40"/>
        <v>357005</v>
      </c>
      <c r="L1914" s="185"/>
      <c r="M1914" s="185"/>
      <c r="AV1914" s="138"/>
      <c r="AW1914" s="138"/>
      <c r="AX1914" s="138"/>
      <c r="AY1914" s="138"/>
      <c r="AZ1914" s="138"/>
      <c r="BA1914" s="138"/>
      <c r="BB1914" s="138"/>
      <c r="BC1914" s="138"/>
      <c r="BD1914" s="138"/>
      <c r="BE1914" s="138"/>
      <c r="BF1914" s="138"/>
      <c r="BG1914" s="138"/>
      <c r="BH1914" s="138"/>
      <c r="BI1914" s="138"/>
      <c r="BJ1914" s="138"/>
      <c r="BK1914" s="138"/>
      <c r="BL1914" s="138"/>
      <c r="BM1914" s="138"/>
      <c r="BN1914" s="138"/>
      <c r="BO1914" s="138"/>
    </row>
    <row r="1915" spans="1:67" x14ac:dyDescent="0.2">
      <c r="A1915" s="177"/>
      <c r="B1915" s="178"/>
      <c r="C1915" s="179"/>
      <c r="D1915" s="180"/>
      <c r="E1915" s="180"/>
      <c r="F1915" s="180"/>
      <c r="G1915" s="180"/>
      <c r="H1915" s="248"/>
      <c r="I1915" s="181" t="s">
        <v>2433</v>
      </c>
      <c r="J1915" s="207" t="s">
        <v>998</v>
      </c>
      <c r="K1915" s="199">
        <f t="shared" si="40"/>
        <v>357005</v>
      </c>
      <c r="L1915" s="185"/>
      <c r="M1915" s="185"/>
      <c r="AV1915" s="138"/>
      <c r="AW1915" s="138"/>
      <c r="AX1915" s="138"/>
      <c r="AY1915" s="138"/>
      <c r="AZ1915" s="138"/>
      <c r="BA1915" s="138"/>
      <c r="BB1915" s="138"/>
      <c r="BC1915" s="138"/>
      <c r="BD1915" s="138"/>
      <c r="BE1915" s="138"/>
      <c r="BF1915" s="138"/>
      <c r="BG1915" s="138"/>
      <c r="BH1915" s="138"/>
      <c r="BI1915" s="138"/>
      <c r="BJ1915" s="138"/>
      <c r="BK1915" s="138"/>
      <c r="BL1915" s="138"/>
      <c r="BM1915" s="138"/>
      <c r="BN1915" s="138"/>
      <c r="BO1915" s="138"/>
    </row>
    <row r="1916" spans="1:67" x14ac:dyDescent="0.2">
      <c r="A1916" s="177"/>
      <c r="B1916" s="178"/>
      <c r="C1916" s="179"/>
      <c r="D1916" s="180"/>
      <c r="E1916" s="180"/>
      <c r="F1916" s="180"/>
      <c r="G1916" s="180"/>
      <c r="H1916" s="248"/>
      <c r="I1916" s="449" t="s">
        <v>2434</v>
      </c>
      <c r="J1916" s="207" t="s">
        <v>998</v>
      </c>
      <c r="K1916" s="199">
        <f t="shared" si="40"/>
        <v>357005</v>
      </c>
      <c r="L1916" s="185"/>
      <c r="M1916" s="185"/>
      <c r="AV1916" s="138"/>
      <c r="AW1916" s="138"/>
      <c r="AX1916" s="138"/>
      <c r="AY1916" s="138"/>
      <c r="AZ1916" s="138"/>
      <c r="BA1916" s="138"/>
      <c r="BB1916" s="138"/>
      <c r="BC1916" s="138"/>
      <c r="BD1916" s="138"/>
      <c r="BE1916" s="138"/>
      <c r="BF1916" s="138"/>
      <c r="BG1916" s="138"/>
      <c r="BH1916" s="138"/>
      <c r="BI1916" s="138"/>
      <c r="BJ1916" s="138"/>
      <c r="BK1916" s="138"/>
      <c r="BL1916" s="138"/>
      <c r="BM1916" s="138"/>
      <c r="BN1916" s="138"/>
      <c r="BO1916" s="138"/>
    </row>
    <row r="1917" spans="1:67" x14ac:dyDescent="0.2">
      <c r="A1917" s="177"/>
      <c r="B1917" s="178"/>
      <c r="C1917" s="179"/>
      <c r="D1917" s="180"/>
      <c r="E1917" s="180"/>
      <c r="F1917" s="180"/>
      <c r="G1917" s="180"/>
      <c r="H1917" s="248"/>
      <c r="I1917" s="450" t="s">
        <v>676</v>
      </c>
      <c r="J1917" s="207" t="s">
        <v>998</v>
      </c>
      <c r="K1917" s="214">
        <f t="shared" si="40"/>
        <v>357005</v>
      </c>
      <c r="L1917" s="185"/>
      <c r="M1917" s="185"/>
      <c r="AV1917" s="138"/>
      <c r="AW1917" s="138"/>
      <c r="AX1917" s="138"/>
      <c r="AY1917" s="138"/>
      <c r="AZ1917" s="138"/>
      <c r="BA1917" s="138"/>
      <c r="BB1917" s="138"/>
      <c r="BC1917" s="138"/>
      <c r="BD1917" s="138"/>
      <c r="BE1917" s="138"/>
      <c r="BF1917" s="138"/>
      <c r="BG1917" s="138"/>
      <c r="BH1917" s="138"/>
      <c r="BI1917" s="138"/>
      <c r="BJ1917" s="138"/>
      <c r="BK1917" s="138"/>
      <c r="BL1917" s="138"/>
      <c r="BM1917" s="138"/>
      <c r="BN1917" s="138"/>
      <c r="BO1917" s="138"/>
    </row>
    <row r="1918" spans="1:67" x14ac:dyDescent="0.2">
      <c r="A1918" s="177"/>
      <c r="B1918" s="178"/>
      <c r="C1918" s="179"/>
      <c r="D1918" s="180"/>
      <c r="E1918" s="180"/>
      <c r="F1918" s="180"/>
      <c r="G1918" s="180"/>
      <c r="H1918" s="248"/>
      <c r="I1918" s="449" t="s">
        <v>2435</v>
      </c>
      <c r="J1918" s="226" t="s">
        <v>998</v>
      </c>
      <c r="K1918" s="199">
        <f t="shared" si="40"/>
        <v>357005</v>
      </c>
      <c r="L1918" s="185"/>
      <c r="M1918" s="185"/>
      <c r="AV1918" s="138"/>
      <c r="AW1918" s="138"/>
      <c r="AX1918" s="138"/>
      <c r="AY1918" s="138"/>
      <c r="AZ1918" s="138"/>
      <c r="BA1918" s="138"/>
      <c r="BB1918" s="138"/>
      <c r="BC1918" s="138"/>
      <c r="BD1918" s="138"/>
      <c r="BE1918" s="138"/>
      <c r="BF1918" s="138"/>
      <c r="BG1918" s="138"/>
      <c r="BH1918" s="138"/>
      <c r="BI1918" s="138"/>
      <c r="BJ1918" s="138"/>
      <c r="BK1918" s="138"/>
      <c r="BL1918" s="138"/>
      <c r="BM1918" s="138"/>
      <c r="BN1918" s="138"/>
      <c r="BO1918" s="138"/>
    </row>
    <row r="1919" spans="1:67" x14ac:dyDescent="0.2">
      <c r="A1919" s="177"/>
      <c r="B1919" s="178"/>
      <c r="C1919" s="179"/>
      <c r="D1919" s="180"/>
      <c r="E1919" s="180"/>
      <c r="F1919" s="180"/>
      <c r="G1919" s="180"/>
      <c r="H1919" s="248"/>
      <c r="I1919" s="449" t="s">
        <v>2436</v>
      </c>
      <c r="J1919" s="226" t="s">
        <v>998</v>
      </c>
      <c r="K1919" s="199">
        <f t="shared" si="40"/>
        <v>357005</v>
      </c>
      <c r="L1919" s="185"/>
      <c r="M1919" s="185"/>
      <c r="AV1919" s="138"/>
      <c r="AW1919" s="138"/>
      <c r="AX1919" s="138"/>
      <c r="AY1919" s="138"/>
      <c r="AZ1919" s="138"/>
      <c r="BA1919" s="138"/>
      <c r="BB1919" s="138"/>
      <c r="BC1919" s="138"/>
      <c r="BD1919" s="138"/>
      <c r="BE1919" s="138"/>
      <c r="BF1919" s="138"/>
      <c r="BG1919" s="138"/>
      <c r="BH1919" s="138"/>
      <c r="BI1919" s="138"/>
      <c r="BJ1919" s="138"/>
      <c r="BK1919" s="138"/>
      <c r="BL1919" s="138"/>
      <c r="BM1919" s="138"/>
      <c r="BN1919" s="138"/>
      <c r="BO1919" s="138"/>
    </row>
    <row r="1920" spans="1:67" x14ac:dyDescent="0.2">
      <c r="A1920" s="177"/>
      <c r="B1920" s="178"/>
      <c r="C1920" s="179"/>
      <c r="D1920" s="180"/>
      <c r="E1920" s="180"/>
      <c r="F1920" s="180"/>
      <c r="G1920" s="180"/>
      <c r="H1920" s="248"/>
      <c r="I1920" s="449" t="s">
        <v>2437</v>
      </c>
      <c r="J1920" s="226" t="s">
        <v>1097</v>
      </c>
      <c r="K1920" s="199">
        <f t="shared" si="40"/>
        <v>357005</v>
      </c>
      <c r="L1920" s="185"/>
      <c r="M1920" s="185"/>
      <c r="AV1920" s="138"/>
      <c r="AW1920" s="138"/>
      <c r="AX1920" s="138"/>
      <c r="AY1920" s="138"/>
      <c r="AZ1920" s="138"/>
      <c r="BA1920" s="138"/>
      <c r="BB1920" s="138"/>
      <c r="BC1920" s="138"/>
      <c r="BD1920" s="138"/>
      <c r="BE1920" s="138"/>
      <c r="BF1920" s="138"/>
      <c r="BG1920" s="138"/>
      <c r="BH1920" s="138"/>
      <c r="BI1920" s="138"/>
      <c r="BJ1920" s="138"/>
      <c r="BK1920" s="138"/>
      <c r="BL1920" s="138"/>
      <c r="BM1920" s="138"/>
      <c r="BN1920" s="138"/>
      <c r="BO1920" s="138"/>
    </row>
    <row r="1921" spans="1:67" x14ac:dyDescent="0.2">
      <c r="A1921" s="177"/>
      <c r="B1921" s="178"/>
      <c r="C1921" s="179"/>
      <c r="D1921" s="180"/>
      <c r="E1921" s="180"/>
      <c r="F1921" s="180"/>
      <c r="G1921" s="180"/>
      <c r="H1921" s="248"/>
      <c r="I1921" s="449" t="s">
        <v>189</v>
      </c>
      <c r="J1921" s="226" t="s">
        <v>190</v>
      </c>
      <c r="K1921" s="199">
        <f t="shared" si="40"/>
        <v>357005</v>
      </c>
      <c r="L1921" s="185"/>
      <c r="M1921" s="185"/>
      <c r="N1921" s="176"/>
      <c r="AV1921" s="138"/>
      <c r="AW1921" s="138"/>
      <c r="AX1921" s="138"/>
      <c r="AY1921" s="138"/>
      <c r="AZ1921" s="138"/>
      <c r="BA1921" s="138"/>
      <c r="BB1921" s="138"/>
      <c r="BC1921" s="138"/>
      <c r="BD1921" s="138"/>
      <c r="BE1921" s="138"/>
      <c r="BF1921" s="138"/>
      <c r="BG1921" s="138"/>
      <c r="BH1921" s="138"/>
      <c r="BI1921" s="138"/>
      <c r="BJ1921" s="138"/>
      <c r="BK1921" s="138"/>
      <c r="BL1921" s="138"/>
      <c r="BM1921" s="138"/>
      <c r="BN1921" s="138"/>
      <c r="BO1921" s="138"/>
    </row>
    <row r="1922" spans="1:67" x14ac:dyDescent="0.2">
      <c r="A1922" s="189"/>
      <c r="B1922" s="190"/>
      <c r="C1922" s="191"/>
      <c r="D1922" s="192"/>
      <c r="E1922" s="192"/>
      <c r="F1922" s="192"/>
      <c r="G1922" s="192"/>
      <c r="H1922" s="249"/>
      <c r="I1922" s="203"/>
      <c r="J1922" s="204"/>
      <c r="K1922" s="199">
        <f>SUM(K1905:K1921)</f>
        <v>7140100</v>
      </c>
      <c r="L1922" s="197"/>
      <c r="M1922" s="197"/>
      <c r="AV1922" s="138"/>
      <c r="AW1922" s="138"/>
      <c r="AX1922" s="138"/>
      <c r="AY1922" s="138"/>
      <c r="AZ1922" s="138"/>
      <c r="BA1922" s="138"/>
      <c r="BB1922" s="138"/>
      <c r="BC1922" s="138"/>
      <c r="BD1922" s="138"/>
      <c r="BE1922" s="138"/>
      <c r="BF1922" s="138"/>
      <c r="BG1922" s="138"/>
      <c r="BH1922" s="138"/>
      <c r="BI1922" s="138"/>
      <c r="BJ1922" s="138"/>
      <c r="BK1922" s="138"/>
      <c r="BL1922" s="138"/>
      <c r="BM1922" s="138"/>
      <c r="BN1922" s="138"/>
      <c r="BO1922" s="138"/>
    </row>
    <row r="1923" spans="1:67" x14ac:dyDescent="0.2">
      <c r="A1923" s="167">
        <v>453</v>
      </c>
      <c r="B1923" s="168" t="s">
        <v>2438</v>
      </c>
      <c r="C1923" s="169"/>
      <c r="D1923" s="250" t="s">
        <v>107</v>
      </c>
      <c r="E1923" s="170"/>
      <c r="F1923" s="170"/>
      <c r="G1923" s="170"/>
      <c r="H1923" s="170"/>
      <c r="I1923" s="171" t="s">
        <v>2439</v>
      </c>
      <c r="J1923" s="172" t="s">
        <v>2440</v>
      </c>
      <c r="K1923" s="173">
        <f>18000*10%</f>
        <v>1800</v>
      </c>
      <c r="L1923" s="174" t="s">
        <v>111</v>
      </c>
      <c r="M1923" s="175" t="s">
        <v>2441</v>
      </c>
      <c r="AV1923" s="138"/>
      <c r="AW1923" s="138"/>
      <c r="AX1923" s="138"/>
      <c r="AY1923" s="138"/>
      <c r="AZ1923" s="138"/>
      <c r="BA1923" s="138"/>
      <c r="BB1923" s="138"/>
      <c r="BC1923" s="138"/>
      <c r="BD1923" s="138"/>
      <c r="BE1923" s="138"/>
      <c r="BF1923" s="138"/>
      <c r="BG1923" s="138"/>
      <c r="BH1923" s="138"/>
      <c r="BI1923" s="138"/>
      <c r="BJ1923" s="138"/>
      <c r="BK1923" s="138"/>
      <c r="BL1923" s="138"/>
      <c r="BM1923" s="138"/>
      <c r="BN1923" s="138"/>
      <c r="BO1923" s="138"/>
    </row>
    <row r="1924" spans="1:67" x14ac:dyDescent="0.2">
      <c r="A1924" s="177"/>
      <c r="B1924" s="178"/>
      <c r="C1924" s="179"/>
      <c r="D1924" s="243"/>
      <c r="E1924" s="180"/>
      <c r="F1924" s="180"/>
      <c r="G1924" s="180"/>
      <c r="H1924" s="180"/>
      <c r="I1924" s="188" t="s">
        <v>2442</v>
      </c>
      <c r="J1924" s="187" t="s">
        <v>2440</v>
      </c>
      <c r="K1924" s="208">
        <f>18000*6%</f>
        <v>1080</v>
      </c>
      <c r="L1924" s="184"/>
      <c r="M1924" s="185"/>
      <c r="AV1924" s="138"/>
      <c r="AW1924" s="138"/>
      <c r="AX1924" s="138"/>
      <c r="AY1924" s="138"/>
      <c r="AZ1924" s="138"/>
      <c r="BA1924" s="138"/>
      <c r="BB1924" s="138"/>
      <c r="BC1924" s="138"/>
      <c r="BD1924" s="138"/>
      <c r="BE1924" s="138"/>
      <c r="BF1924" s="138"/>
      <c r="BG1924" s="138"/>
      <c r="BH1924" s="138"/>
      <c r="BI1924" s="138"/>
      <c r="BJ1924" s="138"/>
      <c r="BK1924" s="138"/>
      <c r="BL1924" s="138"/>
      <c r="BM1924" s="138"/>
      <c r="BN1924" s="138"/>
      <c r="BO1924" s="138"/>
    </row>
    <row r="1925" spans="1:67" x14ac:dyDescent="0.2">
      <c r="A1925" s="177"/>
      <c r="B1925" s="178"/>
      <c r="C1925" s="179"/>
      <c r="D1925" s="243"/>
      <c r="E1925" s="180"/>
      <c r="F1925" s="180"/>
      <c r="G1925" s="180"/>
      <c r="H1925" s="180"/>
      <c r="I1925" s="188" t="s">
        <v>1616</v>
      </c>
      <c r="J1925" s="182" t="s">
        <v>2440</v>
      </c>
      <c r="K1925" s="202">
        <f>18000*10%</f>
        <v>1800</v>
      </c>
      <c r="L1925" s="184"/>
      <c r="M1925" s="185"/>
      <c r="AV1925" s="138"/>
      <c r="AW1925" s="138"/>
      <c r="AX1925" s="138"/>
      <c r="AY1925" s="138"/>
      <c r="AZ1925" s="138"/>
      <c r="BA1925" s="138"/>
      <c r="BB1925" s="138"/>
      <c r="BC1925" s="138"/>
      <c r="BD1925" s="138"/>
      <c r="BE1925" s="138"/>
      <c r="BF1925" s="138"/>
      <c r="BG1925" s="138"/>
      <c r="BH1925" s="138"/>
      <c r="BI1925" s="138"/>
      <c r="BJ1925" s="138"/>
      <c r="BK1925" s="138"/>
      <c r="BL1925" s="138"/>
      <c r="BM1925" s="138"/>
      <c r="BN1925" s="138"/>
      <c r="BO1925" s="138"/>
    </row>
    <row r="1926" spans="1:67" x14ac:dyDescent="0.2">
      <c r="A1926" s="177"/>
      <c r="B1926" s="178"/>
      <c r="C1926" s="179"/>
      <c r="D1926" s="243"/>
      <c r="E1926" s="180"/>
      <c r="F1926" s="180"/>
      <c r="G1926" s="180"/>
      <c r="H1926" s="180"/>
      <c r="I1926" s="171" t="s">
        <v>2443</v>
      </c>
      <c r="J1926" s="182" t="s">
        <v>2440</v>
      </c>
      <c r="K1926" s="208">
        <f>18000*6%</f>
        <v>1080</v>
      </c>
      <c r="L1926" s="184"/>
      <c r="M1926" s="185"/>
      <c r="AV1926" s="138"/>
      <c r="AW1926" s="138"/>
      <c r="AX1926" s="138"/>
      <c r="AY1926" s="138"/>
      <c r="AZ1926" s="138"/>
      <c r="BA1926" s="138"/>
      <c r="BB1926" s="138"/>
      <c r="BC1926" s="138"/>
      <c r="BD1926" s="138"/>
      <c r="BE1926" s="138"/>
      <c r="BF1926" s="138"/>
      <c r="BG1926" s="138"/>
      <c r="BH1926" s="138"/>
      <c r="BI1926" s="138"/>
      <c r="BJ1926" s="138"/>
      <c r="BK1926" s="138"/>
      <c r="BL1926" s="138"/>
      <c r="BM1926" s="138"/>
      <c r="BN1926" s="138"/>
      <c r="BO1926" s="138"/>
    </row>
    <row r="1927" spans="1:67" ht="48" x14ac:dyDescent="0.2">
      <c r="A1927" s="177"/>
      <c r="B1927" s="178"/>
      <c r="C1927" s="179"/>
      <c r="D1927" s="243"/>
      <c r="E1927" s="180"/>
      <c r="F1927" s="180"/>
      <c r="G1927" s="180"/>
      <c r="H1927" s="180"/>
      <c r="I1927" s="181" t="s">
        <v>2444</v>
      </c>
      <c r="J1927" s="182" t="s">
        <v>2440</v>
      </c>
      <c r="K1927" s="229">
        <f>18000*6%</f>
        <v>1080</v>
      </c>
      <c r="L1927" s="184"/>
      <c r="M1927" s="185"/>
      <c r="AV1927" s="138"/>
      <c r="AW1927" s="138"/>
      <c r="AX1927" s="138"/>
      <c r="AY1927" s="138"/>
      <c r="AZ1927" s="138"/>
      <c r="BA1927" s="138"/>
      <c r="BB1927" s="138"/>
      <c r="BC1927" s="138"/>
      <c r="BD1927" s="138"/>
      <c r="BE1927" s="138"/>
      <c r="BF1927" s="138"/>
      <c r="BG1927" s="138"/>
      <c r="BH1927" s="138"/>
      <c r="BI1927" s="138"/>
      <c r="BJ1927" s="138"/>
      <c r="BK1927" s="138"/>
      <c r="BL1927" s="138"/>
      <c r="BM1927" s="138"/>
      <c r="BN1927" s="138"/>
      <c r="BO1927" s="138"/>
    </row>
    <row r="1928" spans="1:67" ht="48" x14ac:dyDescent="0.2">
      <c r="A1928" s="177"/>
      <c r="B1928" s="178"/>
      <c r="C1928" s="179"/>
      <c r="D1928" s="243"/>
      <c r="E1928" s="180"/>
      <c r="F1928" s="180"/>
      <c r="G1928" s="180"/>
      <c r="H1928" s="180"/>
      <c r="I1928" s="181" t="s">
        <v>2445</v>
      </c>
      <c r="J1928" s="182" t="s">
        <v>2440</v>
      </c>
      <c r="K1928" s="208">
        <f>18000*30%</f>
        <v>5400</v>
      </c>
      <c r="L1928" s="184"/>
      <c r="M1928" s="185"/>
      <c r="AV1928" s="138"/>
      <c r="AW1928" s="138"/>
      <c r="AX1928" s="138"/>
      <c r="AY1928" s="138"/>
      <c r="AZ1928" s="138"/>
      <c r="BA1928" s="138"/>
      <c r="BB1928" s="138"/>
      <c r="BC1928" s="138"/>
      <c r="BD1928" s="138"/>
      <c r="BE1928" s="138"/>
      <c r="BF1928" s="138"/>
      <c r="BG1928" s="138"/>
      <c r="BH1928" s="138"/>
      <c r="BI1928" s="138"/>
      <c r="BJ1928" s="138"/>
      <c r="BK1928" s="138"/>
      <c r="BL1928" s="138"/>
      <c r="BM1928" s="138"/>
      <c r="BN1928" s="138"/>
      <c r="BO1928" s="138"/>
    </row>
    <row r="1929" spans="1:67" ht="48" x14ac:dyDescent="0.2">
      <c r="A1929" s="177"/>
      <c r="B1929" s="178"/>
      <c r="C1929" s="179"/>
      <c r="D1929" s="243"/>
      <c r="E1929" s="180"/>
      <c r="F1929" s="180"/>
      <c r="G1929" s="180"/>
      <c r="H1929" s="180"/>
      <c r="I1929" s="188" t="s">
        <v>2446</v>
      </c>
      <c r="J1929" s="172" t="s">
        <v>664</v>
      </c>
      <c r="K1929" s="202">
        <f>18000*32%</f>
        <v>5760</v>
      </c>
      <c r="L1929" s="184"/>
      <c r="M1929" s="185"/>
      <c r="AV1929" s="138"/>
      <c r="AW1929" s="138"/>
      <c r="AX1929" s="138"/>
      <c r="AY1929" s="138"/>
      <c r="AZ1929" s="138"/>
      <c r="BA1929" s="138"/>
      <c r="BB1929" s="138"/>
      <c r="BC1929" s="138"/>
      <c r="BD1929" s="138"/>
      <c r="BE1929" s="138"/>
      <c r="BF1929" s="138"/>
      <c r="BG1929" s="138"/>
      <c r="BH1929" s="138"/>
      <c r="BI1929" s="138"/>
      <c r="BJ1929" s="138"/>
      <c r="BK1929" s="138"/>
      <c r="BL1929" s="138"/>
      <c r="BM1929" s="138"/>
      <c r="BN1929" s="138"/>
      <c r="BO1929" s="138"/>
    </row>
    <row r="1930" spans="1:67" x14ac:dyDescent="0.2">
      <c r="A1930" s="189"/>
      <c r="B1930" s="190"/>
      <c r="C1930" s="191"/>
      <c r="D1930" s="244"/>
      <c r="E1930" s="192"/>
      <c r="F1930" s="192"/>
      <c r="G1930" s="192"/>
      <c r="H1930" s="192"/>
      <c r="I1930" s="193"/>
      <c r="J1930" s="194"/>
      <c r="K1930" s="195">
        <f>SUM(K1923:K1929)</f>
        <v>18000</v>
      </c>
      <c r="L1930" s="196"/>
      <c r="M1930" s="197"/>
      <c r="AV1930" s="138"/>
      <c r="AW1930" s="138"/>
      <c r="AX1930" s="138"/>
      <c r="AY1930" s="138"/>
      <c r="AZ1930" s="138"/>
      <c r="BA1930" s="138"/>
      <c r="BB1930" s="138"/>
      <c r="BC1930" s="138"/>
      <c r="BD1930" s="138"/>
      <c r="BE1930" s="138"/>
      <c r="BF1930" s="138"/>
      <c r="BG1930" s="138"/>
      <c r="BH1930" s="138"/>
      <c r="BI1930" s="138"/>
      <c r="BJ1930" s="138"/>
      <c r="BK1930" s="138"/>
      <c r="BL1930" s="138"/>
      <c r="BM1930" s="138"/>
      <c r="BN1930" s="138"/>
      <c r="BO1930" s="138"/>
    </row>
    <row r="1931" spans="1:67" ht="31.5" customHeight="1" x14ac:dyDescent="0.2">
      <c r="A1931" s="231">
        <v>454</v>
      </c>
      <c r="B1931" s="253" t="s">
        <v>2447</v>
      </c>
      <c r="C1931" s="254" t="s">
        <v>2447</v>
      </c>
      <c r="D1931" s="255" t="s">
        <v>107</v>
      </c>
      <c r="E1931" s="256"/>
      <c r="F1931" s="256"/>
      <c r="G1931" s="256"/>
      <c r="H1931" s="257"/>
      <c r="I1931" s="193" t="s">
        <v>2448</v>
      </c>
      <c r="J1931" s="215" t="s">
        <v>998</v>
      </c>
      <c r="K1931" s="258">
        <v>7700</v>
      </c>
      <c r="L1931" s="259" t="s">
        <v>111</v>
      </c>
      <c r="M1931" s="215" t="s">
        <v>2449</v>
      </c>
      <c r="AV1931" s="138"/>
      <c r="AW1931" s="138"/>
      <c r="AX1931" s="138"/>
      <c r="AY1931" s="138"/>
      <c r="AZ1931" s="138"/>
      <c r="BA1931" s="138"/>
      <c r="BB1931" s="138"/>
      <c r="BC1931" s="138"/>
      <c r="BD1931" s="138"/>
      <c r="BE1931" s="138"/>
      <c r="BF1931" s="138"/>
      <c r="BG1931" s="138"/>
      <c r="BH1931" s="138"/>
      <c r="BI1931" s="138"/>
      <c r="BJ1931" s="138"/>
      <c r="BK1931" s="138"/>
      <c r="BL1931" s="138"/>
      <c r="BM1931" s="138"/>
      <c r="BN1931" s="138"/>
      <c r="BO1931" s="138"/>
    </row>
    <row r="1932" spans="1:67" s="267" customFormat="1" ht="78.75" customHeight="1" x14ac:dyDescent="0.2">
      <c r="A1932" s="292">
        <v>455</v>
      </c>
      <c r="B1932" s="298" t="s">
        <v>2450</v>
      </c>
      <c r="C1932" s="299"/>
      <c r="D1932" s="295" t="s">
        <v>107</v>
      </c>
      <c r="E1932" s="295"/>
      <c r="F1932" s="295"/>
      <c r="G1932" s="295"/>
      <c r="H1932" s="295"/>
      <c r="I1932" s="280" t="s">
        <v>2451</v>
      </c>
      <c r="J1932" s="281" t="s">
        <v>998</v>
      </c>
      <c r="K1932" s="282">
        <v>10000</v>
      </c>
      <c r="L1932" s="293" t="s">
        <v>111</v>
      </c>
      <c r="M1932" s="259" t="s">
        <v>2452</v>
      </c>
      <c r="N1932" s="138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  <c r="Y1932" s="138"/>
      <c r="Z1932" s="138"/>
      <c r="AA1932" s="138"/>
      <c r="AB1932" s="138"/>
      <c r="AC1932" s="138"/>
      <c r="AD1932" s="138"/>
      <c r="AE1932" s="138"/>
      <c r="AF1932" s="138"/>
      <c r="AG1932" s="138"/>
      <c r="AH1932" s="138"/>
      <c r="AI1932" s="138"/>
      <c r="AJ1932" s="138"/>
      <c r="AK1932" s="138"/>
      <c r="AL1932" s="138"/>
      <c r="AM1932" s="138"/>
      <c r="AN1932" s="138"/>
      <c r="AO1932" s="138"/>
      <c r="AP1932" s="138"/>
      <c r="AQ1932" s="138"/>
      <c r="AR1932" s="138"/>
      <c r="AS1932" s="138"/>
      <c r="AT1932" s="138"/>
      <c r="AU1932" s="138"/>
      <c r="AV1932" s="138"/>
      <c r="AW1932" s="138"/>
      <c r="AX1932" s="138"/>
      <c r="AY1932" s="138"/>
      <c r="AZ1932" s="138"/>
      <c r="BA1932" s="138"/>
      <c r="BB1932" s="138"/>
      <c r="BC1932" s="138"/>
      <c r="BD1932" s="138"/>
      <c r="BE1932" s="138"/>
      <c r="BF1932" s="138"/>
      <c r="BG1932" s="138"/>
      <c r="BH1932" s="138"/>
      <c r="BI1932" s="138"/>
      <c r="BJ1932" s="138"/>
      <c r="BK1932" s="138"/>
      <c r="BL1932" s="138"/>
      <c r="BM1932" s="138"/>
      <c r="BN1932" s="138"/>
      <c r="BO1932" s="138"/>
    </row>
    <row r="1933" spans="1:67" s="267" customFormat="1" ht="58.5" customHeight="1" x14ac:dyDescent="0.2">
      <c r="A1933" s="292">
        <v>456</v>
      </c>
      <c r="B1933" s="298" t="s">
        <v>2453</v>
      </c>
      <c r="C1933" s="299"/>
      <c r="D1933" s="295" t="s">
        <v>107</v>
      </c>
      <c r="E1933" s="295"/>
      <c r="F1933" s="295"/>
      <c r="G1933" s="295"/>
      <c r="H1933" s="295"/>
      <c r="I1933" s="280" t="s">
        <v>2454</v>
      </c>
      <c r="J1933" s="281" t="s">
        <v>998</v>
      </c>
      <c r="K1933" s="282">
        <v>7700</v>
      </c>
      <c r="L1933" s="293" t="s">
        <v>111</v>
      </c>
      <c r="M1933" s="259" t="s">
        <v>2455</v>
      </c>
      <c r="N1933" s="138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  <c r="Y1933" s="138"/>
      <c r="Z1933" s="138"/>
      <c r="AA1933" s="138"/>
      <c r="AB1933" s="138"/>
      <c r="AC1933" s="138"/>
      <c r="AD1933" s="138"/>
      <c r="AE1933" s="138"/>
      <c r="AF1933" s="138"/>
      <c r="AG1933" s="138"/>
      <c r="AH1933" s="138"/>
      <c r="AI1933" s="138"/>
      <c r="AJ1933" s="138"/>
      <c r="AK1933" s="138"/>
      <c r="AL1933" s="138"/>
      <c r="AM1933" s="138"/>
      <c r="AN1933" s="138"/>
      <c r="AO1933" s="138"/>
      <c r="AP1933" s="138"/>
      <c r="AQ1933" s="138"/>
      <c r="AR1933" s="138"/>
      <c r="AS1933" s="138"/>
      <c r="AT1933" s="138"/>
      <c r="AU1933" s="138"/>
      <c r="AV1933" s="138"/>
      <c r="AW1933" s="138"/>
      <c r="AX1933" s="138"/>
      <c r="AY1933" s="138"/>
      <c r="AZ1933" s="138"/>
      <c r="BA1933" s="138"/>
      <c r="BB1933" s="138"/>
      <c r="BC1933" s="138"/>
      <c r="BD1933" s="138"/>
      <c r="BE1933" s="138"/>
      <c r="BF1933" s="138"/>
      <c r="BG1933" s="138"/>
      <c r="BH1933" s="138"/>
      <c r="BI1933" s="138"/>
      <c r="BJ1933" s="138"/>
      <c r="BK1933" s="138"/>
      <c r="BL1933" s="138"/>
      <c r="BM1933" s="138"/>
      <c r="BN1933" s="138"/>
      <c r="BO1933" s="138"/>
    </row>
    <row r="1934" spans="1:67" s="267" customFormat="1" ht="21" customHeight="1" x14ac:dyDescent="0.2">
      <c r="A1934" s="167">
        <v>457</v>
      </c>
      <c r="B1934" s="301" t="s">
        <v>2456</v>
      </c>
      <c r="C1934" s="302"/>
      <c r="D1934" s="170" t="s">
        <v>107</v>
      </c>
      <c r="E1934" s="170"/>
      <c r="F1934" s="170"/>
      <c r="G1934" s="170"/>
      <c r="H1934" s="170"/>
      <c r="I1934" s="274" t="s">
        <v>2457</v>
      </c>
      <c r="J1934" s="275" t="s">
        <v>998</v>
      </c>
      <c r="K1934" s="276">
        <f>6300*50%</f>
        <v>3150</v>
      </c>
      <c r="L1934" s="175" t="s">
        <v>111</v>
      </c>
      <c r="M1934" s="175" t="s">
        <v>2458</v>
      </c>
      <c r="N1934" s="138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  <c r="Y1934" s="138"/>
      <c r="Z1934" s="138"/>
      <c r="AA1934" s="138"/>
      <c r="AB1934" s="138"/>
      <c r="AC1934" s="138"/>
      <c r="AD1934" s="138"/>
      <c r="AE1934" s="138"/>
      <c r="AF1934" s="138"/>
      <c r="AG1934" s="138"/>
      <c r="AH1934" s="138"/>
      <c r="AI1934" s="138"/>
      <c r="AJ1934" s="138"/>
      <c r="AK1934" s="138"/>
      <c r="AL1934" s="138"/>
      <c r="AM1934" s="138"/>
      <c r="AN1934" s="138"/>
      <c r="AO1934" s="138"/>
      <c r="AP1934" s="138"/>
      <c r="AQ1934" s="138"/>
      <c r="AR1934" s="138"/>
      <c r="AS1934" s="138"/>
      <c r="AT1934" s="138"/>
      <c r="AU1934" s="138"/>
      <c r="AV1934" s="138"/>
      <c r="AW1934" s="138"/>
      <c r="AX1934" s="138"/>
      <c r="AY1934" s="138"/>
      <c r="AZ1934" s="138"/>
      <c r="BA1934" s="138"/>
      <c r="BB1934" s="138"/>
      <c r="BC1934" s="138"/>
      <c r="BD1934" s="138"/>
      <c r="BE1934" s="138"/>
      <c r="BF1934" s="138"/>
      <c r="BG1934" s="138"/>
      <c r="BH1934" s="138"/>
      <c r="BI1934" s="138"/>
      <c r="BJ1934" s="138"/>
      <c r="BK1934" s="138"/>
      <c r="BL1934" s="138"/>
      <c r="BM1934" s="138"/>
      <c r="BN1934" s="138"/>
      <c r="BO1934" s="138"/>
    </row>
    <row r="1935" spans="1:67" s="267" customFormat="1" ht="21" customHeight="1" x14ac:dyDescent="0.2">
      <c r="A1935" s="177"/>
      <c r="B1935" s="286"/>
      <c r="C1935" s="287"/>
      <c r="D1935" s="180"/>
      <c r="E1935" s="180"/>
      <c r="F1935" s="180"/>
      <c r="G1935" s="180"/>
      <c r="H1935" s="180"/>
      <c r="I1935" s="188" t="s">
        <v>2459</v>
      </c>
      <c r="J1935" s="270" t="s">
        <v>274</v>
      </c>
      <c r="K1935" s="214">
        <f>6300*20%</f>
        <v>1260</v>
      </c>
      <c r="L1935" s="185"/>
      <c r="M1935" s="185"/>
      <c r="N1935" s="138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  <c r="Y1935" s="138"/>
      <c r="Z1935" s="138"/>
      <c r="AA1935" s="138"/>
      <c r="AB1935" s="138"/>
      <c r="AC1935" s="138"/>
      <c r="AD1935" s="138"/>
      <c r="AE1935" s="138"/>
      <c r="AF1935" s="138"/>
      <c r="AG1935" s="138"/>
      <c r="AH1935" s="138"/>
      <c r="AI1935" s="138"/>
      <c r="AJ1935" s="138"/>
      <c r="AK1935" s="138"/>
      <c r="AL1935" s="138"/>
      <c r="AM1935" s="138"/>
      <c r="AN1935" s="138"/>
      <c r="AO1935" s="138"/>
      <c r="AP1935" s="138"/>
      <c r="AQ1935" s="138"/>
      <c r="AR1935" s="138"/>
      <c r="AS1935" s="138"/>
      <c r="AT1935" s="138"/>
      <c r="AU1935" s="138"/>
      <c r="AV1935" s="138"/>
      <c r="AW1935" s="138"/>
      <c r="AX1935" s="138"/>
      <c r="AY1935" s="138"/>
      <c r="AZ1935" s="138"/>
      <c r="BA1935" s="138"/>
      <c r="BB1935" s="138"/>
      <c r="BC1935" s="138"/>
      <c r="BD1935" s="138"/>
      <c r="BE1935" s="138"/>
      <c r="BF1935" s="138"/>
      <c r="BG1935" s="138"/>
      <c r="BH1935" s="138"/>
      <c r="BI1935" s="138"/>
      <c r="BJ1935" s="138"/>
      <c r="BK1935" s="138"/>
      <c r="BL1935" s="138"/>
      <c r="BM1935" s="138"/>
      <c r="BN1935" s="138"/>
      <c r="BO1935" s="138"/>
    </row>
    <row r="1936" spans="1:67" s="267" customFormat="1" ht="21" customHeight="1" x14ac:dyDescent="0.2">
      <c r="A1936" s="177"/>
      <c r="B1936" s="286"/>
      <c r="C1936" s="287"/>
      <c r="D1936" s="180"/>
      <c r="E1936" s="180"/>
      <c r="F1936" s="180"/>
      <c r="G1936" s="180"/>
      <c r="H1936" s="180"/>
      <c r="I1936" s="188" t="s">
        <v>2460</v>
      </c>
      <c r="J1936" s="270" t="s">
        <v>998</v>
      </c>
      <c r="K1936" s="214">
        <f>6300*20%</f>
        <v>1260</v>
      </c>
      <c r="L1936" s="185"/>
      <c r="M1936" s="185"/>
      <c r="N1936" s="138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  <c r="Y1936" s="138"/>
      <c r="Z1936" s="138"/>
      <c r="AA1936" s="138"/>
      <c r="AB1936" s="138"/>
      <c r="AC1936" s="138"/>
      <c r="AD1936" s="138"/>
      <c r="AE1936" s="138"/>
      <c r="AF1936" s="138"/>
      <c r="AG1936" s="138"/>
      <c r="AH1936" s="138"/>
      <c r="AI1936" s="138"/>
      <c r="AJ1936" s="138"/>
      <c r="AK1936" s="138"/>
      <c r="AL1936" s="138"/>
      <c r="AM1936" s="138"/>
      <c r="AN1936" s="138"/>
      <c r="AO1936" s="138"/>
      <c r="AP1936" s="138"/>
      <c r="AQ1936" s="138"/>
      <c r="AR1936" s="138"/>
      <c r="AS1936" s="138"/>
      <c r="AT1936" s="138"/>
      <c r="AU1936" s="138"/>
      <c r="AV1936" s="138"/>
      <c r="AW1936" s="138"/>
      <c r="AX1936" s="138"/>
      <c r="AY1936" s="138"/>
      <c r="AZ1936" s="138"/>
      <c r="BA1936" s="138"/>
      <c r="BB1936" s="138"/>
      <c r="BC1936" s="138"/>
      <c r="BD1936" s="138"/>
      <c r="BE1936" s="138"/>
      <c r="BF1936" s="138"/>
      <c r="BG1936" s="138"/>
      <c r="BH1936" s="138"/>
      <c r="BI1936" s="138"/>
      <c r="BJ1936" s="138"/>
      <c r="BK1936" s="138"/>
      <c r="BL1936" s="138"/>
      <c r="BM1936" s="138"/>
      <c r="BN1936" s="138"/>
      <c r="BO1936" s="138"/>
    </row>
    <row r="1937" spans="1:67" s="267" customFormat="1" ht="21" customHeight="1" x14ac:dyDescent="0.2">
      <c r="A1937" s="177"/>
      <c r="B1937" s="286"/>
      <c r="C1937" s="287"/>
      <c r="D1937" s="180"/>
      <c r="E1937" s="180"/>
      <c r="F1937" s="180"/>
      <c r="G1937" s="180"/>
      <c r="H1937" s="180"/>
      <c r="I1937" s="188" t="s">
        <v>2461</v>
      </c>
      <c r="J1937" s="270" t="s">
        <v>998</v>
      </c>
      <c r="K1937" s="214">
        <f>6300*10%</f>
        <v>630</v>
      </c>
      <c r="L1937" s="185"/>
      <c r="M1937" s="185"/>
      <c r="N1937" s="138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  <c r="Y1937" s="138"/>
      <c r="Z1937" s="138"/>
      <c r="AA1937" s="138"/>
      <c r="AB1937" s="138"/>
      <c r="AC1937" s="138"/>
      <c r="AD1937" s="138"/>
      <c r="AE1937" s="138"/>
      <c r="AF1937" s="138"/>
      <c r="AG1937" s="138"/>
      <c r="AH1937" s="138"/>
      <c r="AI1937" s="138"/>
      <c r="AJ1937" s="138"/>
      <c r="AK1937" s="138"/>
      <c r="AL1937" s="138"/>
      <c r="AM1937" s="138"/>
      <c r="AN1937" s="138"/>
      <c r="AO1937" s="138"/>
      <c r="AP1937" s="138"/>
      <c r="AQ1937" s="138"/>
      <c r="AR1937" s="138"/>
      <c r="AS1937" s="138"/>
      <c r="AT1937" s="138"/>
      <c r="AU1937" s="138"/>
      <c r="AV1937" s="138"/>
      <c r="AW1937" s="138"/>
      <c r="AX1937" s="138"/>
      <c r="AY1937" s="138"/>
      <c r="AZ1937" s="138"/>
      <c r="BA1937" s="138"/>
      <c r="BB1937" s="138"/>
      <c r="BC1937" s="138"/>
      <c r="BD1937" s="138"/>
      <c r="BE1937" s="138"/>
      <c r="BF1937" s="138"/>
      <c r="BG1937" s="138"/>
      <c r="BH1937" s="138"/>
      <c r="BI1937" s="138"/>
      <c r="BJ1937" s="138"/>
      <c r="BK1937" s="138"/>
      <c r="BL1937" s="138"/>
      <c r="BM1937" s="138"/>
      <c r="BN1937" s="138"/>
      <c r="BO1937" s="138"/>
    </row>
    <row r="1938" spans="1:67" s="267" customFormat="1" ht="21" customHeight="1" x14ac:dyDescent="0.2">
      <c r="A1938" s="189"/>
      <c r="B1938" s="303"/>
      <c r="C1938" s="304"/>
      <c r="D1938" s="192"/>
      <c r="E1938" s="192"/>
      <c r="F1938" s="192"/>
      <c r="G1938" s="192"/>
      <c r="H1938" s="192"/>
      <c r="I1938" s="181"/>
      <c r="J1938" s="305"/>
      <c r="K1938" s="199">
        <f>SUM(K1934:K1937)</f>
        <v>6300</v>
      </c>
      <c r="L1938" s="197"/>
      <c r="M1938" s="197"/>
      <c r="N1938" s="138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  <c r="Y1938" s="138"/>
      <c r="Z1938" s="138"/>
      <c r="AA1938" s="138"/>
      <c r="AB1938" s="138"/>
      <c r="AC1938" s="138"/>
      <c r="AD1938" s="138"/>
      <c r="AE1938" s="138"/>
      <c r="AF1938" s="138"/>
      <c r="AG1938" s="138"/>
      <c r="AH1938" s="138"/>
      <c r="AI1938" s="138"/>
      <c r="AJ1938" s="138"/>
      <c r="AK1938" s="138"/>
      <c r="AL1938" s="138"/>
      <c r="AM1938" s="138"/>
      <c r="AN1938" s="138"/>
      <c r="AO1938" s="138"/>
      <c r="AP1938" s="138"/>
      <c r="AQ1938" s="138"/>
      <c r="AR1938" s="138"/>
      <c r="AS1938" s="138"/>
      <c r="AT1938" s="138"/>
      <c r="AU1938" s="138"/>
      <c r="AV1938" s="138"/>
      <c r="AW1938" s="138"/>
      <c r="AX1938" s="138"/>
      <c r="AY1938" s="138"/>
      <c r="AZ1938" s="138"/>
      <c r="BA1938" s="138"/>
      <c r="BB1938" s="138"/>
      <c r="BC1938" s="138"/>
      <c r="BD1938" s="138"/>
      <c r="BE1938" s="138"/>
      <c r="BF1938" s="138"/>
      <c r="BG1938" s="138"/>
      <c r="BH1938" s="138"/>
      <c r="BI1938" s="138"/>
      <c r="BJ1938" s="138"/>
      <c r="BK1938" s="138"/>
      <c r="BL1938" s="138"/>
      <c r="BM1938" s="138"/>
      <c r="BN1938" s="138"/>
      <c r="BO1938" s="138"/>
    </row>
    <row r="1939" spans="1:67" s="267" customFormat="1" ht="21" customHeight="1" x14ac:dyDescent="0.2">
      <c r="A1939" s="167">
        <v>458</v>
      </c>
      <c r="B1939" s="301" t="s">
        <v>2462</v>
      </c>
      <c r="C1939" s="302"/>
      <c r="D1939" s="170" t="s">
        <v>107</v>
      </c>
      <c r="E1939" s="170"/>
      <c r="F1939" s="170"/>
      <c r="G1939" s="170"/>
      <c r="H1939" s="170"/>
      <c r="I1939" s="217" t="s">
        <v>2463</v>
      </c>
      <c r="J1939" s="265" t="s">
        <v>998</v>
      </c>
      <c r="K1939" s="266">
        <f>7700*60%</f>
        <v>4620</v>
      </c>
      <c r="L1939" s="175" t="s">
        <v>111</v>
      </c>
      <c r="M1939" s="175" t="s">
        <v>2464</v>
      </c>
      <c r="N1939" s="138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  <c r="Y1939" s="138"/>
      <c r="Z1939" s="138"/>
      <c r="AA1939" s="138"/>
      <c r="AB1939" s="138"/>
      <c r="AC1939" s="138"/>
      <c r="AD1939" s="138"/>
      <c r="AE1939" s="138"/>
      <c r="AF1939" s="138"/>
      <c r="AG1939" s="138"/>
      <c r="AH1939" s="138"/>
      <c r="AI1939" s="138"/>
      <c r="AJ1939" s="138"/>
      <c r="AK1939" s="138"/>
      <c r="AL1939" s="138"/>
      <c r="AM1939" s="138"/>
      <c r="AN1939" s="138"/>
      <c r="AO1939" s="138"/>
      <c r="AP1939" s="138"/>
      <c r="AQ1939" s="138"/>
      <c r="AR1939" s="138"/>
      <c r="AS1939" s="138"/>
      <c r="AT1939" s="138"/>
      <c r="AU1939" s="138"/>
      <c r="AV1939" s="138"/>
      <c r="AW1939" s="138"/>
      <c r="AX1939" s="138"/>
      <c r="AY1939" s="138"/>
      <c r="AZ1939" s="138"/>
      <c r="BA1939" s="138"/>
      <c r="BB1939" s="138"/>
      <c r="BC1939" s="138"/>
      <c r="BD1939" s="138"/>
      <c r="BE1939" s="138"/>
      <c r="BF1939" s="138"/>
      <c r="BG1939" s="138"/>
      <c r="BH1939" s="138"/>
      <c r="BI1939" s="138"/>
      <c r="BJ1939" s="138"/>
      <c r="BK1939" s="138"/>
      <c r="BL1939" s="138"/>
      <c r="BM1939" s="138"/>
      <c r="BN1939" s="138"/>
      <c r="BO1939" s="138"/>
    </row>
    <row r="1940" spans="1:67" s="267" customFormat="1" ht="21" customHeight="1" x14ac:dyDescent="0.2">
      <c r="A1940" s="177"/>
      <c r="B1940" s="286"/>
      <c r="C1940" s="287"/>
      <c r="D1940" s="180"/>
      <c r="E1940" s="180"/>
      <c r="F1940" s="180"/>
      <c r="G1940" s="180"/>
      <c r="H1940" s="180"/>
      <c r="I1940" s="188" t="s">
        <v>2465</v>
      </c>
      <c r="J1940" s="270" t="s">
        <v>998</v>
      </c>
      <c r="K1940" s="214">
        <f>7700*40%</f>
        <v>3080</v>
      </c>
      <c r="L1940" s="185"/>
      <c r="M1940" s="185"/>
      <c r="N1940" s="138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  <c r="Y1940" s="138"/>
      <c r="Z1940" s="138"/>
      <c r="AA1940" s="138"/>
      <c r="AB1940" s="138"/>
      <c r="AC1940" s="138"/>
      <c r="AD1940" s="138"/>
      <c r="AE1940" s="138"/>
      <c r="AF1940" s="138"/>
      <c r="AG1940" s="138"/>
      <c r="AH1940" s="138"/>
      <c r="AI1940" s="138"/>
      <c r="AJ1940" s="138"/>
      <c r="AK1940" s="138"/>
      <c r="AL1940" s="138"/>
      <c r="AM1940" s="138"/>
      <c r="AN1940" s="138"/>
      <c r="AO1940" s="138"/>
      <c r="AP1940" s="138"/>
      <c r="AQ1940" s="138"/>
      <c r="AR1940" s="138"/>
      <c r="AS1940" s="138"/>
      <c r="AT1940" s="138"/>
      <c r="AU1940" s="138"/>
      <c r="AV1940" s="138"/>
      <c r="AW1940" s="138"/>
      <c r="AX1940" s="138"/>
      <c r="AY1940" s="138"/>
      <c r="AZ1940" s="138"/>
      <c r="BA1940" s="138"/>
      <c r="BB1940" s="138"/>
      <c r="BC1940" s="138"/>
      <c r="BD1940" s="138"/>
      <c r="BE1940" s="138"/>
      <c r="BF1940" s="138"/>
      <c r="BG1940" s="138"/>
      <c r="BH1940" s="138"/>
      <c r="BI1940" s="138"/>
      <c r="BJ1940" s="138"/>
      <c r="BK1940" s="138"/>
      <c r="BL1940" s="138"/>
      <c r="BM1940" s="138"/>
      <c r="BN1940" s="138"/>
      <c r="BO1940" s="138"/>
    </row>
    <row r="1941" spans="1:67" s="267" customFormat="1" ht="21" customHeight="1" x14ac:dyDescent="0.2">
      <c r="A1941" s="189"/>
      <c r="B1941" s="303"/>
      <c r="C1941" s="304"/>
      <c r="D1941" s="192"/>
      <c r="E1941" s="192"/>
      <c r="F1941" s="192"/>
      <c r="G1941" s="192"/>
      <c r="H1941" s="192"/>
      <c r="I1941" s="203"/>
      <c r="J1941" s="273"/>
      <c r="K1941" s="245">
        <f>SUM(K1939:K1940)</f>
        <v>7700</v>
      </c>
      <c r="L1941" s="197"/>
      <c r="M1941" s="197"/>
      <c r="N1941" s="138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  <c r="Y1941" s="138"/>
      <c r="Z1941" s="138"/>
      <c r="AA1941" s="138"/>
      <c r="AB1941" s="138"/>
      <c r="AC1941" s="138"/>
      <c r="AD1941" s="138"/>
      <c r="AE1941" s="138"/>
      <c r="AF1941" s="138"/>
      <c r="AG1941" s="138"/>
      <c r="AH1941" s="138"/>
      <c r="AI1941" s="138"/>
      <c r="AJ1941" s="138"/>
      <c r="AK1941" s="138"/>
      <c r="AL1941" s="138"/>
      <c r="AM1941" s="138"/>
      <c r="AN1941" s="138"/>
      <c r="AO1941" s="138"/>
      <c r="AP1941" s="138"/>
      <c r="AQ1941" s="138"/>
      <c r="AR1941" s="138"/>
      <c r="AS1941" s="138"/>
      <c r="AT1941" s="138"/>
      <c r="AU1941" s="138"/>
      <c r="AV1941" s="138"/>
      <c r="AW1941" s="138"/>
      <c r="AX1941" s="138"/>
      <c r="AY1941" s="138"/>
      <c r="AZ1941" s="138"/>
      <c r="BA1941" s="138"/>
      <c r="BB1941" s="138"/>
      <c r="BC1941" s="138"/>
      <c r="BD1941" s="138"/>
      <c r="BE1941" s="138"/>
      <c r="BF1941" s="138"/>
      <c r="BG1941" s="138"/>
      <c r="BH1941" s="138"/>
      <c r="BI1941" s="138"/>
      <c r="BJ1941" s="138"/>
      <c r="BK1941" s="138"/>
      <c r="BL1941" s="138"/>
      <c r="BM1941" s="138"/>
      <c r="BN1941" s="138"/>
      <c r="BO1941" s="138"/>
    </row>
    <row r="1942" spans="1:67" x14ac:dyDescent="0.2">
      <c r="A1942" s="167">
        <v>459</v>
      </c>
      <c r="B1942" s="168" t="s">
        <v>2466</v>
      </c>
      <c r="C1942" s="169"/>
      <c r="D1942" s="170" t="s">
        <v>163</v>
      </c>
      <c r="E1942" s="170"/>
      <c r="F1942" s="170"/>
      <c r="G1942" s="170"/>
      <c r="H1942" s="246"/>
      <c r="I1942" s="217" t="s">
        <v>2467</v>
      </c>
      <c r="J1942" s="275" t="s">
        <v>303</v>
      </c>
      <c r="K1942" s="266">
        <f>100500*70%</f>
        <v>70350</v>
      </c>
      <c r="L1942" s="169" t="s">
        <v>166</v>
      </c>
      <c r="M1942" s="175" t="s">
        <v>2468</v>
      </c>
      <c r="AV1942" s="138"/>
      <c r="AW1942" s="138"/>
      <c r="AX1942" s="138"/>
      <c r="AY1942" s="138"/>
      <c r="AZ1942" s="138"/>
      <c r="BA1942" s="138"/>
      <c r="BB1942" s="138"/>
      <c r="BC1942" s="138"/>
      <c r="BD1942" s="138"/>
      <c r="BE1942" s="138"/>
      <c r="BF1942" s="138"/>
      <c r="BG1942" s="138"/>
      <c r="BH1942" s="138"/>
      <c r="BI1942" s="138"/>
      <c r="BJ1942" s="138"/>
      <c r="BK1942" s="138"/>
      <c r="BL1942" s="138"/>
      <c r="BM1942" s="138"/>
      <c r="BN1942" s="138"/>
      <c r="BO1942" s="138"/>
    </row>
    <row r="1943" spans="1:67" x14ac:dyDescent="0.2">
      <c r="A1943" s="177"/>
      <c r="B1943" s="178"/>
      <c r="C1943" s="179"/>
      <c r="D1943" s="180"/>
      <c r="E1943" s="180"/>
      <c r="F1943" s="180"/>
      <c r="G1943" s="180"/>
      <c r="H1943" s="248"/>
      <c r="I1943" s="188" t="s">
        <v>2469</v>
      </c>
      <c r="J1943" s="270" t="s">
        <v>303</v>
      </c>
      <c r="K1943" s="214">
        <f t="shared" ref="K1943:K1948" si="41">100500*5%</f>
        <v>5025</v>
      </c>
      <c r="L1943" s="179"/>
      <c r="M1943" s="185"/>
      <c r="AV1943" s="138"/>
      <c r="AW1943" s="138"/>
      <c r="AX1943" s="138"/>
      <c r="AY1943" s="138"/>
      <c r="AZ1943" s="138"/>
      <c r="BA1943" s="138"/>
      <c r="BB1943" s="138"/>
      <c r="BC1943" s="138"/>
      <c r="BD1943" s="138"/>
      <c r="BE1943" s="138"/>
      <c r="BF1943" s="138"/>
      <c r="BG1943" s="138"/>
      <c r="BH1943" s="138"/>
      <c r="BI1943" s="138"/>
      <c r="BJ1943" s="138"/>
      <c r="BK1943" s="138"/>
      <c r="BL1943" s="138"/>
      <c r="BM1943" s="138"/>
      <c r="BN1943" s="138"/>
      <c r="BO1943" s="138"/>
    </row>
    <row r="1944" spans="1:67" x14ac:dyDescent="0.2">
      <c r="A1944" s="177"/>
      <c r="B1944" s="178"/>
      <c r="C1944" s="179"/>
      <c r="D1944" s="180"/>
      <c r="E1944" s="180"/>
      <c r="F1944" s="180"/>
      <c r="G1944" s="180"/>
      <c r="H1944" s="248"/>
      <c r="I1944" s="188" t="s">
        <v>2470</v>
      </c>
      <c r="J1944" s="270" t="s">
        <v>303</v>
      </c>
      <c r="K1944" s="214">
        <f t="shared" si="41"/>
        <v>5025</v>
      </c>
      <c r="L1944" s="179"/>
      <c r="M1944" s="185"/>
      <c r="AV1944" s="138"/>
      <c r="AW1944" s="138"/>
      <c r="AX1944" s="138"/>
      <c r="AY1944" s="138"/>
      <c r="AZ1944" s="138"/>
      <c r="BA1944" s="138"/>
      <c r="BB1944" s="138"/>
      <c r="BC1944" s="138"/>
      <c r="BD1944" s="138"/>
      <c r="BE1944" s="138"/>
      <c r="BF1944" s="138"/>
      <c r="BG1944" s="138"/>
      <c r="BH1944" s="138"/>
      <c r="BI1944" s="138"/>
      <c r="BJ1944" s="138"/>
      <c r="BK1944" s="138"/>
      <c r="BL1944" s="138"/>
      <c r="BM1944" s="138"/>
      <c r="BN1944" s="138"/>
      <c r="BO1944" s="138"/>
    </row>
    <row r="1945" spans="1:67" x14ac:dyDescent="0.2">
      <c r="A1945" s="177"/>
      <c r="B1945" s="178"/>
      <c r="C1945" s="179"/>
      <c r="D1945" s="180"/>
      <c r="E1945" s="180"/>
      <c r="F1945" s="180"/>
      <c r="G1945" s="180"/>
      <c r="H1945" s="248"/>
      <c r="I1945" s="188" t="s">
        <v>2471</v>
      </c>
      <c r="J1945" s="270" t="s">
        <v>303</v>
      </c>
      <c r="K1945" s="214">
        <f t="shared" si="41"/>
        <v>5025</v>
      </c>
      <c r="L1945" s="179"/>
      <c r="M1945" s="185"/>
      <c r="AV1945" s="138"/>
      <c r="AW1945" s="138"/>
      <c r="AX1945" s="138"/>
      <c r="AY1945" s="138"/>
      <c r="AZ1945" s="138"/>
      <c r="BA1945" s="138"/>
      <c r="BB1945" s="138"/>
      <c r="BC1945" s="138"/>
      <c r="BD1945" s="138"/>
      <c r="BE1945" s="138"/>
      <c r="BF1945" s="138"/>
      <c r="BG1945" s="138"/>
      <c r="BH1945" s="138"/>
      <c r="BI1945" s="138"/>
      <c r="BJ1945" s="138"/>
      <c r="BK1945" s="138"/>
      <c r="BL1945" s="138"/>
      <c r="BM1945" s="138"/>
      <c r="BN1945" s="138"/>
      <c r="BO1945" s="138"/>
    </row>
    <row r="1946" spans="1:67" x14ac:dyDescent="0.2">
      <c r="A1946" s="177"/>
      <c r="B1946" s="178"/>
      <c r="C1946" s="179"/>
      <c r="D1946" s="180"/>
      <c r="E1946" s="180"/>
      <c r="F1946" s="180"/>
      <c r="G1946" s="180"/>
      <c r="H1946" s="248"/>
      <c r="I1946" s="188" t="s">
        <v>2472</v>
      </c>
      <c r="J1946" s="270" t="s">
        <v>303</v>
      </c>
      <c r="K1946" s="214">
        <f t="shared" si="41"/>
        <v>5025</v>
      </c>
      <c r="L1946" s="179"/>
      <c r="M1946" s="185"/>
      <c r="AV1946" s="138"/>
      <c r="AW1946" s="138"/>
      <c r="AX1946" s="138"/>
      <c r="AY1946" s="138"/>
      <c r="AZ1946" s="138"/>
      <c r="BA1946" s="138"/>
      <c r="BB1946" s="138"/>
      <c r="BC1946" s="138"/>
      <c r="BD1946" s="138"/>
      <c r="BE1946" s="138"/>
      <c r="BF1946" s="138"/>
      <c r="BG1946" s="138"/>
      <c r="BH1946" s="138"/>
      <c r="BI1946" s="138"/>
      <c r="BJ1946" s="138"/>
      <c r="BK1946" s="138"/>
      <c r="BL1946" s="138"/>
      <c r="BM1946" s="138"/>
      <c r="BN1946" s="138"/>
      <c r="BO1946" s="138"/>
    </row>
    <row r="1947" spans="1:67" x14ac:dyDescent="0.2">
      <c r="A1947" s="177"/>
      <c r="B1947" s="178"/>
      <c r="C1947" s="179"/>
      <c r="D1947" s="180"/>
      <c r="E1947" s="180"/>
      <c r="F1947" s="180"/>
      <c r="G1947" s="180"/>
      <c r="H1947" s="248"/>
      <c r="I1947" s="188" t="s">
        <v>2473</v>
      </c>
      <c r="J1947" s="270" t="s">
        <v>303</v>
      </c>
      <c r="K1947" s="214">
        <f t="shared" si="41"/>
        <v>5025</v>
      </c>
      <c r="L1947" s="179"/>
      <c r="M1947" s="185"/>
      <c r="AV1947" s="138"/>
      <c r="AW1947" s="138"/>
      <c r="AX1947" s="138"/>
      <c r="AY1947" s="138"/>
      <c r="AZ1947" s="138"/>
      <c r="BA1947" s="138"/>
      <c r="BB1947" s="138"/>
      <c r="BC1947" s="138"/>
      <c r="BD1947" s="138"/>
      <c r="BE1947" s="138"/>
      <c r="BF1947" s="138"/>
      <c r="BG1947" s="138"/>
      <c r="BH1947" s="138"/>
      <c r="BI1947" s="138"/>
      <c r="BJ1947" s="138"/>
      <c r="BK1947" s="138"/>
      <c r="BL1947" s="138"/>
      <c r="BM1947" s="138"/>
      <c r="BN1947" s="138"/>
      <c r="BO1947" s="138"/>
    </row>
    <row r="1948" spans="1:67" x14ac:dyDescent="0.2">
      <c r="A1948" s="177"/>
      <c r="B1948" s="178"/>
      <c r="C1948" s="179"/>
      <c r="D1948" s="180"/>
      <c r="E1948" s="180"/>
      <c r="F1948" s="180"/>
      <c r="G1948" s="180"/>
      <c r="H1948" s="248"/>
      <c r="I1948" s="188" t="s">
        <v>2474</v>
      </c>
      <c r="J1948" s="270" t="s">
        <v>303</v>
      </c>
      <c r="K1948" s="214">
        <f t="shared" si="41"/>
        <v>5025</v>
      </c>
      <c r="L1948" s="179"/>
      <c r="M1948" s="185"/>
      <c r="AV1948" s="138"/>
      <c r="AW1948" s="138"/>
      <c r="AX1948" s="138"/>
      <c r="AY1948" s="138"/>
      <c r="AZ1948" s="138"/>
      <c r="BA1948" s="138"/>
      <c r="BB1948" s="138"/>
      <c r="BC1948" s="138"/>
      <c r="BD1948" s="138"/>
      <c r="BE1948" s="138"/>
      <c r="BF1948" s="138"/>
      <c r="BG1948" s="138"/>
      <c r="BH1948" s="138"/>
      <c r="BI1948" s="138"/>
      <c r="BJ1948" s="138"/>
      <c r="BK1948" s="138"/>
      <c r="BL1948" s="138"/>
      <c r="BM1948" s="138"/>
      <c r="BN1948" s="138"/>
      <c r="BO1948" s="138"/>
    </row>
    <row r="1949" spans="1:67" x14ac:dyDescent="0.2">
      <c r="A1949" s="189"/>
      <c r="B1949" s="190"/>
      <c r="C1949" s="191"/>
      <c r="D1949" s="192"/>
      <c r="E1949" s="192"/>
      <c r="F1949" s="192"/>
      <c r="G1949" s="192"/>
      <c r="H1949" s="249"/>
      <c r="I1949" s="181"/>
      <c r="J1949" s="204"/>
      <c r="K1949" s="199">
        <f>SUM(K1942:K1948)</f>
        <v>100500</v>
      </c>
      <c r="L1949" s="191"/>
      <c r="M1949" s="197"/>
      <c r="AV1949" s="138"/>
      <c r="AW1949" s="138"/>
      <c r="AX1949" s="138"/>
      <c r="AY1949" s="138"/>
      <c r="AZ1949" s="138"/>
      <c r="BA1949" s="138"/>
      <c r="BB1949" s="138"/>
      <c r="BC1949" s="138"/>
      <c r="BD1949" s="138"/>
      <c r="BE1949" s="138"/>
      <c r="BF1949" s="138"/>
      <c r="BG1949" s="138"/>
      <c r="BH1949" s="138"/>
      <c r="BI1949" s="138"/>
      <c r="BJ1949" s="138"/>
      <c r="BK1949" s="138"/>
      <c r="BL1949" s="138"/>
      <c r="BM1949" s="138"/>
      <c r="BN1949" s="138"/>
      <c r="BO1949" s="138"/>
    </row>
    <row r="1950" spans="1:67" x14ac:dyDescent="0.2">
      <c r="A1950" s="167">
        <v>460</v>
      </c>
      <c r="B1950" s="168" t="s">
        <v>2475</v>
      </c>
      <c r="C1950" s="169"/>
      <c r="D1950" s="170" t="s">
        <v>25</v>
      </c>
      <c r="E1950" s="170"/>
      <c r="F1950" s="170"/>
      <c r="G1950" s="170"/>
      <c r="H1950" s="246"/>
      <c r="I1950" s="217" t="s">
        <v>2476</v>
      </c>
      <c r="J1950" s="275" t="s">
        <v>303</v>
      </c>
      <c r="K1950" s="451">
        <f t="shared" ref="K1950:K1954" si="42">2800000*20%</f>
        <v>560000</v>
      </c>
      <c r="L1950" s="169" t="s">
        <v>1655</v>
      </c>
      <c r="M1950" s="175" t="s">
        <v>2477</v>
      </c>
      <c r="AV1950" s="138"/>
      <c r="AW1950" s="138"/>
      <c r="AX1950" s="138"/>
      <c r="AY1950" s="138"/>
      <c r="AZ1950" s="138"/>
      <c r="BA1950" s="138"/>
      <c r="BB1950" s="138"/>
      <c r="BC1950" s="138"/>
      <c r="BD1950" s="138"/>
      <c r="BE1950" s="138"/>
      <c r="BF1950" s="138"/>
      <c r="BG1950" s="138"/>
      <c r="BH1950" s="138"/>
      <c r="BI1950" s="138"/>
      <c r="BJ1950" s="138"/>
      <c r="BK1950" s="138"/>
      <c r="BL1950" s="138"/>
      <c r="BM1950" s="138"/>
      <c r="BN1950" s="138"/>
      <c r="BO1950" s="138"/>
    </row>
    <row r="1951" spans="1:67" x14ac:dyDescent="0.2">
      <c r="A1951" s="177"/>
      <c r="B1951" s="178"/>
      <c r="C1951" s="179"/>
      <c r="D1951" s="180"/>
      <c r="E1951" s="180"/>
      <c r="F1951" s="180"/>
      <c r="G1951" s="180"/>
      <c r="H1951" s="248"/>
      <c r="I1951" s="188" t="s">
        <v>2478</v>
      </c>
      <c r="J1951" s="270" t="s">
        <v>303</v>
      </c>
      <c r="K1951" s="452">
        <f t="shared" si="42"/>
        <v>560000</v>
      </c>
      <c r="L1951" s="179"/>
      <c r="M1951" s="185"/>
      <c r="AV1951" s="138"/>
      <c r="AW1951" s="138"/>
      <c r="AX1951" s="138"/>
      <c r="AY1951" s="138"/>
      <c r="AZ1951" s="138"/>
      <c r="BA1951" s="138"/>
      <c r="BB1951" s="138"/>
      <c r="BC1951" s="138"/>
      <c r="BD1951" s="138"/>
      <c r="BE1951" s="138"/>
      <c r="BF1951" s="138"/>
      <c r="BG1951" s="138"/>
      <c r="BH1951" s="138"/>
      <c r="BI1951" s="138"/>
      <c r="BJ1951" s="138"/>
      <c r="BK1951" s="138"/>
      <c r="BL1951" s="138"/>
      <c r="BM1951" s="138"/>
      <c r="BN1951" s="138"/>
      <c r="BO1951" s="138"/>
    </row>
    <row r="1952" spans="1:67" x14ac:dyDescent="0.2">
      <c r="A1952" s="177"/>
      <c r="B1952" s="178"/>
      <c r="C1952" s="179"/>
      <c r="D1952" s="180"/>
      <c r="E1952" s="180"/>
      <c r="F1952" s="180"/>
      <c r="G1952" s="180"/>
      <c r="H1952" s="248"/>
      <c r="I1952" s="188" t="s">
        <v>2479</v>
      </c>
      <c r="J1952" s="270" t="s">
        <v>303</v>
      </c>
      <c r="K1952" s="452">
        <f t="shared" si="42"/>
        <v>560000</v>
      </c>
      <c r="L1952" s="179"/>
      <c r="M1952" s="185"/>
      <c r="AV1952" s="138"/>
      <c r="AW1952" s="138"/>
      <c r="AX1952" s="138"/>
      <c r="AY1952" s="138"/>
      <c r="AZ1952" s="138"/>
      <c r="BA1952" s="138"/>
      <c r="BB1952" s="138"/>
      <c r="BC1952" s="138"/>
      <c r="BD1952" s="138"/>
      <c r="BE1952" s="138"/>
      <c r="BF1952" s="138"/>
      <c r="BG1952" s="138"/>
      <c r="BH1952" s="138"/>
      <c r="BI1952" s="138"/>
      <c r="BJ1952" s="138"/>
      <c r="BK1952" s="138"/>
      <c r="BL1952" s="138"/>
      <c r="BM1952" s="138"/>
      <c r="BN1952" s="138"/>
      <c r="BO1952" s="138"/>
    </row>
    <row r="1953" spans="1:67" x14ac:dyDescent="0.2">
      <c r="A1953" s="177"/>
      <c r="B1953" s="178"/>
      <c r="C1953" s="179"/>
      <c r="D1953" s="180"/>
      <c r="E1953" s="180"/>
      <c r="F1953" s="180"/>
      <c r="G1953" s="180"/>
      <c r="H1953" s="248"/>
      <c r="I1953" s="188" t="s">
        <v>2480</v>
      </c>
      <c r="J1953" s="270" t="s">
        <v>303</v>
      </c>
      <c r="K1953" s="452">
        <f t="shared" si="42"/>
        <v>560000</v>
      </c>
      <c r="L1953" s="179"/>
      <c r="M1953" s="185"/>
      <c r="AV1953" s="138"/>
      <c r="AW1953" s="138"/>
      <c r="AX1953" s="138"/>
      <c r="AY1953" s="138"/>
      <c r="AZ1953" s="138"/>
      <c r="BA1953" s="138"/>
      <c r="BB1953" s="138"/>
      <c r="BC1953" s="138"/>
      <c r="BD1953" s="138"/>
      <c r="BE1953" s="138"/>
      <c r="BF1953" s="138"/>
      <c r="BG1953" s="138"/>
      <c r="BH1953" s="138"/>
      <c r="BI1953" s="138"/>
      <c r="BJ1953" s="138"/>
      <c r="BK1953" s="138"/>
      <c r="BL1953" s="138"/>
      <c r="BM1953" s="138"/>
      <c r="BN1953" s="138"/>
      <c r="BO1953" s="138"/>
    </row>
    <row r="1954" spans="1:67" x14ac:dyDescent="0.2">
      <c r="A1954" s="177"/>
      <c r="B1954" s="178"/>
      <c r="C1954" s="179"/>
      <c r="D1954" s="180"/>
      <c r="E1954" s="180"/>
      <c r="F1954" s="180"/>
      <c r="G1954" s="180"/>
      <c r="H1954" s="248"/>
      <c r="I1954" s="188" t="s">
        <v>2481</v>
      </c>
      <c r="J1954" s="270" t="s">
        <v>303</v>
      </c>
      <c r="K1954" s="452">
        <f t="shared" si="42"/>
        <v>560000</v>
      </c>
      <c r="L1954" s="179"/>
      <c r="M1954" s="185"/>
      <c r="AV1954" s="138"/>
      <c r="AW1954" s="138"/>
      <c r="AX1954" s="138"/>
      <c r="AY1954" s="138"/>
      <c r="AZ1954" s="138"/>
      <c r="BA1954" s="138"/>
      <c r="BB1954" s="138"/>
      <c r="BC1954" s="138"/>
      <c r="BD1954" s="138"/>
      <c r="BE1954" s="138"/>
      <c r="BF1954" s="138"/>
      <c r="BG1954" s="138"/>
      <c r="BH1954" s="138"/>
      <c r="BI1954" s="138"/>
      <c r="BJ1954" s="138"/>
      <c r="BK1954" s="138"/>
      <c r="BL1954" s="138"/>
      <c r="BM1954" s="138"/>
      <c r="BN1954" s="138"/>
      <c r="BO1954" s="138"/>
    </row>
    <row r="1955" spans="1:67" x14ac:dyDescent="0.2">
      <c r="A1955" s="189"/>
      <c r="B1955" s="190"/>
      <c r="C1955" s="191"/>
      <c r="D1955" s="192"/>
      <c r="E1955" s="192"/>
      <c r="F1955" s="192"/>
      <c r="G1955" s="192"/>
      <c r="H1955" s="249"/>
      <c r="I1955" s="203"/>
      <c r="J1955" s="305"/>
      <c r="K1955" s="199">
        <f>SUM(K1950:K1954)</f>
        <v>2800000</v>
      </c>
      <c r="L1955" s="191"/>
      <c r="M1955" s="197"/>
      <c r="AV1955" s="138"/>
      <c r="AW1955" s="138"/>
      <c r="AX1955" s="138"/>
      <c r="AY1955" s="138"/>
      <c r="AZ1955" s="138"/>
      <c r="BA1955" s="138"/>
      <c r="BB1955" s="138"/>
      <c r="BC1955" s="138"/>
      <c r="BD1955" s="138"/>
      <c r="BE1955" s="138"/>
      <c r="BF1955" s="138"/>
      <c r="BG1955" s="138"/>
      <c r="BH1955" s="138"/>
      <c r="BI1955" s="138"/>
      <c r="BJ1955" s="138"/>
      <c r="BK1955" s="138"/>
      <c r="BL1955" s="138"/>
      <c r="BM1955" s="138"/>
      <c r="BN1955" s="138"/>
      <c r="BO1955" s="138"/>
    </row>
    <row r="1956" spans="1:67" ht="69.75" customHeight="1" x14ac:dyDescent="0.2">
      <c r="A1956" s="231">
        <v>461</v>
      </c>
      <c r="B1956" s="253" t="s">
        <v>2482</v>
      </c>
      <c r="C1956" s="254" t="s">
        <v>2482</v>
      </c>
      <c r="D1956" s="255" t="s">
        <v>107</v>
      </c>
      <c r="E1956" s="256"/>
      <c r="F1956" s="256"/>
      <c r="G1956" s="256"/>
      <c r="H1956" s="257"/>
      <c r="I1956" s="193" t="s">
        <v>2483</v>
      </c>
      <c r="J1956" s="318" t="s">
        <v>303</v>
      </c>
      <c r="K1956" s="258">
        <v>11000</v>
      </c>
      <c r="L1956" s="259" t="s">
        <v>111</v>
      </c>
      <c r="M1956" s="215" t="s">
        <v>2484</v>
      </c>
      <c r="AV1956" s="138"/>
      <c r="AW1956" s="138"/>
      <c r="AX1956" s="138"/>
      <c r="AY1956" s="138"/>
      <c r="AZ1956" s="138"/>
      <c r="BA1956" s="138"/>
      <c r="BB1956" s="138"/>
      <c r="BC1956" s="138"/>
      <c r="BD1956" s="138"/>
      <c r="BE1956" s="138"/>
      <c r="BF1956" s="138"/>
      <c r="BG1956" s="138"/>
      <c r="BH1956" s="138"/>
      <c r="BI1956" s="138"/>
      <c r="BJ1956" s="138"/>
      <c r="BK1956" s="138"/>
      <c r="BL1956" s="138"/>
      <c r="BM1956" s="138"/>
      <c r="BN1956" s="138"/>
      <c r="BO1956" s="138"/>
    </row>
    <row r="1957" spans="1:67" ht="48" x14ac:dyDescent="0.2">
      <c r="A1957" s="167">
        <v>462</v>
      </c>
      <c r="B1957" s="168" t="s">
        <v>2485</v>
      </c>
      <c r="C1957" s="169"/>
      <c r="D1957" s="170" t="s">
        <v>107</v>
      </c>
      <c r="E1957" s="170"/>
      <c r="F1957" s="170"/>
      <c r="G1957" s="170"/>
      <c r="H1957" s="246" t="s">
        <v>108</v>
      </c>
      <c r="I1957" s="217" t="s">
        <v>2486</v>
      </c>
      <c r="J1957" s="265" t="s">
        <v>1356</v>
      </c>
      <c r="K1957" s="266">
        <f>11500*40%</f>
        <v>4600</v>
      </c>
      <c r="L1957" s="169" t="s">
        <v>111</v>
      </c>
      <c r="M1957" s="175" t="s">
        <v>2487</v>
      </c>
      <c r="N1957" s="176"/>
      <c r="AV1957" s="138"/>
      <c r="AW1957" s="138"/>
      <c r="AX1957" s="138"/>
      <c r="AY1957" s="138"/>
      <c r="AZ1957" s="138"/>
      <c r="BA1957" s="138"/>
      <c r="BB1957" s="138"/>
      <c r="BC1957" s="138"/>
      <c r="BD1957" s="138"/>
      <c r="BE1957" s="138"/>
      <c r="BF1957" s="138"/>
      <c r="BG1957" s="138"/>
      <c r="BH1957" s="138"/>
      <c r="BI1957" s="138"/>
      <c r="BJ1957" s="138"/>
      <c r="BK1957" s="138"/>
      <c r="BL1957" s="138"/>
      <c r="BM1957" s="138"/>
      <c r="BN1957" s="138"/>
      <c r="BO1957" s="138"/>
    </row>
    <row r="1958" spans="1:67" ht="48" x14ac:dyDescent="0.2">
      <c r="A1958" s="177"/>
      <c r="B1958" s="178"/>
      <c r="C1958" s="179"/>
      <c r="D1958" s="180"/>
      <c r="E1958" s="180"/>
      <c r="F1958" s="180"/>
      <c r="G1958" s="180"/>
      <c r="H1958" s="248"/>
      <c r="I1958" s="188" t="s">
        <v>2488</v>
      </c>
      <c r="J1958" s="270" t="s">
        <v>1356</v>
      </c>
      <c r="K1958" s="214">
        <f>11500*30%</f>
        <v>3450</v>
      </c>
      <c r="L1958" s="179"/>
      <c r="M1958" s="185"/>
      <c r="AV1958" s="138"/>
      <c r="AW1958" s="138"/>
      <c r="AX1958" s="138"/>
      <c r="AY1958" s="138"/>
      <c r="AZ1958" s="138"/>
      <c r="BA1958" s="138"/>
      <c r="BB1958" s="138"/>
      <c r="BC1958" s="138"/>
      <c r="BD1958" s="138"/>
      <c r="BE1958" s="138"/>
      <c r="BF1958" s="138"/>
      <c r="BG1958" s="138"/>
      <c r="BH1958" s="138"/>
      <c r="BI1958" s="138"/>
      <c r="BJ1958" s="138"/>
      <c r="BK1958" s="138"/>
      <c r="BL1958" s="138"/>
      <c r="BM1958" s="138"/>
      <c r="BN1958" s="138"/>
      <c r="BO1958" s="138"/>
    </row>
    <row r="1959" spans="1:67" ht="48" x14ac:dyDescent="0.2">
      <c r="A1959" s="177"/>
      <c r="B1959" s="178"/>
      <c r="C1959" s="179"/>
      <c r="D1959" s="180"/>
      <c r="E1959" s="180"/>
      <c r="F1959" s="180"/>
      <c r="G1959" s="180"/>
      <c r="H1959" s="248"/>
      <c r="I1959" s="188" t="s">
        <v>2489</v>
      </c>
      <c r="J1959" s="270" t="s">
        <v>1356</v>
      </c>
      <c r="K1959" s="214">
        <f>11500*20%</f>
        <v>2300</v>
      </c>
      <c r="L1959" s="179"/>
      <c r="M1959" s="185"/>
      <c r="AV1959" s="138"/>
      <c r="AW1959" s="138"/>
      <c r="AX1959" s="138"/>
      <c r="AY1959" s="138"/>
      <c r="AZ1959" s="138"/>
      <c r="BA1959" s="138"/>
      <c r="BB1959" s="138"/>
      <c r="BC1959" s="138"/>
      <c r="BD1959" s="138"/>
      <c r="BE1959" s="138"/>
      <c r="BF1959" s="138"/>
      <c r="BG1959" s="138"/>
      <c r="BH1959" s="138"/>
      <c r="BI1959" s="138"/>
      <c r="BJ1959" s="138"/>
      <c r="BK1959" s="138"/>
      <c r="BL1959" s="138"/>
      <c r="BM1959" s="138"/>
      <c r="BN1959" s="138"/>
      <c r="BO1959" s="138"/>
    </row>
    <row r="1960" spans="1:67" ht="48" x14ac:dyDescent="0.2">
      <c r="A1960" s="177"/>
      <c r="B1960" s="178"/>
      <c r="C1960" s="179"/>
      <c r="D1960" s="180"/>
      <c r="E1960" s="180"/>
      <c r="F1960" s="180"/>
      <c r="G1960" s="180"/>
      <c r="H1960" s="248"/>
      <c r="I1960" s="188" t="s">
        <v>2490</v>
      </c>
      <c r="J1960" s="270" t="s">
        <v>1356</v>
      </c>
      <c r="K1960" s="214">
        <f>11500*10%</f>
        <v>1150</v>
      </c>
      <c r="L1960" s="179"/>
      <c r="M1960" s="185"/>
      <c r="AV1960" s="138"/>
      <c r="AW1960" s="138"/>
      <c r="AX1960" s="138"/>
      <c r="AY1960" s="138"/>
      <c r="AZ1960" s="138"/>
      <c r="BA1960" s="138"/>
      <c r="BB1960" s="138"/>
      <c r="BC1960" s="138"/>
      <c r="BD1960" s="138"/>
      <c r="BE1960" s="138"/>
      <c r="BF1960" s="138"/>
      <c r="BG1960" s="138"/>
      <c r="BH1960" s="138"/>
      <c r="BI1960" s="138"/>
      <c r="BJ1960" s="138"/>
      <c r="BK1960" s="138"/>
      <c r="BL1960" s="138"/>
      <c r="BM1960" s="138"/>
      <c r="BN1960" s="138"/>
      <c r="BO1960" s="138"/>
    </row>
    <row r="1961" spans="1:67" x14ac:dyDescent="0.2">
      <c r="A1961" s="189"/>
      <c r="B1961" s="190"/>
      <c r="C1961" s="191"/>
      <c r="D1961" s="192"/>
      <c r="E1961" s="192"/>
      <c r="F1961" s="192"/>
      <c r="G1961" s="192"/>
      <c r="H1961" s="249"/>
      <c r="I1961" s="203"/>
      <c r="J1961" s="273"/>
      <c r="K1961" s="245">
        <f>SUM(K1957:K1960)</f>
        <v>11500</v>
      </c>
      <c r="L1961" s="191"/>
      <c r="M1961" s="197"/>
      <c r="AV1961" s="138"/>
      <c r="AW1961" s="138"/>
      <c r="AX1961" s="138"/>
      <c r="AY1961" s="138"/>
      <c r="AZ1961" s="138"/>
      <c r="BA1961" s="138"/>
      <c r="BB1961" s="138"/>
      <c r="BC1961" s="138"/>
      <c r="BD1961" s="138"/>
      <c r="BE1961" s="138"/>
      <c r="BF1961" s="138"/>
      <c r="BG1961" s="138"/>
      <c r="BH1961" s="138"/>
      <c r="BI1961" s="138"/>
      <c r="BJ1961" s="138"/>
      <c r="BK1961" s="138"/>
      <c r="BL1961" s="138"/>
      <c r="BM1961" s="138"/>
      <c r="BN1961" s="138"/>
      <c r="BO1961" s="138"/>
    </row>
    <row r="1962" spans="1:67" ht="48" x14ac:dyDescent="0.2">
      <c r="A1962" s="167">
        <v>463</v>
      </c>
      <c r="B1962" s="168" t="s">
        <v>2491</v>
      </c>
      <c r="C1962" s="169"/>
      <c r="D1962" s="170" t="s">
        <v>107</v>
      </c>
      <c r="E1962" s="170"/>
      <c r="F1962" s="170"/>
      <c r="G1962" s="170"/>
      <c r="H1962" s="246"/>
      <c r="I1962" s="274" t="s">
        <v>2492</v>
      </c>
      <c r="J1962" s="275" t="s">
        <v>1356</v>
      </c>
      <c r="K1962" s="276">
        <f>5800*50%</f>
        <v>2900</v>
      </c>
      <c r="L1962" s="169" t="s">
        <v>111</v>
      </c>
      <c r="M1962" s="175" t="s">
        <v>2493</v>
      </c>
      <c r="AV1962" s="138"/>
      <c r="AW1962" s="138"/>
      <c r="AX1962" s="138"/>
      <c r="AY1962" s="138"/>
      <c r="AZ1962" s="138"/>
      <c r="BA1962" s="138"/>
      <c r="BB1962" s="138"/>
      <c r="BC1962" s="138"/>
      <c r="BD1962" s="138"/>
      <c r="BE1962" s="138"/>
      <c r="BF1962" s="138"/>
      <c r="BG1962" s="138"/>
      <c r="BH1962" s="138"/>
      <c r="BI1962" s="138"/>
      <c r="BJ1962" s="138"/>
      <c r="BK1962" s="138"/>
      <c r="BL1962" s="138"/>
      <c r="BM1962" s="138"/>
      <c r="BN1962" s="138"/>
      <c r="BO1962" s="138"/>
    </row>
    <row r="1963" spans="1:67" ht="48" x14ac:dyDescent="0.2">
      <c r="A1963" s="177"/>
      <c r="B1963" s="178"/>
      <c r="C1963" s="179"/>
      <c r="D1963" s="180"/>
      <c r="E1963" s="180"/>
      <c r="F1963" s="180"/>
      <c r="G1963" s="180"/>
      <c r="H1963" s="248"/>
      <c r="I1963" s="188" t="s">
        <v>2488</v>
      </c>
      <c r="J1963" s="270" t="s">
        <v>1356</v>
      </c>
      <c r="K1963" s="214">
        <f>5800*30%</f>
        <v>1740</v>
      </c>
      <c r="L1963" s="179"/>
      <c r="M1963" s="185"/>
      <c r="AV1963" s="138"/>
      <c r="AW1963" s="138"/>
      <c r="AX1963" s="138"/>
      <c r="AY1963" s="138"/>
      <c r="AZ1963" s="138"/>
      <c r="BA1963" s="138"/>
      <c r="BB1963" s="138"/>
      <c r="BC1963" s="138"/>
      <c r="BD1963" s="138"/>
      <c r="BE1963" s="138"/>
      <c r="BF1963" s="138"/>
      <c r="BG1963" s="138"/>
      <c r="BH1963" s="138"/>
      <c r="BI1963" s="138"/>
      <c r="BJ1963" s="138"/>
      <c r="BK1963" s="138"/>
      <c r="BL1963" s="138"/>
      <c r="BM1963" s="138"/>
      <c r="BN1963" s="138"/>
      <c r="BO1963" s="138"/>
    </row>
    <row r="1964" spans="1:67" ht="48" x14ac:dyDescent="0.2">
      <c r="A1964" s="177"/>
      <c r="B1964" s="178"/>
      <c r="C1964" s="179"/>
      <c r="D1964" s="180"/>
      <c r="E1964" s="180"/>
      <c r="F1964" s="180"/>
      <c r="G1964" s="180"/>
      <c r="H1964" s="248"/>
      <c r="I1964" s="188" t="s">
        <v>2489</v>
      </c>
      <c r="J1964" s="270" t="s">
        <v>1356</v>
      </c>
      <c r="K1964" s="214">
        <f>5800*20%</f>
        <v>1160</v>
      </c>
      <c r="L1964" s="179"/>
      <c r="M1964" s="185"/>
      <c r="AV1964" s="138"/>
      <c r="AW1964" s="138"/>
      <c r="AX1964" s="138"/>
      <c r="AY1964" s="138"/>
      <c r="AZ1964" s="138"/>
      <c r="BA1964" s="138"/>
      <c r="BB1964" s="138"/>
      <c r="BC1964" s="138"/>
      <c r="BD1964" s="138"/>
      <c r="BE1964" s="138"/>
      <c r="BF1964" s="138"/>
      <c r="BG1964" s="138"/>
      <c r="BH1964" s="138"/>
      <c r="BI1964" s="138"/>
      <c r="BJ1964" s="138"/>
      <c r="BK1964" s="138"/>
      <c r="BL1964" s="138"/>
      <c r="BM1964" s="138"/>
      <c r="BN1964" s="138"/>
      <c r="BO1964" s="138"/>
    </row>
    <row r="1965" spans="1:67" x14ac:dyDescent="0.2">
      <c r="A1965" s="189"/>
      <c r="B1965" s="190"/>
      <c r="C1965" s="191"/>
      <c r="D1965" s="192"/>
      <c r="E1965" s="192"/>
      <c r="F1965" s="192"/>
      <c r="G1965" s="192"/>
      <c r="H1965" s="249"/>
      <c r="I1965" s="181"/>
      <c r="J1965" s="305"/>
      <c r="K1965" s="199">
        <f>SUM(K1962:K1964)</f>
        <v>5800</v>
      </c>
      <c r="L1965" s="191"/>
      <c r="M1965" s="197"/>
      <c r="AV1965" s="138"/>
      <c r="AW1965" s="138"/>
      <c r="AX1965" s="138"/>
      <c r="AY1965" s="138"/>
      <c r="AZ1965" s="138"/>
      <c r="BA1965" s="138"/>
      <c r="BB1965" s="138"/>
      <c r="BC1965" s="138"/>
      <c r="BD1965" s="138"/>
      <c r="BE1965" s="138"/>
      <c r="BF1965" s="138"/>
      <c r="BG1965" s="138"/>
      <c r="BH1965" s="138"/>
      <c r="BI1965" s="138"/>
      <c r="BJ1965" s="138"/>
      <c r="BK1965" s="138"/>
      <c r="BL1965" s="138"/>
      <c r="BM1965" s="138"/>
      <c r="BN1965" s="138"/>
      <c r="BO1965" s="138"/>
    </row>
    <row r="1966" spans="1:67" ht="48" x14ac:dyDescent="0.2">
      <c r="A1966" s="167">
        <v>464</v>
      </c>
      <c r="B1966" s="168" t="s">
        <v>2494</v>
      </c>
      <c r="C1966" s="169"/>
      <c r="D1966" s="170" t="s">
        <v>107</v>
      </c>
      <c r="E1966" s="170"/>
      <c r="F1966" s="170"/>
      <c r="G1966" s="170"/>
      <c r="H1966" s="246"/>
      <c r="I1966" s="217" t="s">
        <v>2495</v>
      </c>
      <c r="J1966" s="265" t="s">
        <v>1356</v>
      </c>
      <c r="K1966" s="266">
        <f>5800*50%</f>
        <v>2900</v>
      </c>
      <c r="L1966" s="169" t="s">
        <v>111</v>
      </c>
      <c r="M1966" s="175" t="s">
        <v>2496</v>
      </c>
      <c r="AV1966" s="138"/>
      <c r="AW1966" s="138"/>
      <c r="AX1966" s="138"/>
      <c r="AY1966" s="138"/>
      <c r="AZ1966" s="138"/>
      <c r="BA1966" s="138"/>
      <c r="BB1966" s="138"/>
      <c r="BC1966" s="138"/>
      <c r="BD1966" s="138"/>
      <c r="BE1966" s="138"/>
      <c r="BF1966" s="138"/>
      <c r="BG1966" s="138"/>
      <c r="BH1966" s="138"/>
      <c r="BI1966" s="138"/>
      <c r="BJ1966" s="138"/>
      <c r="BK1966" s="138"/>
      <c r="BL1966" s="138"/>
      <c r="BM1966" s="138"/>
      <c r="BN1966" s="138"/>
      <c r="BO1966" s="138"/>
    </row>
    <row r="1967" spans="1:67" ht="48" x14ac:dyDescent="0.2">
      <c r="A1967" s="177"/>
      <c r="B1967" s="178"/>
      <c r="C1967" s="179"/>
      <c r="D1967" s="180"/>
      <c r="E1967" s="180"/>
      <c r="F1967" s="180"/>
      <c r="G1967" s="180"/>
      <c r="H1967" s="248"/>
      <c r="I1967" s="188" t="s">
        <v>2488</v>
      </c>
      <c r="J1967" s="270" t="s">
        <v>1356</v>
      </c>
      <c r="K1967" s="214">
        <f>5800*30%</f>
        <v>1740</v>
      </c>
      <c r="L1967" s="179"/>
      <c r="M1967" s="185"/>
      <c r="AV1967" s="138"/>
      <c r="AW1967" s="138"/>
      <c r="AX1967" s="138"/>
      <c r="AY1967" s="138"/>
      <c r="AZ1967" s="138"/>
      <c r="BA1967" s="138"/>
      <c r="BB1967" s="138"/>
      <c r="BC1967" s="138"/>
      <c r="BD1967" s="138"/>
      <c r="BE1967" s="138"/>
      <c r="BF1967" s="138"/>
      <c r="BG1967" s="138"/>
      <c r="BH1967" s="138"/>
      <c r="BI1967" s="138"/>
      <c r="BJ1967" s="138"/>
      <c r="BK1967" s="138"/>
      <c r="BL1967" s="138"/>
      <c r="BM1967" s="138"/>
      <c r="BN1967" s="138"/>
      <c r="BO1967" s="138"/>
    </row>
    <row r="1968" spans="1:67" ht="48" x14ac:dyDescent="0.2">
      <c r="A1968" s="177"/>
      <c r="B1968" s="178"/>
      <c r="C1968" s="179"/>
      <c r="D1968" s="180"/>
      <c r="E1968" s="180"/>
      <c r="F1968" s="180"/>
      <c r="G1968" s="180"/>
      <c r="H1968" s="248"/>
      <c r="I1968" s="188" t="s">
        <v>2497</v>
      </c>
      <c r="J1968" s="270" t="s">
        <v>1356</v>
      </c>
      <c r="K1968" s="214">
        <f>5800*5%</f>
        <v>290</v>
      </c>
      <c r="L1968" s="179"/>
      <c r="M1968" s="185"/>
      <c r="AV1968" s="138"/>
      <c r="AW1968" s="138"/>
      <c r="AX1968" s="138"/>
      <c r="AY1968" s="138"/>
      <c r="AZ1968" s="138"/>
      <c r="BA1968" s="138"/>
      <c r="BB1968" s="138"/>
      <c r="BC1968" s="138"/>
      <c r="BD1968" s="138"/>
      <c r="BE1968" s="138"/>
      <c r="BF1968" s="138"/>
      <c r="BG1968" s="138"/>
      <c r="BH1968" s="138"/>
      <c r="BI1968" s="138"/>
      <c r="BJ1968" s="138"/>
      <c r="BK1968" s="138"/>
      <c r="BL1968" s="138"/>
      <c r="BM1968" s="138"/>
      <c r="BN1968" s="138"/>
      <c r="BO1968" s="138"/>
    </row>
    <row r="1969" spans="1:67" ht="48" x14ac:dyDescent="0.2">
      <c r="A1969" s="177"/>
      <c r="B1969" s="178"/>
      <c r="C1969" s="179"/>
      <c r="D1969" s="180"/>
      <c r="E1969" s="180"/>
      <c r="F1969" s="180"/>
      <c r="G1969" s="180"/>
      <c r="H1969" s="248"/>
      <c r="I1969" s="188" t="s">
        <v>2498</v>
      </c>
      <c r="J1969" s="270" t="s">
        <v>1356</v>
      </c>
      <c r="K1969" s="214">
        <f>5800*15%</f>
        <v>870</v>
      </c>
      <c r="L1969" s="179"/>
      <c r="M1969" s="185"/>
      <c r="AV1969" s="138"/>
      <c r="AW1969" s="138"/>
      <c r="AX1969" s="138"/>
      <c r="AY1969" s="138"/>
      <c r="AZ1969" s="138"/>
      <c r="BA1969" s="138"/>
      <c r="BB1969" s="138"/>
      <c r="BC1969" s="138"/>
      <c r="BD1969" s="138"/>
      <c r="BE1969" s="138"/>
      <c r="BF1969" s="138"/>
      <c r="BG1969" s="138"/>
      <c r="BH1969" s="138"/>
      <c r="BI1969" s="138"/>
      <c r="BJ1969" s="138"/>
      <c r="BK1969" s="138"/>
      <c r="BL1969" s="138"/>
      <c r="BM1969" s="138"/>
      <c r="BN1969" s="138"/>
      <c r="BO1969" s="138"/>
    </row>
    <row r="1970" spans="1:67" x14ac:dyDescent="0.2">
      <c r="A1970" s="189"/>
      <c r="B1970" s="190"/>
      <c r="C1970" s="191"/>
      <c r="D1970" s="192"/>
      <c r="E1970" s="192"/>
      <c r="F1970" s="192"/>
      <c r="G1970" s="192"/>
      <c r="H1970" s="249"/>
      <c r="I1970" s="203"/>
      <c r="J1970" s="273"/>
      <c r="K1970" s="245">
        <f>SUM(K1966:K1969)</f>
        <v>5800</v>
      </c>
      <c r="L1970" s="191"/>
      <c r="M1970" s="197"/>
      <c r="AV1970" s="138"/>
      <c r="AW1970" s="138"/>
      <c r="AX1970" s="138"/>
      <c r="AY1970" s="138"/>
      <c r="AZ1970" s="138"/>
      <c r="BA1970" s="138"/>
      <c r="BB1970" s="138"/>
      <c r="BC1970" s="138"/>
      <c r="BD1970" s="138"/>
      <c r="BE1970" s="138"/>
      <c r="BF1970" s="138"/>
      <c r="BG1970" s="138"/>
      <c r="BH1970" s="138"/>
      <c r="BI1970" s="138"/>
      <c r="BJ1970" s="138"/>
      <c r="BK1970" s="138"/>
      <c r="BL1970" s="138"/>
      <c r="BM1970" s="138"/>
      <c r="BN1970" s="138"/>
      <c r="BO1970" s="138"/>
    </row>
    <row r="1971" spans="1:67" ht="48" x14ac:dyDescent="0.2">
      <c r="A1971" s="167">
        <v>465</v>
      </c>
      <c r="B1971" s="168" t="s">
        <v>2499</v>
      </c>
      <c r="C1971" s="169"/>
      <c r="D1971" s="170" t="s">
        <v>107</v>
      </c>
      <c r="E1971" s="170"/>
      <c r="F1971" s="170"/>
      <c r="G1971" s="170"/>
      <c r="H1971" s="246"/>
      <c r="I1971" s="274" t="s">
        <v>2500</v>
      </c>
      <c r="J1971" s="275" t="s">
        <v>2501</v>
      </c>
      <c r="K1971" s="276">
        <f>3000*80%</f>
        <v>2400</v>
      </c>
      <c r="L1971" s="169" t="s">
        <v>111</v>
      </c>
      <c r="M1971" s="175" t="s">
        <v>2502</v>
      </c>
      <c r="AV1971" s="138"/>
      <c r="AW1971" s="138"/>
      <c r="AX1971" s="138"/>
      <c r="AY1971" s="138"/>
      <c r="AZ1971" s="138"/>
      <c r="BA1971" s="138"/>
      <c r="BB1971" s="138"/>
      <c r="BC1971" s="138"/>
      <c r="BD1971" s="138"/>
      <c r="BE1971" s="138"/>
      <c r="BF1971" s="138"/>
      <c r="BG1971" s="138"/>
      <c r="BH1971" s="138"/>
      <c r="BI1971" s="138"/>
      <c r="BJ1971" s="138"/>
      <c r="BK1971" s="138"/>
      <c r="BL1971" s="138"/>
      <c r="BM1971" s="138"/>
      <c r="BN1971" s="138"/>
      <c r="BO1971" s="138"/>
    </row>
    <row r="1972" spans="1:67" ht="48" x14ac:dyDescent="0.2">
      <c r="A1972" s="177"/>
      <c r="B1972" s="178"/>
      <c r="C1972" s="179"/>
      <c r="D1972" s="180"/>
      <c r="E1972" s="180"/>
      <c r="F1972" s="180"/>
      <c r="G1972" s="180"/>
      <c r="H1972" s="248"/>
      <c r="I1972" s="188" t="s">
        <v>2503</v>
      </c>
      <c r="J1972" s="270" t="s">
        <v>2501</v>
      </c>
      <c r="K1972" s="214">
        <f>3000*5%</f>
        <v>150</v>
      </c>
      <c r="L1972" s="179"/>
      <c r="M1972" s="185"/>
      <c r="AV1972" s="138"/>
      <c r="AW1972" s="138"/>
      <c r="AX1972" s="138"/>
      <c r="AY1972" s="138"/>
      <c r="AZ1972" s="138"/>
      <c r="BA1972" s="138"/>
      <c r="BB1972" s="138"/>
      <c r="BC1972" s="138"/>
      <c r="BD1972" s="138"/>
      <c r="BE1972" s="138"/>
      <c r="BF1972" s="138"/>
      <c r="BG1972" s="138"/>
      <c r="BH1972" s="138"/>
      <c r="BI1972" s="138"/>
      <c r="BJ1972" s="138"/>
      <c r="BK1972" s="138"/>
      <c r="BL1972" s="138"/>
      <c r="BM1972" s="138"/>
      <c r="BN1972" s="138"/>
      <c r="BO1972" s="138"/>
    </row>
    <row r="1973" spans="1:67" ht="48" x14ac:dyDescent="0.2">
      <c r="A1973" s="177"/>
      <c r="B1973" s="178"/>
      <c r="C1973" s="179"/>
      <c r="D1973" s="180"/>
      <c r="E1973" s="180"/>
      <c r="F1973" s="180"/>
      <c r="G1973" s="180"/>
      <c r="H1973" s="248"/>
      <c r="I1973" s="188" t="s">
        <v>2504</v>
      </c>
      <c r="J1973" s="270" t="s">
        <v>2501</v>
      </c>
      <c r="K1973" s="214">
        <f>3000*5%</f>
        <v>150</v>
      </c>
      <c r="L1973" s="179"/>
      <c r="M1973" s="185"/>
      <c r="AV1973" s="138"/>
      <c r="AW1973" s="138"/>
      <c r="AX1973" s="138"/>
      <c r="AY1973" s="138"/>
      <c r="AZ1973" s="138"/>
      <c r="BA1973" s="138"/>
      <c r="BB1973" s="138"/>
      <c r="BC1973" s="138"/>
      <c r="BD1973" s="138"/>
      <c r="BE1973" s="138"/>
      <c r="BF1973" s="138"/>
      <c r="BG1973" s="138"/>
      <c r="BH1973" s="138"/>
      <c r="BI1973" s="138"/>
      <c r="BJ1973" s="138"/>
      <c r="BK1973" s="138"/>
      <c r="BL1973" s="138"/>
      <c r="BM1973" s="138"/>
      <c r="BN1973" s="138"/>
      <c r="BO1973" s="138"/>
    </row>
    <row r="1974" spans="1:67" ht="48" x14ac:dyDescent="0.2">
      <c r="A1974" s="177"/>
      <c r="B1974" s="178"/>
      <c r="C1974" s="179"/>
      <c r="D1974" s="180"/>
      <c r="E1974" s="180"/>
      <c r="F1974" s="180"/>
      <c r="G1974" s="180"/>
      <c r="H1974" s="248"/>
      <c r="I1974" s="188" t="s">
        <v>2505</v>
      </c>
      <c r="J1974" s="270" t="s">
        <v>2501</v>
      </c>
      <c r="K1974" s="214">
        <f>3000*5%</f>
        <v>150</v>
      </c>
      <c r="L1974" s="179"/>
      <c r="M1974" s="185"/>
      <c r="AV1974" s="138"/>
      <c r="AW1974" s="138"/>
      <c r="AX1974" s="138"/>
      <c r="AY1974" s="138"/>
      <c r="AZ1974" s="138"/>
      <c r="BA1974" s="138"/>
      <c r="BB1974" s="138"/>
      <c r="BC1974" s="138"/>
      <c r="BD1974" s="138"/>
      <c r="BE1974" s="138"/>
      <c r="BF1974" s="138"/>
      <c r="BG1974" s="138"/>
      <c r="BH1974" s="138"/>
      <c r="BI1974" s="138"/>
      <c r="BJ1974" s="138"/>
      <c r="BK1974" s="138"/>
      <c r="BL1974" s="138"/>
      <c r="BM1974" s="138"/>
      <c r="BN1974" s="138"/>
      <c r="BO1974" s="138"/>
    </row>
    <row r="1975" spans="1:67" ht="48" x14ac:dyDescent="0.2">
      <c r="A1975" s="177"/>
      <c r="B1975" s="178"/>
      <c r="C1975" s="179"/>
      <c r="D1975" s="180"/>
      <c r="E1975" s="180"/>
      <c r="F1975" s="180"/>
      <c r="G1975" s="180"/>
      <c r="H1975" s="248"/>
      <c r="I1975" s="188" t="s">
        <v>2506</v>
      </c>
      <c r="J1975" s="270" t="s">
        <v>2501</v>
      </c>
      <c r="K1975" s="214">
        <f>3000*5%</f>
        <v>150</v>
      </c>
      <c r="L1975" s="179"/>
      <c r="M1975" s="185"/>
      <c r="AV1975" s="138"/>
      <c r="AW1975" s="138"/>
      <c r="AX1975" s="138"/>
      <c r="AY1975" s="138"/>
      <c r="AZ1975" s="138"/>
      <c r="BA1975" s="138"/>
      <c r="BB1975" s="138"/>
      <c r="BC1975" s="138"/>
      <c r="BD1975" s="138"/>
      <c r="BE1975" s="138"/>
      <c r="BF1975" s="138"/>
      <c r="BG1975" s="138"/>
      <c r="BH1975" s="138"/>
      <c r="BI1975" s="138"/>
      <c r="BJ1975" s="138"/>
      <c r="BK1975" s="138"/>
      <c r="BL1975" s="138"/>
      <c r="BM1975" s="138"/>
      <c r="BN1975" s="138"/>
      <c r="BO1975" s="138"/>
    </row>
    <row r="1976" spans="1:67" x14ac:dyDescent="0.2">
      <c r="A1976" s="189"/>
      <c r="B1976" s="190"/>
      <c r="C1976" s="191"/>
      <c r="D1976" s="192"/>
      <c r="E1976" s="192"/>
      <c r="F1976" s="192"/>
      <c r="G1976" s="192"/>
      <c r="H1976" s="249"/>
      <c r="I1976" s="181"/>
      <c r="J1976" s="305"/>
      <c r="K1976" s="199">
        <f>SUM(K1971:K1975)</f>
        <v>3000</v>
      </c>
      <c r="L1976" s="191"/>
      <c r="M1976" s="197"/>
      <c r="AV1976" s="138"/>
      <c r="AW1976" s="138"/>
      <c r="AX1976" s="138"/>
      <c r="AY1976" s="138"/>
      <c r="AZ1976" s="138"/>
      <c r="BA1976" s="138"/>
      <c r="BB1976" s="138"/>
      <c r="BC1976" s="138"/>
      <c r="BD1976" s="138"/>
      <c r="BE1976" s="138"/>
      <c r="BF1976" s="138"/>
      <c r="BG1976" s="138"/>
      <c r="BH1976" s="138"/>
      <c r="BI1976" s="138"/>
      <c r="BJ1976" s="138"/>
      <c r="BK1976" s="138"/>
      <c r="BL1976" s="138"/>
      <c r="BM1976" s="138"/>
      <c r="BN1976" s="138"/>
      <c r="BO1976" s="138"/>
    </row>
    <row r="1977" spans="1:67" ht="48" x14ac:dyDescent="0.2">
      <c r="A1977" s="167">
        <v>466</v>
      </c>
      <c r="B1977" s="168" t="s">
        <v>2507</v>
      </c>
      <c r="C1977" s="169"/>
      <c r="D1977" s="170" t="s">
        <v>107</v>
      </c>
      <c r="E1977" s="170"/>
      <c r="F1977" s="170"/>
      <c r="G1977" s="170"/>
      <c r="H1977" s="246" t="s">
        <v>964</v>
      </c>
      <c r="I1977" s="217" t="s">
        <v>2508</v>
      </c>
      <c r="J1977" s="265" t="s">
        <v>1891</v>
      </c>
      <c r="K1977" s="266">
        <f>5000*80%</f>
        <v>4000</v>
      </c>
      <c r="L1977" s="169" t="s">
        <v>111</v>
      </c>
      <c r="M1977" s="175" t="s">
        <v>2509</v>
      </c>
      <c r="AV1977" s="138"/>
      <c r="AW1977" s="138"/>
      <c r="AX1977" s="138"/>
      <c r="AY1977" s="138"/>
      <c r="AZ1977" s="138"/>
      <c r="BA1977" s="138"/>
      <c r="BB1977" s="138"/>
      <c r="BC1977" s="138"/>
      <c r="BD1977" s="138"/>
      <c r="BE1977" s="138"/>
      <c r="BF1977" s="138"/>
      <c r="BG1977" s="138"/>
      <c r="BH1977" s="138"/>
      <c r="BI1977" s="138"/>
      <c r="BJ1977" s="138"/>
      <c r="BK1977" s="138"/>
      <c r="BL1977" s="138"/>
      <c r="BM1977" s="138"/>
      <c r="BN1977" s="138"/>
      <c r="BO1977" s="138"/>
    </row>
    <row r="1978" spans="1:67" ht="48" x14ac:dyDescent="0.2">
      <c r="A1978" s="177"/>
      <c r="B1978" s="178"/>
      <c r="C1978" s="179"/>
      <c r="D1978" s="180"/>
      <c r="E1978" s="180"/>
      <c r="F1978" s="180"/>
      <c r="G1978" s="180"/>
      <c r="H1978" s="248"/>
      <c r="I1978" s="188" t="s">
        <v>2510</v>
      </c>
      <c r="J1978" s="270" t="s">
        <v>1891</v>
      </c>
      <c r="K1978" s="214">
        <f>5000*5%</f>
        <v>250</v>
      </c>
      <c r="L1978" s="179"/>
      <c r="M1978" s="185"/>
      <c r="AV1978" s="138"/>
      <c r="AW1978" s="138"/>
      <c r="AX1978" s="138"/>
      <c r="AY1978" s="138"/>
      <c r="AZ1978" s="138"/>
      <c r="BA1978" s="138"/>
      <c r="BB1978" s="138"/>
      <c r="BC1978" s="138"/>
      <c r="BD1978" s="138"/>
      <c r="BE1978" s="138"/>
      <c r="BF1978" s="138"/>
      <c r="BG1978" s="138"/>
      <c r="BH1978" s="138"/>
      <c r="BI1978" s="138"/>
      <c r="BJ1978" s="138"/>
      <c r="BK1978" s="138"/>
      <c r="BL1978" s="138"/>
      <c r="BM1978" s="138"/>
      <c r="BN1978" s="138"/>
      <c r="BO1978" s="138"/>
    </row>
    <row r="1979" spans="1:67" ht="48" x14ac:dyDescent="0.2">
      <c r="A1979" s="177"/>
      <c r="B1979" s="178"/>
      <c r="C1979" s="179"/>
      <c r="D1979" s="180"/>
      <c r="E1979" s="180"/>
      <c r="F1979" s="180"/>
      <c r="G1979" s="180"/>
      <c r="H1979" s="248"/>
      <c r="I1979" s="188" t="s">
        <v>2511</v>
      </c>
      <c r="J1979" s="270" t="s">
        <v>1891</v>
      </c>
      <c r="K1979" s="214">
        <f>5000*5%</f>
        <v>250</v>
      </c>
      <c r="L1979" s="179"/>
      <c r="M1979" s="185"/>
      <c r="AV1979" s="138"/>
      <c r="AW1979" s="138"/>
      <c r="AX1979" s="138"/>
      <c r="AY1979" s="138"/>
      <c r="AZ1979" s="138"/>
      <c r="BA1979" s="138"/>
      <c r="BB1979" s="138"/>
      <c r="BC1979" s="138"/>
      <c r="BD1979" s="138"/>
      <c r="BE1979" s="138"/>
      <c r="BF1979" s="138"/>
      <c r="BG1979" s="138"/>
      <c r="BH1979" s="138"/>
      <c r="BI1979" s="138"/>
      <c r="BJ1979" s="138"/>
      <c r="BK1979" s="138"/>
      <c r="BL1979" s="138"/>
      <c r="BM1979" s="138"/>
      <c r="BN1979" s="138"/>
      <c r="BO1979" s="138"/>
    </row>
    <row r="1980" spans="1:67" ht="48" x14ac:dyDescent="0.2">
      <c r="A1980" s="177"/>
      <c r="B1980" s="178"/>
      <c r="C1980" s="179"/>
      <c r="D1980" s="180"/>
      <c r="E1980" s="180"/>
      <c r="F1980" s="180"/>
      <c r="G1980" s="180"/>
      <c r="H1980" s="248"/>
      <c r="I1980" s="188" t="s">
        <v>2512</v>
      </c>
      <c r="J1980" s="270" t="s">
        <v>1891</v>
      </c>
      <c r="K1980" s="214">
        <f>5000*5%</f>
        <v>250</v>
      </c>
      <c r="L1980" s="179"/>
      <c r="M1980" s="185"/>
      <c r="AV1980" s="138"/>
      <c r="AW1980" s="138"/>
      <c r="AX1980" s="138"/>
      <c r="AY1980" s="138"/>
      <c r="AZ1980" s="138"/>
      <c r="BA1980" s="138"/>
      <c r="BB1980" s="138"/>
      <c r="BC1980" s="138"/>
      <c r="BD1980" s="138"/>
      <c r="BE1980" s="138"/>
      <c r="BF1980" s="138"/>
      <c r="BG1980" s="138"/>
      <c r="BH1980" s="138"/>
      <c r="BI1980" s="138"/>
      <c r="BJ1980" s="138"/>
      <c r="BK1980" s="138"/>
      <c r="BL1980" s="138"/>
      <c r="BM1980" s="138"/>
      <c r="BN1980" s="138"/>
      <c r="BO1980" s="138"/>
    </row>
    <row r="1981" spans="1:67" ht="48" x14ac:dyDescent="0.2">
      <c r="A1981" s="177"/>
      <c r="B1981" s="178"/>
      <c r="C1981" s="179"/>
      <c r="D1981" s="180"/>
      <c r="E1981" s="180"/>
      <c r="F1981" s="180"/>
      <c r="G1981" s="180"/>
      <c r="H1981" s="248"/>
      <c r="I1981" s="188" t="s">
        <v>1890</v>
      </c>
      <c r="J1981" s="270" t="s">
        <v>1891</v>
      </c>
      <c r="K1981" s="214">
        <f>5000*5%</f>
        <v>250</v>
      </c>
      <c r="L1981" s="179"/>
      <c r="M1981" s="185"/>
      <c r="AV1981" s="138"/>
      <c r="AW1981" s="138"/>
      <c r="AX1981" s="138"/>
      <c r="AY1981" s="138"/>
      <c r="AZ1981" s="138"/>
      <c r="BA1981" s="138"/>
      <c r="BB1981" s="138"/>
      <c r="BC1981" s="138"/>
      <c r="BD1981" s="138"/>
      <c r="BE1981" s="138"/>
      <c r="BF1981" s="138"/>
      <c r="BG1981" s="138"/>
      <c r="BH1981" s="138"/>
      <c r="BI1981" s="138"/>
      <c r="BJ1981" s="138"/>
      <c r="BK1981" s="138"/>
      <c r="BL1981" s="138"/>
      <c r="BM1981" s="138"/>
      <c r="BN1981" s="138"/>
      <c r="BO1981" s="138"/>
    </row>
    <row r="1982" spans="1:67" x14ac:dyDescent="0.2">
      <c r="A1982" s="189"/>
      <c r="B1982" s="190"/>
      <c r="C1982" s="191"/>
      <c r="D1982" s="192"/>
      <c r="E1982" s="192"/>
      <c r="F1982" s="192"/>
      <c r="G1982" s="192"/>
      <c r="H1982" s="249"/>
      <c r="I1982" s="203"/>
      <c r="J1982" s="273"/>
      <c r="K1982" s="245">
        <f>SUM(K1977:K1981)</f>
        <v>5000</v>
      </c>
      <c r="L1982" s="191"/>
      <c r="M1982" s="197"/>
      <c r="AV1982" s="138"/>
      <c r="AW1982" s="138"/>
      <c r="AX1982" s="138"/>
      <c r="AY1982" s="138"/>
      <c r="AZ1982" s="138"/>
      <c r="BA1982" s="138"/>
      <c r="BB1982" s="138"/>
      <c r="BC1982" s="138"/>
      <c r="BD1982" s="138"/>
      <c r="BE1982" s="138"/>
      <c r="BF1982" s="138"/>
      <c r="BG1982" s="138"/>
      <c r="BH1982" s="138"/>
      <c r="BI1982" s="138"/>
      <c r="BJ1982" s="138"/>
      <c r="BK1982" s="138"/>
      <c r="BL1982" s="138"/>
      <c r="BM1982" s="138"/>
      <c r="BN1982" s="138"/>
      <c r="BO1982" s="138"/>
    </row>
    <row r="1983" spans="1:67" ht="48" x14ac:dyDescent="0.2">
      <c r="A1983" s="167">
        <v>467</v>
      </c>
      <c r="B1983" s="168" t="s">
        <v>2513</v>
      </c>
      <c r="C1983" s="169"/>
      <c r="D1983" s="170" t="s">
        <v>107</v>
      </c>
      <c r="E1983" s="170"/>
      <c r="F1983" s="170"/>
      <c r="G1983" s="170"/>
      <c r="H1983" s="246"/>
      <c r="I1983" s="274" t="s">
        <v>2514</v>
      </c>
      <c r="J1983" s="275" t="s">
        <v>1891</v>
      </c>
      <c r="K1983" s="276">
        <f>5000*65%</f>
        <v>3250</v>
      </c>
      <c r="L1983" s="169" t="s">
        <v>111</v>
      </c>
      <c r="M1983" s="175" t="s">
        <v>2515</v>
      </c>
      <c r="AV1983" s="138"/>
      <c r="AW1983" s="138"/>
      <c r="AX1983" s="138"/>
      <c r="AY1983" s="138"/>
      <c r="AZ1983" s="138"/>
      <c r="BA1983" s="138"/>
      <c r="BB1983" s="138"/>
      <c r="BC1983" s="138"/>
      <c r="BD1983" s="138"/>
      <c r="BE1983" s="138"/>
      <c r="BF1983" s="138"/>
      <c r="BG1983" s="138"/>
      <c r="BH1983" s="138"/>
      <c r="BI1983" s="138"/>
      <c r="BJ1983" s="138"/>
      <c r="BK1983" s="138"/>
      <c r="BL1983" s="138"/>
      <c r="BM1983" s="138"/>
      <c r="BN1983" s="138"/>
      <c r="BO1983" s="138"/>
    </row>
    <row r="1984" spans="1:67" ht="48" x14ac:dyDescent="0.2">
      <c r="A1984" s="177"/>
      <c r="B1984" s="178"/>
      <c r="C1984" s="179"/>
      <c r="D1984" s="180"/>
      <c r="E1984" s="180"/>
      <c r="F1984" s="180"/>
      <c r="G1984" s="180"/>
      <c r="H1984" s="248"/>
      <c r="I1984" s="188" t="s">
        <v>2516</v>
      </c>
      <c r="J1984" s="270" t="s">
        <v>1891</v>
      </c>
      <c r="K1984" s="214">
        <f>5000*20%</f>
        <v>1000</v>
      </c>
      <c r="L1984" s="179"/>
      <c r="M1984" s="185"/>
      <c r="AV1984" s="138"/>
      <c r="AW1984" s="138"/>
      <c r="AX1984" s="138"/>
      <c r="AY1984" s="138"/>
      <c r="AZ1984" s="138"/>
      <c r="BA1984" s="138"/>
      <c r="BB1984" s="138"/>
      <c r="BC1984" s="138"/>
      <c r="BD1984" s="138"/>
      <c r="BE1984" s="138"/>
      <c r="BF1984" s="138"/>
      <c r="BG1984" s="138"/>
      <c r="BH1984" s="138"/>
      <c r="BI1984" s="138"/>
      <c r="BJ1984" s="138"/>
      <c r="BK1984" s="138"/>
      <c r="BL1984" s="138"/>
      <c r="BM1984" s="138"/>
      <c r="BN1984" s="138"/>
      <c r="BO1984" s="138"/>
    </row>
    <row r="1985" spans="1:67" ht="48" x14ac:dyDescent="0.2">
      <c r="A1985" s="177"/>
      <c r="B1985" s="178"/>
      <c r="C1985" s="179"/>
      <c r="D1985" s="180"/>
      <c r="E1985" s="180"/>
      <c r="F1985" s="180"/>
      <c r="G1985" s="180"/>
      <c r="H1985" s="248"/>
      <c r="I1985" s="188" t="s">
        <v>1890</v>
      </c>
      <c r="J1985" s="270" t="s">
        <v>1891</v>
      </c>
      <c r="K1985" s="214">
        <f>5000*5%</f>
        <v>250</v>
      </c>
      <c r="L1985" s="179"/>
      <c r="M1985" s="185"/>
      <c r="AV1985" s="138"/>
      <c r="AW1985" s="138"/>
      <c r="AX1985" s="138"/>
      <c r="AY1985" s="138"/>
      <c r="AZ1985" s="138"/>
      <c r="BA1985" s="138"/>
      <c r="BB1985" s="138"/>
      <c r="BC1985" s="138"/>
      <c r="BD1985" s="138"/>
      <c r="BE1985" s="138"/>
      <c r="BF1985" s="138"/>
      <c r="BG1985" s="138"/>
      <c r="BH1985" s="138"/>
      <c r="BI1985" s="138"/>
      <c r="BJ1985" s="138"/>
      <c r="BK1985" s="138"/>
      <c r="BL1985" s="138"/>
      <c r="BM1985" s="138"/>
      <c r="BN1985" s="138"/>
      <c r="BO1985" s="138"/>
    </row>
    <row r="1986" spans="1:67" ht="48" x14ac:dyDescent="0.2">
      <c r="A1986" s="177"/>
      <c r="B1986" s="178"/>
      <c r="C1986" s="179"/>
      <c r="D1986" s="180"/>
      <c r="E1986" s="180"/>
      <c r="F1986" s="180"/>
      <c r="G1986" s="180"/>
      <c r="H1986" s="248"/>
      <c r="I1986" s="188" t="s">
        <v>2510</v>
      </c>
      <c r="J1986" s="270" t="s">
        <v>1891</v>
      </c>
      <c r="K1986" s="214">
        <f>5000*5%</f>
        <v>250</v>
      </c>
      <c r="L1986" s="179"/>
      <c r="M1986" s="185"/>
      <c r="AV1986" s="138"/>
      <c r="AW1986" s="138"/>
      <c r="AX1986" s="138"/>
      <c r="AY1986" s="138"/>
      <c r="AZ1986" s="138"/>
      <c r="BA1986" s="138"/>
      <c r="BB1986" s="138"/>
      <c r="BC1986" s="138"/>
      <c r="BD1986" s="138"/>
      <c r="BE1986" s="138"/>
      <c r="BF1986" s="138"/>
      <c r="BG1986" s="138"/>
      <c r="BH1986" s="138"/>
      <c r="BI1986" s="138"/>
      <c r="BJ1986" s="138"/>
      <c r="BK1986" s="138"/>
      <c r="BL1986" s="138"/>
      <c r="BM1986" s="138"/>
      <c r="BN1986" s="138"/>
      <c r="BO1986" s="138"/>
    </row>
    <row r="1987" spans="1:67" ht="48" x14ac:dyDescent="0.2">
      <c r="A1987" s="177"/>
      <c r="B1987" s="178"/>
      <c r="C1987" s="179"/>
      <c r="D1987" s="180"/>
      <c r="E1987" s="180"/>
      <c r="F1987" s="180"/>
      <c r="G1987" s="180"/>
      <c r="H1987" s="248"/>
      <c r="I1987" s="188" t="s">
        <v>2512</v>
      </c>
      <c r="J1987" s="270" t="s">
        <v>1891</v>
      </c>
      <c r="K1987" s="214">
        <f>5000*5%</f>
        <v>250</v>
      </c>
      <c r="L1987" s="179"/>
      <c r="M1987" s="185"/>
      <c r="AV1987" s="138"/>
      <c r="AW1987" s="138"/>
      <c r="AX1987" s="138"/>
      <c r="AY1987" s="138"/>
      <c r="AZ1987" s="138"/>
      <c r="BA1987" s="138"/>
      <c r="BB1987" s="138"/>
      <c r="BC1987" s="138"/>
      <c r="BD1987" s="138"/>
      <c r="BE1987" s="138"/>
      <c r="BF1987" s="138"/>
      <c r="BG1987" s="138"/>
      <c r="BH1987" s="138"/>
      <c r="BI1987" s="138"/>
      <c r="BJ1987" s="138"/>
      <c r="BK1987" s="138"/>
      <c r="BL1987" s="138"/>
      <c r="BM1987" s="138"/>
      <c r="BN1987" s="138"/>
      <c r="BO1987" s="138"/>
    </row>
    <row r="1988" spans="1:67" x14ac:dyDescent="0.2">
      <c r="A1988" s="189"/>
      <c r="B1988" s="190"/>
      <c r="C1988" s="191"/>
      <c r="D1988" s="192"/>
      <c r="E1988" s="192"/>
      <c r="F1988" s="192"/>
      <c r="G1988" s="192"/>
      <c r="H1988" s="249"/>
      <c r="I1988" s="181"/>
      <c r="J1988" s="305"/>
      <c r="K1988" s="199">
        <f>SUM(K1983:K1987)</f>
        <v>5000</v>
      </c>
      <c r="L1988" s="191"/>
      <c r="M1988" s="197"/>
      <c r="AV1988" s="138"/>
      <c r="AW1988" s="138"/>
      <c r="AX1988" s="138"/>
      <c r="AY1988" s="138"/>
      <c r="AZ1988" s="138"/>
      <c r="BA1988" s="138"/>
      <c r="BB1988" s="138"/>
      <c r="BC1988" s="138"/>
      <c r="BD1988" s="138"/>
      <c r="BE1988" s="138"/>
      <c r="BF1988" s="138"/>
      <c r="BG1988" s="138"/>
      <c r="BH1988" s="138"/>
      <c r="BI1988" s="138"/>
      <c r="BJ1988" s="138"/>
      <c r="BK1988" s="138"/>
      <c r="BL1988" s="138"/>
      <c r="BM1988" s="138"/>
      <c r="BN1988" s="138"/>
      <c r="BO1988" s="138"/>
    </row>
    <row r="1989" spans="1:67" ht="48" x14ac:dyDescent="0.2">
      <c r="A1989" s="167">
        <v>468</v>
      </c>
      <c r="B1989" s="168" t="s">
        <v>2517</v>
      </c>
      <c r="C1989" s="169"/>
      <c r="D1989" s="170" t="s">
        <v>107</v>
      </c>
      <c r="E1989" s="170"/>
      <c r="F1989" s="170"/>
      <c r="G1989" s="170"/>
      <c r="H1989" s="246" t="s">
        <v>137</v>
      </c>
      <c r="I1989" s="217" t="s">
        <v>2518</v>
      </c>
      <c r="J1989" s="265" t="s">
        <v>1348</v>
      </c>
      <c r="K1989" s="266">
        <f>8000*30%</f>
        <v>2400</v>
      </c>
      <c r="L1989" s="169" t="s">
        <v>111</v>
      </c>
      <c r="M1989" s="175" t="s">
        <v>2519</v>
      </c>
      <c r="AV1989" s="138"/>
      <c r="AW1989" s="138"/>
      <c r="AX1989" s="138"/>
      <c r="AY1989" s="138"/>
      <c r="AZ1989" s="138"/>
      <c r="BA1989" s="138"/>
      <c r="BB1989" s="138"/>
      <c r="BC1989" s="138"/>
      <c r="BD1989" s="138"/>
      <c r="BE1989" s="138"/>
      <c r="BF1989" s="138"/>
      <c r="BG1989" s="138"/>
      <c r="BH1989" s="138"/>
      <c r="BI1989" s="138"/>
      <c r="BJ1989" s="138"/>
      <c r="BK1989" s="138"/>
      <c r="BL1989" s="138"/>
      <c r="BM1989" s="138"/>
      <c r="BN1989" s="138"/>
      <c r="BO1989" s="138"/>
    </row>
    <row r="1990" spans="1:67" ht="48" x14ac:dyDescent="0.2">
      <c r="A1990" s="177"/>
      <c r="B1990" s="178"/>
      <c r="C1990" s="179"/>
      <c r="D1990" s="180"/>
      <c r="E1990" s="180"/>
      <c r="F1990" s="180"/>
      <c r="G1990" s="180"/>
      <c r="H1990" s="248"/>
      <c r="I1990" s="188" t="s">
        <v>2488</v>
      </c>
      <c r="J1990" s="270" t="s">
        <v>1356</v>
      </c>
      <c r="K1990" s="214">
        <f>8000*30%</f>
        <v>2400</v>
      </c>
      <c r="L1990" s="179"/>
      <c r="M1990" s="185"/>
      <c r="AV1990" s="138"/>
      <c r="AW1990" s="138"/>
      <c r="AX1990" s="138"/>
      <c r="AY1990" s="138"/>
      <c r="AZ1990" s="138"/>
      <c r="BA1990" s="138"/>
      <c r="BB1990" s="138"/>
      <c r="BC1990" s="138"/>
      <c r="BD1990" s="138"/>
      <c r="BE1990" s="138"/>
      <c r="BF1990" s="138"/>
      <c r="BG1990" s="138"/>
      <c r="BH1990" s="138"/>
      <c r="BI1990" s="138"/>
      <c r="BJ1990" s="138"/>
      <c r="BK1990" s="138"/>
      <c r="BL1990" s="138"/>
      <c r="BM1990" s="138"/>
      <c r="BN1990" s="138"/>
      <c r="BO1990" s="138"/>
    </row>
    <row r="1991" spans="1:67" ht="48" x14ac:dyDescent="0.2">
      <c r="A1991" s="177"/>
      <c r="B1991" s="178"/>
      <c r="C1991" s="179"/>
      <c r="D1991" s="180"/>
      <c r="E1991" s="180"/>
      <c r="F1991" s="180"/>
      <c r="G1991" s="180"/>
      <c r="H1991" s="248"/>
      <c r="I1991" s="188" t="s">
        <v>2520</v>
      </c>
      <c r="J1991" s="270" t="s">
        <v>1356</v>
      </c>
      <c r="K1991" s="214">
        <f>8000*40%</f>
        <v>3200</v>
      </c>
      <c r="L1991" s="179"/>
      <c r="M1991" s="185"/>
      <c r="AV1991" s="138"/>
      <c r="AW1991" s="138"/>
      <c r="AX1991" s="138"/>
      <c r="AY1991" s="138"/>
      <c r="AZ1991" s="138"/>
      <c r="BA1991" s="138"/>
      <c r="BB1991" s="138"/>
      <c r="BC1991" s="138"/>
      <c r="BD1991" s="138"/>
      <c r="BE1991" s="138"/>
      <c r="BF1991" s="138"/>
      <c r="BG1991" s="138"/>
      <c r="BH1991" s="138"/>
      <c r="BI1991" s="138"/>
      <c r="BJ1991" s="138"/>
      <c r="BK1991" s="138"/>
      <c r="BL1991" s="138"/>
      <c r="BM1991" s="138"/>
      <c r="BN1991" s="138"/>
      <c r="BO1991" s="138"/>
    </row>
    <row r="1992" spans="1:67" x14ac:dyDescent="0.2">
      <c r="A1992" s="189"/>
      <c r="B1992" s="190"/>
      <c r="C1992" s="191"/>
      <c r="D1992" s="192"/>
      <c r="E1992" s="192"/>
      <c r="F1992" s="192"/>
      <c r="G1992" s="192"/>
      <c r="H1992" s="249"/>
      <c r="I1992" s="203"/>
      <c r="J1992" s="273"/>
      <c r="K1992" s="245">
        <f>SUM(K1989:K1991)</f>
        <v>8000</v>
      </c>
      <c r="L1992" s="191"/>
      <c r="M1992" s="197"/>
      <c r="AV1992" s="138"/>
      <c r="AW1992" s="138"/>
      <c r="AX1992" s="138"/>
      <c r="AY1992" s="138"/>
      <c r="AZ1992" s="138"/>
      <c r="BA1992" s="138"/>
      <c r="BB1992" s="138"/>
      <c r="BC1992" s="138"/>
      <c r="BD1992" s="138"/>
      <c r="BE1992" s="138"/>
      <c r="BF1992" s="138"/>
      <c r="BG1992" s="138"/>
      <c r="BH1992" s="138"/>
      <c r="BI1992" s="138"/>
      <c r="BJ1992" s="138"/>
      <c r="BK1992" s="138"/>
      <c r="BL1992" s="138"/>
      <c r="BM1992" s="138"/>
      <c r="BN1992" s="138"/>
      <c r="BO1992" s="138"/>
    </row>
    <row r="1993" spans="1:67" ht="48" x14ac:dyDescent="0.2">
      <c r="A1993" s="167">
        <v>469</v>
      </c>
      <c r="B1993" s="168" t="s">
        <v>2521</v>
      </c>
      <c r="C1993" s="169"/>
      <c r="D1993" s="170" t="s">
        <v>107</v>
      </c>
      <c r="E1993" s="170"/>
      <c r="F1993" s="170"/>
      <c r="G1993" s="170"/>
      <c r="H1993" s="246" t="s">
        <v>964</v>
      </c>
      <c r="I1993" s="274" t="s">
        <v>2522</v>
      </c>
      <c r="J1993" s="275" t="s">
        <v>1356</v>
      </c>
      <c r="K1993" s="276">
        <f>7500*50%</f>
        <v>3750</v>
      </c>
      <c r="L1993" s="169" t="s">
        <v>111</v>
      </c>
      <c r="M1993" s="175" t="s">
        <v>2523</v>
      </c>
      <c r="AV1993" s="138"/>
      <c r="AW1993" s="138"/>
      <c r="AX1993" s="138"/>
      <c r="AY1993" s="138"/>
      <c r="AZ1993" s="138"/>
      <c r="BA1993" s="138"/>
      <c r="BB1993" s="138"/>
      <c r="BC1993" s="138"/>
      <c r="BD1993" s="138"/>
      <c r="BE1993" s="138"/>
      <c r="BF1993" s="138"/>
      <c r="BG1993" s="138"/>
      <c r="BH1993" s="138"/>
      <c r="BI1993" s="138"/>
      <c r="BJ1993" s="138"/>
      <c r="BK1993" s="138"/>
      <c r="BL1993" s="138"/>
      <c r="BM1993" s="138"/>
      <c r="BN1993" s="138"/>
      <c r="BO1993" s="138"/>
    </row>
    <row r="1994" spans="1:67" ht="48" x14ac:dyDescent="0.2">
      <c r="A1994" s="177"/>
      <c r="B1994" s="178"/>
      <c r="C1994" s="179"/>
      <c r="D1994" s="180"/>
      <c r="E1994" s="180"/>
      <c r="F1994" s="180"/>
      <c r="G1994" s="180"/>
      <c r="H1994" s="248"/>
      <c r="I1994" s="188" t="s">
        <v>2524</v>
      </c>
      <c r="J1994" s="270" t="s">
        <v>1348</v>
      </c>
      <c r="K1994" s="214">
        <f>7500*10%</f>
        <v>750</v>
      </c>
      <c r="L1994" s="179"/>
      <c r="M1994" s="185"/>
      <c r="AV1994" s="138"/>
      <c r="AW1994" s="138"/>
      <c r="AX1994" s="138"/>
      <c r="AY1994" s="138"/>
      <c r="AZ1994" s="138"/>
      <c r="BA1994" s="138"/>
      <c r="BB1994" s="138"/>
      <c r="BC1994" s="138"/>
      <c r="BD1994" s="138"/>
      <c r="BE1994" s="138"/>
      <c r="BF1994" s="138"/>
      <c r="BG1994" s="138"/>
      <c r="BH1994" s="138"/>
      <c r="BI1994" s="138"/>
      <c r="BJ1994" s="138"/>
      <c r="BK1994" s="138"/>
      <c r="BL1994" s="138"/>
      <c r="BM1994" s="138"/>
      <c r="BN1994" s="138"/>
      <c r="BO1994" s="138"/>
    </row>
    <row r="1995" spans="1:67" ht="48" x14ac:dyDescent="0.2">
      <c r="A1995" s="177"/>
      <c r="B1995" s="178"/>
      <c r="C1995" s="179"/>
      <c r="D1995" s="180"/>
      <c r="E1995" s="180"/>
      <c r="F1995" s="180"/>
      <c r="G1995" s="180"/>
      <c r="H1995" s="248"/>
      <c r="I1995" s="188" t="s">
        <v>2525</v>
      </c>
      <c r="J1995" s="270" t="s">
        <v>1356</v>
      </c>
      <c r="K1995" s="214">
        <f>7500*20%</f>
        <v>1500</v>
      </c>
      <c r="L1995" s="179"/>
      <c r="M1995" s="185"/>
      <c r="AV1995" s="138"/>
      <c r="AW1995" s="138"/>
      <c r="AX1995" s="138"/>
      <c r="AY1995" s="138"/>
      <c r="AZ1995" s="138"/>
      <c r="BA1995" s="138"/>
      <c r="BB1995" s="138"/>
      <c r="BC1995" s="138"/>
      <c r="BD1995" s="138"/>
      <c r="BE1995" s="138"/>
      <c r="BF1995" s="138"/>
      <c r="BG1995" s="138"/>
      <c r="BH1995" s="138"/>
      <c r="BI1995" s="138"/>
      <c r="BJ1995" s="138"/>
      <c r="BK1995" s="138"/>
      <c r="BL1995" s="138"/>
      <c r="BM1995" s="138"/>
      <c r="BN1995" s="138"/>
      <c r="BO1995" s="138"/>
    </row>
    <row r="1996" spans="1:67" ht="20.25" customHeight="1" x14ac:dyDescent="0.2">
      <c r="A1996" s="177"/>
      <c r="B1996" s="178"/>
      <c r="C1996" s="179"/>
      <c r="D1996" s="180"/>
      <c r="E1996" s="180"/>
      <c r="F1996" s="180"/>
      <c r="G1996" s="180"/>
      <c r="H1996" s="248"/>
      <c r="I1996" s="188" t="s">
        <v>2526</v>
      </c>
      <c r="J1996" s="270" t="s">
        <v>2527</v>
      </c>
      <c r="K1996" s="214">
        <f>7500*10%</f>
        <v>750</v>
      </c>
      <c r="L1996" s="179"/>
      <c r="M1996" s="185"/>
      <c r="AV1996" s="138"/>
      <c r="AW1996" s="138"/>
      <c r="AX1996" s="138"/>
      <c r="AY1996" s="138"/>
      <c r="AZ1996" s="138"/>
      <c r="BA1996" s="138"/>
      <c r="BB1996" s="138"/>
      <c r="BC1996" s="138"/>
      <c r="BD1996" s="138"/>
      <c r="BE1996" s="138"/>
      <c r="BF1996" s="138"/>
      <c r="BG1996" s="138"/>
      <c r="BH1996" s="138"/>
      <c r="BI1996" s="138"/>
      <c r="BJ1996" s="138"/>
      <c r="BK1996" s="138"/>
      <c r="BL1996" s="138"/>
      <c r="BM1996" s="138"/>
      <c r="BN1996" s="138"/>
      <c r="BO1996" s="138"/>
    </row>
    <row r="1997" spans="1:67" ht="48" x14ac:dyDescent="0.2">
      <c r="A1997" s="177"/>
      <c r="B1997" s="178"/>
      <c r="C1997" s="179"/>
      <c r="D1997" s="180"/>
      <c r="E1997" s="180"/>
      <c r="F1997" s="180"/>
      <c r="G1997" s="180"/>
      <c r="H1997" s="248"/>
      <c r="I1997" s="188" t="s">
        <v>2528</v>
      </c>
      <c r="J1997" s="270" t="s">
        <v>1348</v>
      </c>
      <c r="K1997" s="214">
        <f>7500*10%</f>
        <v>750</v>
      </c>
      <c r="L1997" s="179"/>
      <c r="M1997" s="185"/>
      <c r="AV1997" s="138"/>
      <c r="AW1997" s="138"/>
      <c r="AX1997" s="138"/>
      <c r="AY1997" s="138"/>
      <c r="AZ1997" s="138"/>
      <c r="BA1997" s="138"/>
      <c r="BB1997" s="138"/>
      <c r="BC1997" s="138"/>
      <c r="BD1997" s="138"/>
      <c r="BE1997" s="138"/>
      <c r="BF1997" s="138"/>
      <c r="BG1997" s="138"/>
      <c r="BH1997" s="138"/>
      <c r="BI1997" s="138"/>
      <c r="BJ1997" s="138"/>
      <c r="BK1997" s="138"/>
      <c r="BL1997" s="138"/>
      <c r="BM1997" s="138"/>
      <c r="BN1997" s="138"/>
      <c r="BO1997" s="138"/>
    </row>
    <row r="1998" spans="1:67" x14ac:dyDescent="0.2">
      <c r="A1998" s="189"/>
      <c r="B1998" s="190"/>
      <c r="C1998" s="191"/>
      <c r="D1998" s="192"/>
      <c r="E1998" s="192"/>
      <c r="F1998" s="192"/>
      <c r="G1998" s="192"/>
      <c r="H1998" s="249"/>
      <c r="I1998" s="181"/>
      <c r="J1998" s="305"/>
      <c r="K1998" s="199">
        <f>SUM(K1993:K1997)</f>
        <v>7500</v>
      </c>
      <c r="L1998" s="191"/>
      <c r="M1998" s="197"/>
      <c r="AV1998" s="138"/>
      <c r="AW1998" s="138"/>
      <c r="AX1998" s="138"/>
      <c r="AY1998" s="138"/>
      <c r="AZ1998" s="138"/>
      <c r="BA1998" s="138"/>
      <c r="BB1998" s="138"/>
      <c r="BC1998" s="138"/>
      <c r="BD1998" s="138"/>
      <c r="BE1998" s="138"/>
      <c r="BF1998" s="138"/>
      <c r="BG1998" s="138"/>
      <c r="BH1998" s="138"/>
      <c r="BI1998" s="138"/>
      <c r="BJ1998" s="138"/>
      <c r="BK1998" s="138"/>
      <c r="BL1998" s="138"/>
      <c r="BM1998" s="138"/>
      <c r="BN1998" s="138"/>
      <c r="BO1998" s="138"/>
    </row>
    <row r="1999" spans="1:67" ht="48" x14ac:dyDescent="0.2">
      <c r="A1999" s="167">
        <v>470</v>
      </c>
      <c r="B1999" s="168" t="s">
        <v>2529</v>
      </c>
      <c r="C1999" s="169"/>
      <c r="D1999" s="170" t="s">
        <v>107</v>
      </c>
      <c r="E1999" s="170"/>
      <c r="F1999" s="170"/>
      <c r="G1999" s="170"/>
      <c r="H1999" s="246"/>
      <c r="I1999" s="217" t="s">
        <v>2530</v>
      </c>
      <c r="J1999" s="265" t="s">
        <v>1348</v>
      </c>
      <c r="K1999" s="266">
        <f>7500*40%</f>
        <v>3000</v>
      </c>
      <c r="L1999" s="169" t="s">
        <v>111</v>
      </c>
      <c r="M1999" s="175" t="s">
        <v>2531</v>
      </c>
      <c r="AV1999" s="138"/>
      <c r="AW1999" s="138"/>
      <c r="AX1999" s="138"/>
      <c r="AY1999" s="138"/>
      <c r="AZ1999" s="138"/>
      <c r="BA1999" s="138"/>
      <c r="BB1999" s="138"/>
      <c r="BC1999" s="138"/>
      <c r="BD1999" s="138"/>
      <c r="BE1999" s="138"/>
      <c r="BF1999" s="138"/>
      <c r="BG1999" s="138"/>
      <c r="BH1999" s="138"/>
      <c r="BI1999" s="138"/>
      <c r="BJ1999" s="138"/>
      <c r="BK1999" s="138"/>
      <c r="BL1999" s="138"/>
      <c r="BM1999" s="138"/>
      <c r="BN1999" s="138"/>
      <c r="BO1999" s="138"/>
    </row>
    <row r="2000" spans="1:67" ht="48" x14ac:dyDescent="0.2">
      <c r="A2000" s="177"/>
      <c r="B2000" s="178"/>
      <c r="C2000" s="179"/>
      <c r="D2000" s="180"/>
      <c r="E2000" s="180"/>
      <c r="F2000" s="180"/>
      <c r="G2000" s="180"/>
      <c r="H2000" s="248"/>
      <c r="I2000" s="188" t="s">
        <v>2532</v>
      </c>
      <c r="J2000" s="270" t="s">
        <v>1348</v>
      </c>
      <c r="K2000" s="214">
        <f>7500*20%</f>
        <v>1500</v>
      </c>
      <c r="L2000" s="179"/>
      <c r="M2000" s="185"/>
      <c r="AV2000" s="138"/>
      <c r="AW2000" s="138"/>
      <c r="AX2000" s="138"/>
      <c r="AY2000" s="138"/>
      <c r="AZ2000" s="138"/>
      <c r="BA2000" s="138"/>
      <c r="BB2000" s="138"/>
      <c r="BC2000" s="138"/>
      <c r="BD2000" s="138"/>
      <c r="BE2000" s="138"/>
      <c r="BF2000" s="138"/>
      <c r="BG2000" s="138"/>
      <c r="BH2000" s="138"/>
      <c r="BI2000" s="138"/>
      <c r="BJ2000" s="138"/>
      <c r="BK2000" s="138"/>
      <c r="BL2000" s="138"/>
      <c r="BM2000" s="138"/>
      <c r="BN2000" s="138"/>
      <c r="BO2000" s="138"/>
    </row>
    <row r="2001" spans="1:67" ht="48" x14ac:dyDescent="0.2">
      <c r="A2001" s="177"/>
      <c r="B2001" s="178"/>
      <c r="C2001" s="179"/>
      <c r="D2001" s="180"/>
      <c r="E2001" s="180"/>
      <c r="F2001" s="180"/>
      <c r="G2001" s="180"/>
      <c r="H2001" s="248"/>
      <c r="I2001" s="188" t="s">
        <v>2525</v>
      </c>
      <c r="J2001" s="270" t="s">
        <v>1356</v>
      </c>
      <c r="K2001" s="214">
        <f>7500*20%</f>
        <v>1500</v>
      </c>
      <c r="L2001" s="179"/>
      <c r="M2001" s="185"/>
      <c r="AV2001" s="138"/>
      <c r="AW2001" s="138"/>
      <c r="AX2001" s="138"/>
      <c r="AY2001" s="138"/>
      <c r="AZ2001" s="138"/>
      <c r="BA2001" s="138"/>
      <c r="BB2001" s="138"/>
      <c r="BC2001" s="138"/>
      <c r="BD2001" s="138"/>
      <c r="BE2001" s="138"/>
      <c r="BF2001" s="138"/>
      <c r="BG2001" s="138"/>
      <c r="BH2001" s="138"/>
      <c r="BI2001" s="138"/>
      <c r="BJ2001" s="138"/>
      <c r="BK2001" s="138"/>
      <c r="BL2001" s="138"/>
      <c r="BM2001" s="138"/>
      <c r="BN2001" s="138"/>
      <c r="BO2001" s="138"/>
    </row>
    <row r="2002" spans="1:67" ht="48" x14ac:dyDescent="0.2">
      <c r="A2002" s="177"/>
      <c r="B2002" s="178"/>
      <c r="C2002" s="179"/>
      <c r="D2002" s="180"/>
      <c r="E2002" s="180"/>
      <c r="F2002" s="180"/>
      <c r="G2002" s="180"/>
      <c r="H2002" s="248"/>
      <c r="I2002" s="188" t="s">
        <v>2489</v>
      </c>
      <c r="J2002" s="270" t="s">
        <v>1356</v>
      </c>
      <c r="K2002" s="214">
        <f>7500*20%</f>
        <v>1500</v>
      </c>
      <c r="L2002" s="179"/>
      <c r="M2002" s="185"/>
      <c r="AV2002" s="138"/>
      <c r="AW2002" s="138"/>
      <c r="AX2002" s="138"/>
      <c r="AY2002" s="138"/>
      <c r="AZ2002" s="138"/>
      <c r="BA2002" s="138"/>
      <c r="BB2002" s="138"/>
      <c r="BC2002" s="138"/>
      <c r="BD2002" s="138"/>
      <c r="BE2002" s="138"/>
      <c r="BF2002" s="138"/>
      <c r="BG2002" s="138"/>
      <c r="BH2002" s="138"/>
      <c r="BI2002" s="138"/>
      <c r="BJ2002" s="138"/>
      <c r="BK2002" s="138"/>
      <c r="BL2002" s="138"/>
      <c r="BM2002" s="138"/>
      <c r="BN2002" s="138"/>
      <c r="BO2002" s="138"/>
    </row>
    <row r="2003" spans="1:67" x14ac:dyDescent="0.2">
      <c r="A2003" s="189"/>
      <c r="B2003" s="190"/>
      <c r="C2003" s="191"/>
      <c r="D2003" s="192"/>
      <c r="E2003" s="192"/>
      <c r="F2003" s="192"/>
      <c r="G2003" s="192"/>
      <c r="H2003" s="249"/>
      <c r="I2003" s="203"/>
      <c r="J2003" s="273"/>
      <c r="K2003" s="245">
        <f>SUM(K1999:K2002)</f>
        <v>7500</v>
      </c>
      <c r="L2003" s="191"/>
      <c r="M2003" s="197"/>
      <c r="AV2003" s="138"/>
      <c r="AW2003" s="138"/>
      <c r="AX2003" s="138"/>
      <c r="AY2003" s="138"/>
      <c r="AZ2003" s="138"/>
      <c r="BA2003" s="138"/>
      <c r="BB2003" s="138"/>
      <c r="BC2003" s="138"/>
      <c r="BD2003" s="138"/>
      <c r="BE2003" s="138"/>
      <c r="BF2003" s="138"/>
      <c r="BG2003" s="138"/>
      <c r="BH2003" s="138"/>
      <c r="BI2003" s="138"/>
      <c r="BJ2003" s="138"/>
      <c r="BK2003" s="138"/>
      <c r="BL2003" s="138"/>
      <c r="BM2003" s="138"/>
      <c r="BN2003" s="138"/>
      <c r="BO2003" s="138"/>
    </row>
    <row r="2004" spans="1:67" ht="48" x14ac:dyDescent="0.2">
      <c r="A2004" s="167">
        <v>471</v>
      </c>
      <c r="B2004" s="168" t="s">
        <v>2533</v>
      </c>
      <c r="C2004" s="169"/>
      <c r="D2004" s="170" t="s">
        <v>107</v>
      </c>
      <c r="E2004" s="170"/>
      <c r="F2004" s="170"/>
      <c r="G2004" s="170"/>
      <c r="H2004" s="246" t="s">
        <v>164</v>
      </c>
      <c r="I2004" s="274" t="s">
        <v>2534</v>
      </c>
      <c r="J2004" s="275" t="s">
        <v>1356</v>
      </c>
      <c r="K2004" s="276">
        <f>8000*50%</f>
        <v>4000</v>
      </c>
      <c r="L2004" s="169" t="s">
        <v>111</v>
      </c>
      <c r="M2004" s="175" t="s">
        <v>2535</v>
      </c>
      <c r="AV2004" s="138"/>
      <c r="AW2004" s="138"/>
      <c r="AX2004" s="138"/>
      <c r="AY2004" s="138"/>
      <c r="AZ2004" s="138"/>
      <c r="BA2004" s="138"/>
      <c r="BB2004" s="138"/>
      <c r="BC2004" s="138"/>
      <c r="BD2004" s="138"/>
      <c r="BE2004" s="138"/>
      <c r="BF2004" s="138"/>
      <c r="BG2004" s="138"/>
      <c r="BH2004" s="138"/>
      <c r="BI2004" s="138"/>
      <c r="BJ2004" s="138"/>
      <c r="BK2004" s="138"/>
      <c r="BL2004" s="138"/>
      <c r="BM2004" s="138"/>
      <c r="BN2004" s="138"/>
      <c r="BO2004" s="138"/>
    </row>
    <row r="2005" spans="1:67" ht="48" x14ac:dyDescent="0.2">
      <c r="A2005" s="177"/>
      <c r="B2005" s="178"/>
      <c r="C2005" s="179"/>
      <c r="D2005" s="180"/>
      <c r="E2005" s="180"/>
      <c r="F2005" s="180"/>
      <c r="G2005" s="180"/>
      <c r="H2005" s="248"/>
      <c r="I2005" s="188" t="s">
        <v>2536</v>
      </c>
      <c r="J2005" s="270" t="s">
        <v>1356</v>
      </c>
      <c r="K2005" s="214">
        <f>8000*50%</f>
        <v>4000</v>
      </c>
      <c r="L2005" s="179"/>
      <c r="M2005" s="185"/>
      <c r="AV2005" s="138"/>
      <c r="AW2005" s="138"/>
      <c r="AX2005" s="138"/>
      <c r="AY2005" s="138"/>
      <c r="AZ2005" s="138"/>
      <c r="BA2005" s="138"/>
      <c r="BB2005" s="138"/>
      <c r="BC2005" s="138"/>
      <c r="BD2005" s="138"/>
      <c r="BE2005" s="138"/>
      <c r="BF2005" s="138"/>
      <c r="BG2005" s="138"/>
      <c r="BH2005" s="138"/>
      <c r="BI2005" s="138"/>
      <c r="BJ2005" s="138"/>
      <c r="BK2005" s="138"/>
      <c r="BL2005" s="138"/>
      <c r="BM2005" s="138"/>
      <c r="BN2005" s="138"/>
      <c r="BO2005" s="138"/>
    </row>
    <row r="2006" spans="1:67" x14ac:dyDescent="0.2">
      <c r="A2006" s="189"/>
      <c r="B2006" s="190"/>
      <c r="C2006" s="191"/>
      <c r="D2006" s="192"/>
      <c r="E2006" s="192"/>
      <c r="F2006" s="192"/>
      <c r="G2006" s="192"/>
      <c r="H2006" s="249"/>
      <c r="I2006" s="181"/>
      <c r="J2006" s="305"/>
      <c r="K2006" s="199">
        <f>SUM(K2004:K2005)</f>
        <v>8000</v>
      </c>
      <c r="L2006" s="191"/>
      <c r="M2006" s="197"/>
      <c r="AV2006" s="138"/>
      <c r="AW2006" s="138"/>
      <c r="AX2006" s="138"/>
      <c r="AY2006" s="138"/>
      <c r="AZ2006" s="138"/>
      <c r="BA2006" s="138"/>
      <c r="BB2006" s="138"/>
      <c r="BC2006" s="138"/>
      <c r="BD2006" s="138"/>
      <c r="BE2006" s="138"/>
      <c r="BF2006" s="138"/>
      <c r="BG2006" s="138"/>
      <c r="BH2006" s="138"/>
      <c r="BI2006" s="138"/>
      <c r="BJ2006" s="138"/>
      <c r="BK2006" s="138"/>
      <c r="BL2006" s="138"/>
      <c r="BM2006" s="138"/>
      <c r="BN2006" s="138"/>
      <c r="BO2006" s="138"/>
    </row>
    <row r="2007" spans="1:67" ht="48" x14ac:dyDescent="0.2">
      <c r="A2007" s="167">
        <v>472</v>
      </c>
      <c r="B2007" s="168" t="s">
        <v>2537</v>
      </c>
      <c r="C2007" s="169"/>
      <c r="D2007" s="170" t="s">
        <v>107</v>
      </c>
      <c r="E2007" s="170"/>
      <c r="F2007" s="170"/>
      <c r="G2007" s="170"/>
      <c r="H2007" s="246" t="s">
        <v>164</v>
      </c>
      <c r="I2007" s="217" t="s">
        <v>2538</v>
      </c>
      <c r="J2007" s="265" t="s">
        <v>1348</v>
      </c>
      <c r="K2007" s="266">
        <f>8000*60%</f>
        <v>4800</v>
      </c>
      <c r="L2007" s="169" t="s">
        <v>111</v>
      </c>
      <c r="M2007" s="175" t="s">
        <v>2539</v>
      </c>
      <c r="AV2007" s="138"/>
      <c r="AW2007" s="138"/>
      <c r="AX2007" s="138"/>
      <c r="AY2007" s="138"/>
      <c r="AZ2007" s="138"/>
      <c r="BA2007" s="138"/>
      <c r="BB2007" s="138"/>
      <c r="BC2007" s="138"/>
      <c r="BD2007" s="138"/>
      <c r="BE2007" s="138"/>
      <c r="BF2007" s="138"/>
      <c r="BG2007" s="138"/>
      <c r="BH2007" s="138"/>
      <c r="BI2007" s="138"/>
      <c r="BJ2007" s="138"/>
      <c r="BK2007" s="138"/>
      <c r="BL2007" s="138"/>
      <c r="BM2007" s="138"/>
      <c r="BN2007" s="138"/>
      <c r="BO2007" s="138"/>
    </row>
    <row r="2008" spans="1:67" ht="48" x14ac:dyDescent="0.2">
      <c r="A2008" s="177"/>
      <c r="B2008" s="178"/>
      <c r="C2008" s="179"/>
      <c r="D2008" s="180"/>
      <c r="E2008" s="180"/>
      <c r="F2008" s="180"/>
      <c r="G2008" s="180"/>
      <c r="H2008" s="248"/>
      <c r="I2008" s="188" t="s">
        <v>2540</v>
      </c>
      <c r="J2008" s="270" t="s">
        <v>1356</v>
      </c>
      <c r="K2008" s="214">
        <f>8000*40%</f>
        <v>3200</v>
      </c>
      <c r="L2008" s="179"/>
      <c r="M2008" s="185"/>
      <c r="AV2008" s="138"/>
      <c r="AW2008" s="138"/>
      <c r="AX2008" s="138"/>
      <c r="AY2008" s="138"/>
      <c r="AZ2008" s="138"/>
      <c r="BA2008" s="138"/>
      <c r="BB2008" s="138"/>
      <c r="BC2008" s="138"/>
      <c r="BD2008" s="138"/>
      <c r="BE2008" s="138"/>
      <c r="BF2008" s="138"/>
      <c r="BG2008" s="138"/>
      <c r="BH2008" s="138"/>
      <c r="BI2008" s="138"/>
      <c r="BJ2008" s="138"/>
      <c r="BK2008" s="138"/>
      <c r="BL2008" s="138"/>
      <c r="BM2008" s="138"/>
      <c r="BN2008" s="138"/>
      <c r="BO2008" s="138"/>
    </row>
    <row r="2009" spans="1:67" x14ac:dyDescent="0.2">
      <c r="A2009" s="189"/>
      <c r="B2009" s="190"/>
      <c r="C2009" s="191"/>
      <c r="D2009" s="192"/>
      <c r="E2009" s="192"/>
      <c r="F2009" s="192"/>
      <c r="G2009" s="192"/>
      <c r="H2009" s="249"/>
      <c r="I2009" s="203"/>
      <c r="J2009" s="273"/>
      <c r="K2009" s="245">
        <f>SUM(K2007:K2008)</f>
        <v>8000</v>
      </c>
      <c r="L2009" s="191"/>
      <c r="M2009" s="197"/>
      <c r="AV2009" s="138"/>
      <c r="AW2009" s="138"/>
      <c r="AX2009" s="138"/>
      <c r="AY2009" s="138"/>
      <c r="AZ2009" s="138"/>
      <c r="BA2009" s="138"/>
      <c r="BB2009" s="138"/>
      <c r="BC2009" s="138"/>
      <c r="BD2009" s="138"/>
      <c r="BE2009" s="138"/>
      <c r="BF2009" s="138"/>
      <c r="BG2009" s="138"/>
      <c r="BH2009" s="138"/>
      <c r="BI2009" s="138"/>
      <c r="BJ2009" s="138"/>
      <c r="BK2009" s="138"/>
      <c r="BL2009" s="138"/>
      <c r="BM2009" s="138"/>
      <c r="BN2009" s="138"/>
      <c r="BO2009" s="138"/>
    </row>
    <row r="2010" spans="1:67" ht="22.5" customHeight="1" x14ac:dyDescent="0.2">
      <c r="A2010" s="167">
        <v>473</v>
      </c>
      <c r="B2010" s="168" t="s">
        <v>2541</v>
      </c>
      <c r="C2010" s="169"/>
      <c r="D2010" s="170" t="s">
        <v>107</v>
      </c>
      <c r="E2010" s="170"/>
      <c r="F2010" s="170"/>
      <c r="G2010" s="170"/>
      <c r="H2010" s="170"/>
      <c r="I2010" s="274" t="s">
        <v>2522</v>
      </c>
      <c r="J2010" s="275" t="s">
        <v>2542</v>
      </c>
      <c r="K2010" s="276">
        <f>8000*50%</f>
        <v>4000</v>
      </c>
      <c r="L2010" s="175" t="s">
        <v>111</v>
      </c>
      <c r="M2010" s="175" t="s">
        <v>2543</v>
      </c>
      <c r="AV2010" s="138"/>
      <c r="AW2010" s="138"/>
      <c r="AX2010" s="138"/>
      <c r="AY2010" s="138"/>
      <c r="AZ2010" s="138"/>
      <c r="BA2010" s="138"/>
      <c r="BB2010" s="138"/>
      <c r="BC2010" s="138"/>
      <c r="BD2010" s="138"/>
      <c r="BE2010" s="138"/>
      <c r="BF2010" s="138"/>
      <c r="BG2010" s="138"/>
      <c r="BH2010" s="138"/>
      <c r="BI2010" s="138"/>
      <c r="BJ2010" s="138"/>
      <c r="BK2010" s="138"/>
      <c r="BL2010" s="138"/>
      <c r="BM2010" s="138"/>
      <c r="BN2010" s="138"/>
      <c r="BO2010" s="138"/>
    </row>
    <row r="2011" spans="1:67" ht="48" x14ac:dyDescent="0.2">
      <c r="A2011" s="177"/>
      <c r="B2011" s="178"/>
      <c r="C2011" s="179"/>
      <c r="D2011" s="180"/>
      <c r="E2011" s="180"/>
      <c r="F2011" s="180"/>
      <c r="G2011" s="180"/>
      <c r="H2011" s="180"/>
      <c r="I2011" s="188" t="s">
        <v>2536</v>
      </c>
      <c r="J2011" s="270" t="s">
        <v>1356</v>
      </c>
      <c r="K2011" s="214">
        <f>8000*50%</f>
        <v>4000</v>
      </c>
      <c r="L2011" s="185"/>
      <c r="M2011" s="185"/>
      <c r="AV2011" s="138"/>
      <c r="AW2011" s="138"/>
      <c r="AX2011" s="138"/>
      <c r="AY2011" s="138"/>
      <c r="AZ2011" s="138"/>
      <c r="BA2011" s="138"/>
      <c r="BB2011" s="138"/>
      <c r="BC2011" s="138"/>
      <c r="BD2011" s="138"/>
      <c r="BE2011" s="138"/>
      <c r="BF2011" s="138"/>
      <c r="BG2011" s="138"/>
      <c r="BH2011" s="138"/>
      <c r="BI2011" s="138"/>
      <c r="BJ2011" s="138"/>
      <c r="BK2011" s="138"/>
      <c r="BL2011" s="138"/>
      <c r="BM2011" s="138"/>
      <c r="BN2011" s="138"/>
      <c r="BO2011" s="138"/>
    </row>
    <row r="2012" spans="1:67" x14ac:dyDescent="0.2">
      <c r="A2012" s="177"/>
      <c r="B2012" s="178"/>
      <c r="C2012" s="179"/>
      <c r="D2012" s="192"/>
      <c r="E2012" s="192"/>
      <c r="F2012" s="180"/>
      <c r="G2012" s="180"/>
      <c r="H2012" s="192"/>
      <c r="I2012" s="203"/>
      <c r="J2012" s="453"/>
      <c r="K2012" s="370">
        <f>SUM(K2010:K2011)</f>
        <v>8000</v>
      </c>
      <c r="L2012" s="197"/>
      <c r="M2012" s="185"/>
      <c r="AV2012" s="138"/>
      <c r="AW2012" s="138"/>
      <c r="AX2012" s="138"/>
      <c r="AY2012" s="138"/>
      <c r="AZ2012" s="138"/>
      <c r="BA2012" s="138"/>
      <c r="BB2012" s="138"/>
      <c r="BC2012" s="138"/>
      <c r="BD2012" s="138"/>
      <c r="BE2012" s="138"/>
      <c r="BF2012" s="138"/>
      <c r="BG2012" s="138"/>
      <c r="BH2012" s="138"/>
      <c r="BI2012" s="138"/>
      <c r="BJ2012" s="138"/>
      <c r="BK2012" s="138"/>
      <c r="BL2012" s="138"/>
      <c r="BM2012" s="138"/>
      <c r="BN2012" s="138"/>
      <c r="BO2012" s="138"/>
    </row>
    <row r="2013" spans="1:67" ht="21" customHeight="1" x14ac:dyDescent="0.2">
      <c r="A2013" s="167">
        <v>474</v>
      </c>
      <c r="B2013" s="168" t="s">
        <v>2544</v>
      </c>
      <c r="C2013" s="169"/>
      <c r="D2013" s="250" t="s">
        <v>107</v>
      </c>
      <c r="E2013" s="170"/>
      <c r="F2013" s="170"/>
      <c r="G2013" s="170"/>
      <c r="H2013" s="170"/>
      <c r="I2013" s="274" t="s">
        <v>2545</v>
      </c>
      <c r="J2013" s="247" t="s">
        <v>2546</v>
      </c>
      <c r="K2013" s="212">
        <f>5000*5%</f>
        <v>250</v>
      </c>
      <c r="L2013" s="174" t="s">
        <v>111</v>
      </c>
      <c r="M2013" s="175" t="s">
        <v>2547</v>
      </c>
      <c r="AV2013" s="138"/>
      <c r="AW2013" s="138"/>
      <c r="AX2013" s="138"/>
      <c r="AY2013" s="138"/>
      <c r="AZ2013" s="138"/>
      <c r="BA2013" s="138"/>
      <c r="BB2013" s="138"/>
      <c r="BC2013" s="138"/>
      <c r="BD2013" s="138"/>
      <c r="BE2013" s="138"/>
      <c r="BF2013" s="138"/>
      <c r="BG2013" s="138"/>
      <c r="BH2013" s="138"/>
      <c r="BI2013" s="138"/>
      <c r="BJ2013" s="138"/>
      <c r="BK2013" s="138"/>
      <c r="BL2013" s="138"/>
      <c r="BM2013" s="138"/>
      <c r="BN2013" s="138"/>
      <c r="BO2013" s="138"/>
    </row>
    <row r="2014" spans="1:67" ht="48" x14ac:dyDescent="0.2">
      <c r="A2014" s="177"/>
      <c r="B2014" s="178"/>
      <c r="C2014" s="179"/>
      <c r="D2014" s="243"/>
      <c r="E2014" s="180"/>
      <c r="F2014" s="180"/>
      <c r="G2014" s="180"/>
      <c r="H2014" s="180"/>
      <c r="I2014" s="188" t="s">
        <v>2510</v>
      </c>
      <c r="J2014" s="207" t="s">
        <v>1891</v>
      </c>
      <c r="K2014" s="229">
        <f t="shared" ref="K2014:K2016" si="43">5000*5%</f>
        <v>250</v>
      </c>
      <c r="L2014" s="184"/>
      <c r="M2014" s="185"/>
      <c r="AV2014" s="138"/>
      <c r="AW2014" s="138"/>
      <c r="AX2014" s="138"/>
      <c r="AY2014" s="138"/>
      <c r="AZ2014" s="138"/>
      <c r="BA2014" s="138"/>
      <c r="BB2014" s="138"/>
      <c r="BC2014" s="138"/>
      <c r="BD2014" s="138"/>
      <c r="BE2014" s="138"/>
      <c r="BF2014" s="138"/>
      <c r="BG2014" s="138"/>
      <c r="BH2014" s="138"/>
      <c r="BI2014" s="138"/>
      <c r="BJ2014" s="138"/>
      <c r="BK2014" s="138"/>
      <c r="BL2014" s="138"/>
      <c r="BM2014" s="138"/>
      <c r="BN2014" s="138"/>
      <c r="BO2014" s="138"/>
    </row>
    <row r="2015" spans="1:67" ht="48" x14ac:dyDescent="0.2">
      <c r="A2015" s="177"/>
      <c r="B2015" s="178"/>
      <c r="C2015" s="179"/>
      <c r="D2015" s="243"/>
      <c r="E2015" s="180"/>
      <c r="F2015" s="180"/>
      <c r="G2015" s="180"/>
      <c r="H2015" s="180"/>
      <c r="I2015" s="188" t="s">
        <v>2511</v>
      </c>
      <c r="J2015" s="207" t="s">
        <v>1891</v>
      </c>
      <c r="K2015" s="229">
        <f t="shared" si="43"/>
        <v>250</v>
      </c>
      <c r="L2015" s="184"/>
      <c r="M2015" s="185"/>
      <c r="AV2015" s="138"/>
      <c r="AW2015" s="138"/>
      <c r="AX2015" s="138"/>
      <c r="AY2015" s="138"/>
      <c r="AZ2015" s="138"/>
      <c r="BA2015" s="138"/>
      <c r="BB2015" s="138"/>
      <c r="BC2015" s="138"/>
      <c r="BD2015" s="138"/>
      <c r="BE2015" s="138"/>
      <c r="BF2015" s="138"/>
      <c r="BG2015" s="138"/>
      <c r="BH2015" s="138"/>
      <c r="BI2015" s="138"/>
      <c r="BJ2015" s="138"/>
      <c r="BK2015" s="138"/>
      <c r="BL2015" s="138"/>
      <c r="BM2015" s="138"/>
      <c r="BN2015" s="138"/>
      <c r="BO2015" s="138"/>
    </row>
    <row r="2016" spans="1:67" ht="48" x14ac:dyDescent="0.2">
      <c r="A2016" s="177"/>
      <c r="B2016" s="178"/>
      <c r="C2016" s="179"/>
      <c r="D2016" s="243"/>
      <c r="E2016" s="180"/>
      <c r="F2016" s="180"/>
      <c r="G2016" s="180"/>
      <c r="H2016" s="180"/>
      <c r="I2016" s="188" t="s">
        <v>2512</v>
      </c>
      <c r="J2016" s="207" t="s">
        <v>1891</v>
      </c>
      <c r="K2016" s="229">
        <f t="shared" si="43"/>
        <v>250</v>
      </c>
      <c r="L2016" s="184"/>
      <c r="M2016" s="185"/>
      <c r="AV2016" s="138"/>
      <c r="AW2016" s="138"/>
      <c r="AX2016" s="138"/>
      <c r="AY2016" s="138"/>
      <c r="AZ2016" s="138"/>
      <c r="BA2016" s="138"/>
      <c r="BB2016" s="138"/>
      <c r="BC2016" s="138"/>
      <c r="BD2016" s="138"/>
      <c r="BE2016" s="138"/>
      <c r="BF2016" s="138"/>
      <c r="BG2016" s="138"/>
      <c r="BH2016" s="138"/>
      <c r="BI2016" s="138"/>
      <c r="BJ2016" s="138"/>
      <c r="BK2016" s="138"/>
      <c r="BL2016" s="138"/>
      <c r="BM2016" s="138"/>
      <c r="BN2016" s="138"/>
      <c r="BO2016" s="138"/>
    </row>
    <row r="2017" spans="1:67" ht="48" x14ac:dyDescent="0.2">
      <c r="A2017" s="177"/>
      <c r="B2017" s="178"/>
      <c r="C2017" s="179"/>
      <c r="D2017" s="243"/>
      <c r="E2017" s="180"/>
      <c r="F2017" s="180"/>
      <c r="G2017" s="180"/>
      <c r="H2017" s="180"/>
      <c r="I2017" s="188" t="s">
        <v>2548</v>
      </c>
      <c r="J2017" s="207" t="s">
        <v>1891</v>
      </c>
      <c r="K2017" s="229">
        <f>5000*80%</f>
        <v>4000</v>
      </c>
      <c r="L2017" s="184"/>
      <c r="M2017" s="185"/>
      <c r="AV2017" s="138"/>
      <c r="AW2017" s="138"/>
      <c r="AX2017" s="138"/>
      <c r="AY2017" s="138"/>
      <c r="AZ2017" s="138"/>
      <c r="BA2017" s="138"/>
      <c r="BB2017" s="138"/>
      <c r="BC2017" s="138"/>
      <c r="BD2017" s="138"/>
      <c r="BE2017" s="138"/>
      <c r="BF2017" s="138"/>
      <c r="BG2017" s="138"/>
      <c r="BH2017" s="138"/>
      <c r="BI2017" s="138"/>
      <c r="BJ2017" s="138"/>
      <c r="BK2017" s="138"/>
      <c r="BL2017" s="138"/>
      <c r="BM2017" s="138"/>
      <c r="BN2017" s="138"/>
      <c r="BO2017" s="138"/>
    </row>
    <row r="2018" spans="1:67" x14ac:dyDescent="0.2">
      <c r="A2018" s="189"/>
      <c r="B2018" s="190"/>
      <c r="C2018" s="191"/>
      <c r="D2018" s="244"/>
      <c r="E2018" s="192"/>
      <c r="F2018" s="192"/>
      <c r="G2018" s="192"/>
      <c r="H2018" s="192"/>
      <c r="I2018" s="203"/>
      <c r="J2018" s="204"/>
      <c r="K2018" s="216">
        <f>SUM(K2013:K2017)</f>
        <v>5000</v>
      </c>
      <c r="L2018" s="196"/>
      <c r="M2018" s="197"/>
      <c r="AV2018" s="138"/>
      <c r="AW2018" s="138"/>
      <c r="AX2018" s="138"/>
      <c r="AY2018" s="138"/>
      <c r="AZ2018" s="138"/>
      <c r="BA2018" s="138"/>
      <c r="BB2018" s="138"/>
      <c r="BC2018" s="138"/>
      <c r="BD2018" s="138"/>
      <c r="BE2018" s="138"/>
      <c r="BF2018" s="138"/>
      <c r="BG2018" s="138"/>
      <c r="BH2018" s="138"/>
      <c r="BI2018" s="138"/>
      <c r="BJ2018" s="138"/>
      <c r="BK2018" s="138"/>
      <c r="BL2018" s="138"/>
      <c r="BM2018" s="138"/>
      <c r="BN2018" s="138"/>
      <c r="BO2018" s="138"/>
    </row>
    <row r="2019" spans="1:67" ht="21" customHeight="1" x14ac:dyDescent="0.2">
      <c r="A2019" s="167">
        <v>475</v>
      </c>
      <c r="B2019" s="168" t="s">
        <v>2549</v>
      </c>
      <c r="C2019" s="169"/>
      <c r="D2019" s="250" t="s">
        <v>107</v>
      </c>
      <c r="E2019" s="170"/>
      <c r="F2019" s="170"/>
      <c r="G2019" s="170"/>
      <c r="H2019" s="170"/>
      <c r="I2019" s="274" t="s">
        <v>2550</v>
      </c>
      <c r="J2019" s="247" t="s">
        <v>2546</v>
      </c>
      <c r="K2019" s="206">
        <f>5000*80%</f>
        <v>4000</v>
      </c>
      <c r="L2019" s="174" t="s">
        <v>111</v>
      </c>
      <c r="M2019" s="175" t="s">
        <v>2551</v>
      </c>
      <c r="AV2019" s="138"/>
      <c r="AW2019" s="138"/>
      <c r="AX2019" s="138"/>
      <c r="AY2019" s="138"/>
      <c r="AZ2019" s="138"/>
      <c r="BA2019" s="138"/>
      <c r="BB2019" s="138"/>
      <c r="BC2019" s="138"/>
      <c r="BD2019" s="138"/>
      <c r="BE2019" s="138"/>
      <c r="BF2019" s="138"/>
      <c r="BG2019" s="138"/>
      <c r="BH2019" s="138"/>
      <c r="BI2019" s="138"/>
      <c r="BJ2019" s="138"/>
      <c r="BK2019" s="138"/>
      <c r="BL2019" s="138"/>
      <c r="BM2019" s="138"/>
      <c r="BN2019" s="138"/>
      <c r="BO2019" s="138"/>
    </row>
    <row r="2020" spans="1:67" ht="48" x14ac:dyDescent="0.2">
      <c r="A2020" s="177"/>
      <c r="B2020" s="178"/>
      <c r="C2020" s="179"/>
      <c r="D2020" s="243"/>
      <c r="E2020" s="180"/>
      <c r="F2020" s="180"/>
      <c r="G2020" s="180"/>
      <c r="H2020" s="180"/>
      <c r="I2020" s="188" t="s">
        <v>1890</v>
      </c>
      <c r="J2020" s="207" t="s">
        <v>1891</v>
      </c>
      <c r="K2020" s="208">
        <f>5000*5%</f>
        <v>250</v>
      </c>
      <c r="L2020" s="184"/>
      <c r="M2020" s="185"/>
      <c r="AV2020" s="138"/>
      <c r="AW2020" s="138"/>
      <c r="AX2020" s="138"/>
      <c r="AY2020" s="138"/>
      <c r="AZ2020" s="138"/>
      <c r="BA2020" s="138"/>
      <c r="BB2020" s="138"/>
      <c r="BC2020" s="138"/>
      <c r="BD2020" s="138"/>
      <c r="BE2020" s="138"/>
      <c r="BF2020" s="138"/>
      <c r="BG2020" s="138"/>
      <c r="BH2020" s="138"/>
      <c r="BI2020" s="138"/>
      <c r="BJ2020" s="138"/>
      <c r="BK2020" s="138"/>
      <c r="BL2020" s="138"/>
      <c r="BM2020" s="138"/>
      <c r="BN2020" s="138"/>
      <c r="BO2020" s="138"/>
    </row>
    <row r="2021" spans="1:67" ht="48" x14ac:dyDescent="0.2">
      <c r="A2021" s="177"/>
      <c r="B2021" s="178"/>
      <c r="C2021" s="179"/>
      <c r="D2021" s="243"/>
      <c r="E2021" s="180"/>
      <c r="F2021" s="180"/>
      <c r="G2021" s="180"/>
      <c r="H2021" s="180"/>
      <c r="I2021" s="188" t="s">
        <v>2512</v>
      </c>
      <c r="J2021" s="207" t="s">
        <v>1891</v>
      </c>
      <c r="K2021" s="208">
        <f t="shared" ref="K2021:K2023" si="44">5000*5%</f>
        <v>250</v>
      </c>
      <c r="L2021" s="184"/>
      <c r="M2021" s="185"/>
      <c r="AV2021" s="138"/>
      <c r="AW2021" s="138"/>
      <c r="AX2021" s="138"/>
      <c r="AY2021" s="138"/>
      <c r="AZ2021" s="138"/>
      <c r="BA2021" s="138"/>
      <c r="BB2021" s="138"/>
      <c r="BC2021" s="138"/>
      <c r="BD2021" s="138"/>
      <c r="BE2021" s="138"/>
      <c r="BF2021" s="138"/>
      <c r="BG2021" s="138"/>
      <c r="BH2021" s="138"/>
      <c r="BI2021" s="138"/>
      <c r="BJ2021" s="138"/>
      <c r="BK2021" s="138"/>
      <c r="BL2021" s="138"/>
      <c r="BM2021" s="138"/>
      <c r="BN2021" s="138"/>
      <c r="BO2021" s="138"/>
    </row>
    <row r="2022" spans="1:67" ht="48" x14ac:dyDescent="0.2">
      <c r="A2022" s="177"/>
      <c r="B2022" s="178"/>
      <c r="C2022" s="179"/>
      <c r="D2022" s="243"/>
      <c r="E2022" s="180"/>
      <c r="F2022" s="180"/>
      <c r="G2022" s="180"/>
      <c r="H2022" s="180"/>
      <c r="I2022" s="188" t="s">
        <v>2552</v>
      </c>
      <c r="J2022" s="207" t="s">
        <v>1891</v>
      </c>
      <c r="K2022" s="208">
        <f t="shared" si="44"/>
        <v>250</v>
      </c>
      <c r="L2022" s="184"/>
      <c r="M2022" s="185"/>
      <c r="AV2022" s="138"/>
      <c r="AW2022" s="138"/>
      <c r="AX2022" s="138"/>
      <c r="AY2022" s="138"/>
      <c r="AZ2022" s="138"/>
      <c r="BA2022" s="138"/>
      <c r="BB2022" s="138"/>
      <c r="BC2022" s="138"/>
      <c r="BD2022" s="138"/>
      <c r="BE2022" s="138"/>
      <c r="BF2022" s="138"/>
      <c r="BG2022" s="138"/>
      <c r="BH2022" s="138"/>
      <c r="BI2022" s="138"/>
      <c r="BJ2022" s="138"/>
      <c r="BK2022" s="138"/>
      <c r="BL2022" s="138"/>
      <c r="BM2022" s="138"/>
      <c r="BN2022" s="138"/>
      <c r="BO2022" s="138"/>
    </row>
    <row r="2023" spans="1:67" ht="48" x14ac:dyDescent="0.2">
      <c r="A2023" s="177"/>
      <c r="B2023" s="178"/>
      <c r="C2023" s="179"/>
      <c r="D2023" s="243"/>
      <c r="E2023" s="180"/>
      <c r="F2023" s="180"/>
      <c r="G2023" s="180"/>
      <c r="H2023" s="180"/>
      <c r="I2023" s="188" t="s">
        <v>2510</v>
      </c>
      <c r="J2023" s="207" t="s">
        <v>1891</v>
      </c>
      <c r="K2023" s="208">
        <f t="shared" si="44"/>
        <v>250</v>
      </c>
      <c r="L2023" s="184"/>
      <c r="M2023" s="185"/>
      <c r="AV2023" s="138"/>
      <c r="AW2023" s="138"/>
      <c r="AX2023" s="138"/>
      <c r="AY2023" s="138"/>
      <c r="AZ2023" s="138"/>
      <c r="BA2023" s="138"/>
      <c r="BB2023" s="138"/>
      <c r="BC2023" s="138"/>
      <c r="BD2023" s="138"/>
      <c r="BE2023" s="138"/>
      <c r="BF2023" s="138"/>
      <c r="BG2023" s="138"/>
      <c r="BH2023" s="138"/>
      <c r="BI2023" s="138"/>
      <c r="BJ2023" s="138"/>
      <c r="BK2023" s="138"/>
      <c r="BL2023" s="138"/>
      <c r="BM2023" s="138"/>
      <c r="BN2023" s="138"/>
      <c r="BO2023" s="138"/>
    </row>
    <row r="2024" spans="1:67" x14ac:dyDescent="0.2">
      <c r="A2024" s="189"/>
      <c r="B2024" s="190"/>
      <c r="C2024" s="191"/>
      <c r="D2024" s="244"/>
      <c r="E2024" s="192"/>
      <c r="F2024" s="192"/>
      <c r="G2024" s="192"/>
      <c r="H2024" s="192"/>
      <c r="I2024" s="203"/>
      <c r="J2024" s="204"/>
      <c r="K2024" s="195">
        <f>SUM(K2019:K2023)</f>
        <v>5000</v>
      </c>
      <c r="L2024" s="196"/>
      <c r="M2024" s="197"/>
      <c r="AV2024" s="138"/>
      <c r="AW2024" s="138"/>
      <c r="AX2024" s="138"/>
      <c r="AY2024" s="138"/>
      <c r="AZ2024" s="138"/>
      <c r="BA2024" s="138"/>
      <c r="BB2024" s="138"/>
      <c r="BC2024" s="138"/>
      <c r="BD2024" s="138"/>
      <c r="BE2024" s="138"/>
      <c r="BF2024" s="138"/>
      <c r="BG2024" s="138"/>
      <c r="BH2024" s="138"/>
      <c r="BI2024" s="138"/>
      <c r="BJ2024" s="138"/>
      <c r="BK2024" s="138"/>
      <c r="BL2024" s="138"/>
      <c r="BM2024" s="138"/>
      <c r="BN2024" s="138"/>
      <c r="BO2024" s="138"/>
    </row>
    <row r="2025" spans="1:67" ht="21" customHeight="1" x14ac:dyDescent="0.2">
      <c r="A2025" s="167">
        <v>476</v>
      </c>
      <c r="B2025" s="168" t="s">
        <v>2553</v>
      </c>
      <c r="C2025" s="169"/>
      <c r="D2025" s="250" t="s">
        <v>107</v>
      </c>
      <c r="E2025" s="170"/>
      <c r="F2025" s="170"/>
      <c r="G2025" s="170"/>
      <c r="H2025" s="170"/>
      <c r="I2025" s="274" t="s">
        <v>2554</v>
      </c>
      <c r="J2025" s="247" t="s">
        <v>2546</v>
      </c>
      <c r="K2025" s="206">
        <f>5000*5%</f>
        <v>250</v>
      </c>
      <c r="L2025" s="174" t="s">
        <v>111</v>
      </c>
      <c r="M2025" s="175" t="s">
        <v>2555</v>
      </c>
      <c r="AV2025" s="138"/>
      <c r="AW2025" s="138"/>
      <c r="AX2025" s="138"/>
      <c r="AY2025" s="138"/>
      <c r="AZ2025" s="138"/>
      <c r="BA2025" s="138"/>
      <c r="BB2025" s="138"/>
      <c r="BC2025" s="138"/>
      <c r="BD2025" s="138"/>
      <c r="BE2025" s="138"/>
      <c r="BF2025" s="138"/>
      <c r="BG2025" s="138"/>
      <c r="BH2025" s="138"/>
      <c r="BI2025" s="138"/>
      <c r="BJ2025" s="138"/>
      <c r="BK2025" s="138"/>
      <c r="BL2025" s="138"/>
      <c r="BM2025" s="138"/>
      <c r="BN2025" s="138"/>
      <c r="BO2025" s="138"/>
    </row>
    <row r="2026" spans="1:67" ht="48" x14ac:dyDescent="0.2">
      <c r="A2026" s="177"/>
      <c r="B2026" s="178"/>
      <c r="C2026" s="179"/>
      <c r="D2026" s="243"/>
      <c r="E2026" s="180"/>
      <c r="F2026" s="180"/>
      <c r="G2026" s="180"/>
      <c r="H2026" s="180"/>
      <c r="I2026" s="188" t="s">
        <v>2511</v>
      </c>
      <c r="J2026" s="207" t="s">
        <v>1891</v>
      </c>
      <c r="K2026" s="208">
        <f t="shared" ref="K2026:K2029" si="45">5000*5%</f>
        <v>250</v>
      </c>
      <c r="L2026" s="184"/>
      <c r="M2026" s="185"/>
      <c r="AV2026" s="138"/>
      <c r="AW2026" s="138"/>
      <c r="AX2026" s="138"/>
      <c r="AY2026" s="138"/>
      <c r="AZ2026" s="138"/>
      <c r="BA2026" s="138"/>
      <c r="BB2026" s="138"/>
      <c r="BC2026" s="138"/>
      <c r="BD2026" s="138"/>
      <c r="BE2026" s="138"/>
      <c r="BF2026" s="138"/>
      <c r="BG2026" s="138"/>
      <c r="BH2026" s="138"/>
      <c r="BI2026" s="138"/>
      <c r="BJ2026" s="138"/>
      <c r="BK2026" s="138"/>
      <c r="BL2026" s="138"/>
      <c r="BM2026" s="138"/>
      <c r="BN2026" s="138"/>
      <c r="BO2026" s="138"/>
    </row>
    <row r="2027" spans="1:67" ht="48" x14ac:dyDescent="0.2">
      <c r="A2027" s="177"/>
      <c r="B2027" s="178"/>
      <c r="C2027" s="179"/>
      <c r="D2027" s="243"/>
      <c r="E2027" s="180"/>
      <c r="F2027" s="180"/>
      <c r="G2027" s="180"/>
      <c r="H2027" s="180"/>
      <c r="I2027" s="188" t="s">
        <v>2556</v>
      </c>
      <c r="J2027" s="207" t="s">
        <v>1891</v>
      </c>
      <c r="K2027" s="208">
        <f>5000*80%</f>
        <v>4000</v>
      </c>
      <c r="L2027" s="184"/>
      <c r="M2027" s="185"/>
      <c r="AV2027" s="138"/>
      <c r="AW2027" s="138"/>
      <c r="AX2027" s="138"/>
      <c r="AY2027" s="138"/>
      <c r="AZ2027" s="138"/>
      <c r="BA2027" s="138"/>
      <c r="BB2027" s="138"/>
      <c r="BC2027" s="138"/>
      <c r="BD2027" s="138"/>
      <c r="BE2027" s="138"/>
      <c r="BF2027" s="138"/>
      <c r="BG2027" s="138"/>
      <c r="BH2027" s="138"/>
      <c r="BI2027" s="138"/>
      <c r="BJ2027" s="138"/>
      <c r="BK2027" s="138"/>
      <c r="BL2027" s="138"/>
      <c r="BM2027" s="138"/>
      <c r="BN2027" s="138"/>
      <c r="BO2027" s="138"/>
    </row>
    <row r="2028" spans="1:67" ht="48" x14ac:dyDescent="0.2">
      <c r="A2028" s="177"/>
      <c r="B2028" s="178"/>
      <c r="C2028" s="179"/>
      <c r="D2028" s="243"/>
      <c r="E2028" s="180"/>
      <c r="F2028" s="180"/>
      <c r="G2028" s="180"/>
      <c r="H2028" s="180"/>
      <c r="I2028" s="188" t="s">
        <v>2552</v>
      </c>
      <c r="J2028" s="207" t="s">
        <v>1891</v>
      </c>
      <c r="K2028" s="208">
        <f t="shared" si="45"/>
        <v>250</v>
      </c>
      <c r="L2028" s="184"/>
      <c r="M2028" s="185"/>
      <c r="AV2028" s="138"/>
      <c r="AW2028" s="138"/>
      <c r="AX2028" s="138"/>
      <c r="AY2028" s="138"/>
      <c r="AZ2028" s="138"/>
      <c r="BA2028" s="138"/>
      <c r="BB2028" s="138"/>
      <c r="BC2028" s="138"/>
      <c r="BD2028" s="138"/>
      <c r="BE2028" s="138"/>
      <c r="BF2028" s="138"/>
      <c r="BG2028" s="138"/>
      <c r="BH2028" s="138"/>
      <c r="BI2028" s="138"/>
      <c r="BJ2028" s="138"/>
      <c r="BK2028" s="138"/>
      <c r="BL2028" s="138"/>
      <c r="BM2028" s="138"/>
      <c r="BN2028" s="138"/>
      <c r="BO2028" s="138"/>
    </row>
    <row r="2029" spans="1:67" ht="48" x14ac:dyDescent="0.2">
      <c r="A2029" s="177"/>
      <c r="B2029" s="178"/>
      <c r="C2029" s="179"/>
      <c r="D2029" s="243"/>
      <c r="E2029" s="180"/>
      <c r="F2029" s="180"/>
      <c r="G2029" s="180"/>
      <c r="H2029" s="180"/>
      <c r="I2029" s="188" t="s">
        <v>1890</v>
      </c>
      <c r="J2029" s="207" t="s">
        <v>1891</v>
      </c>
      <c r="K2029" s="208">
        <f t="shared" si="45"/>
        <v>250</v>
      </c>
      <c r="L2029" s="184"/>
      <c r="M2029" s="185"/>
      <c r="AV2029" s="138"/>
      <c r="AW2029" s="138"/>
      <c r="AX2029" s="138"/>
      <c r="AY2029" s="138"/>
      <c r="AZ2029" s="138"/>
      <c r="BA2029" s="138"/>
      <c r="BB2029" s="138"/>
      <c r="BC2029" s="138"/>
      <c r="BD2029" s="138"/>
      <c r="BE2029" s="138"/>
      <c r="BF2029" s="138"/>
      <c r="BG2029" s="138"/>
      <c r="BH2029" s="138"/>
      <c r="BI2029" s="138"/>
      <c r="BJ2029" s="138"/>
      <c r="BK2029" s="138"/>
      <c r="BL2029" s="138"/>
      <c r="BM2029" s="138"/>
      <c r="BN2029" s="138"/>
      <c r="BO2029" s="138"/>
    </row>
    <row r="2030" spans="1:67" x14ac:dyDescent="0.2">
      <c r="A2030" s="189"/>
      <c r="B2030" s="190"/>
      <c r="C2030" s="191"/>
      <c r="D2030" s="244"/>
      <c r="E2030" s="192"/>
      <c r="F2030" s="192"/>
      <c r="G2030" s="192"/>
      <c r="H2030" s="192"/>
      <c r="I2030" s="203"/>
      <c r="J2030" s="204"/>
      <c r="K2030" s="195">
        <f>SUM(K2025:K2029)</f>
        <v>5000</v>
      </c>
      <c r="L2030" s="196"/>
      <c r="M2030" s="197"/>
      <c r="AV2030" s="138"/>
      <c r="AW2030" s="138"/>
      <c r="AX2030" s="138"/>
      <c r="AY2030" s="138"/>
      <c r="AZ2030" s="138"/>
      <c r="BA2030" s="138"/>
      <c r="BB2030" s="138"/>
      <c r="BC2030" s="138"/>
      <c r="BD2030" s="138"/>
      <c r="BE2030" s="138"/>
      <c r="BF2030" s="138"/>
      <c r="BG2030" s="138"/>
      <c r="BH2030" s="138"/>
      <c r="BI2030" s="138"/>
      <c r="BJ2030" s="138"/>
      <c r="BK2030" s="138"/>
      <c r="BL2030" s="138"/>
      <c r="BM2030" s="138"/>
      <c r="BN2030" s="138"/>
      <c r="BO2030" s="138"/>
    </row>
    <row r="2031" spans="1:67" ht="21" customHeight="1" x14ac:dyDescent="0.2">
      <c r="A2031" s="167">
        <v>477</v>
      </c>
      <c r="B2031" s="168" t="s">
        <v>2557</v>
      </c>
      <c r="C2031" s="169"/>
      <c r="D2031" s="250" t="s">
        <v>107</v>
      </c>
      <c r="E2031" s="170"/>
      <c r="F2031" s="170"/>
      <c r="G2031" s="170"/>
      <c r="H2031" s="170"/>
      <c r="I2031" s="274" t="s">
        <v>2558</v>
      </c>
      <c r="J2031" s="247" t="s">
        <v>2559</v>
      </c>
      <c r="K2031" s="206">
        <f>5700*80%</f>
        <v>4560</v>
      </c>
      <c r="L2031" s="174" t="s">
        <v>111</v>
      </c>
      <c r="M2031" s="175" t="s">
        <v>2560</v>
      </c>
      <c r="AV2031" s="138"/>
      <c r="AW2031" s="138"/>
      <c r="AX2031" s="138"/>
      <c r="AY2031" s="138"/>
      <c r="AZ2031" s="138"/>
      <c r="BA2031" s="138"/>
      <c r="BB2031" s="138"/>
      <c r="BC2031" s="138"/>
      <c r="BD2031" s="138"/>
      <c r="BE2031" s="138"/>
      <c r="BF2031" s="138"/>
      <c r="BG2031" s="138"/>
      <c r="BH2031" s="138"/>
      <c r="BI2031" s="138"/>
      <c r="BJ2031" s="138"/>
      <c r="BK2031" s="138"/>
      <c r="BL2031" s="138"/>
      <c r="BM2031" s="138"/>
      <c r="BN2031" s="138"/>
      <c r="BO2031" s="138"/>
    </row>
    <row r="2032" spans="1:67" ht="48" x14ac:dyDescent="0.2">
      <c r="A2032" s="177"/>
      <c r="B2032" s="178"/>
      <c r="C2032" s="179"/>
      <c r="D2032" s="243"/>
      <c r="E2032" s="180"/>
      <c r="F2032" s="180"/>
      <c r="G2032" s="180"/>
      <c r="H2032" s="180"/>
      <c r="I2032" s="188" t="s">
        <v>2561</v>
      </c>
      <c r="J2032" s="207" t="s">
        <v>2501</v>
      </c>
      <c r="K2032" s="208">
        <f>5700*5%</f>
        <v>285</v>
      </c>
      <c r="L2032" s="184"/>
      <c r="M2032" s="185"/>
      <c r="AV2032" s="138"/>
      <c r="AW2032" s="138"/>
      <c r="AX2032" s="138"/>
      <c r="AY2032" s="138"/>
      <c r="AZ2032" s="138"/>
      <c r="BA2032" s="138"/>
      <c r="BB2032" s="138"/>
      <c r="BC2032" s="138"/>
      <c r="BD2032" s="138"/>
      <c r="BE2032" s="138"/>
      <c r="BF2032" s="138"/>
      <c r="BG2032" s="138"/>
      <c r="BH2032" s="138"/>
      <c r="BI2032" s="138"/>
      <c r="BJ2032" s="138"/>
      <c r="BK2032" s="138"/>
      <c r="BL2032" s="138"/>
      <c r="BM2032" s="138"/>
      <c r="BN2032" s="138"/>
      <c r="BO2032" s="138"/>
    </row>
    <row r="2033" spans="1:67" ht="48" x14ac:dyDescent="0.2">
      <c r="A2033" s="177"/>
      <c r="B2033" s="178"/>
      <c r="C2033" s="179"/>
      <c r="D2033" s="243"/>
      <c r="E2033" s="180"/>
      <c r="F2033" s="180"/>
      <c r="G2033" s="180"/>
      <c r="H2033" s="180"/>
      <c r="I2033" s="188" t="s">
        <v>2562</v>
      </c>
      <c r="J2033" s="207" t="s">
        <v>2501</v>
      </c>
      <c r="K2033" s="208">
        <f t="shared" ref="K2033:K2035" si="46">5700*5%</f>
        <v>285</v>
      </c>
      <c r="L2033" s="184"/>
      <c r="M2033" s="185"/>
      <c r="AV2033" s="138"/>
      <c r="AW2033" s="138"/>
      <c r="AX2033" s="138"/>
      <c r="AY2033" s="138"/>
      <c r="AZ2033" s="138"/>
      <c r="BA2033" s="138"/>
      <c r="BB2033" s="138"/>
      <c r="BC2033" s="138"/>
      <c r="BD2033" s="138"/>
      <c r="BE2033" s="138"/>
      <c r="BF2033" s="138"/>
      <c r="BG2033" s="138"/>
      <c r="BH2033" s="138"/>
      <c r="BI2033" s="138"/>
      <c r="BJ2033" s="138"/>
      <c r="BK2033" s="138"/>
      <c r="BL2033" s="138"/>
      <c r="BM2033" s="138"/>
      <c r="BN2033" s="138"/>
      <c r="BO2033" s="138"/>
    </row>
    <row r="2034" spans="1:67" ht="48" x14ac:dyDescent="0.2">
      <c r="A2034" s="177"/>
      <c r="B2034" s="178"/>
      <c r="C2034" s="179"/>
      <c r="D2034" s="243"/>
      <c r="E2034" s="180"/>
      <c r="F2034" s="180"/>
      <c r="G2034" s="180"/>
      <c r="H2034" s="180"/>
      <c r="I2034" s="188" t="s">
        <v>2563</v>
      </c>
      <c r="J2034" s="207" t="s">
        <v>2501</v>
      </c>
      <c r="K2034" s="208">
        <f t="shared" si="46"/>
        <v>285</v>
      </c>
      <c r="L2034" s="184"/>
      <c r="M2034" s="185"/>
      <c r="AV2034" s="138"/>
      <c r="AW2034" s="138"/>
      <c r="AX2034" s="138"/>
      <c r="AY2034" s="138"/>
      <c r="AZ2034" s="138"/>
      <c r="BA2034" s="138"/>
      <c r="BB2034" s="138"/>
      <c r="BC2034" s="138"/>
      <c r="BD2034" s="138"/>
      <c r="BE2034" s="138"/>
      <c r="BF2034" s="138"/>
      <c r="BG2034" s="138"/>
      <c r="BH2034" s="138"/>
      <c r="BI2034" s="138"/>
      <c r="BJ2034" s="138"/>
      <c r="BK2034" s="138"/>
      <c r="BL2034" s="138"/>
      <c r="BM2034" s="138"/>
      <c r="BN2034" s="138"/>
      <c r="BO2034" s="138"/>
    </row>
    <row r="2035" spans="1:67" ht="48" x14ac:dyDescent="0.2">
      <c r="A2035" s="177"/>
      <c r="B2035" s="178"/>
      <c r="C2035" s="179"/>
      <c r="D2035" s="243"/>
      <c r="E2035" s="180"/>
      <c r="F2035" s="180"/>
      <c r="G2035" s="180"/>
      <c r="H2035" s="180"/>
      <c r="I2035" s="188" t="s">
        <v>2564</v>
      </c>
      <c r="J2035" s="207" t="s">
        <v>2501</v>
      </c>
      <c r="K2035" s="208">
        <f t="shared" si="46"/>
        <v>285</v>
      </c>
      <c r="L2035" s="184"/>
      <c r="M2035" s="185"/>
      <c r="AV2035" s="138"/>
      <c r="AW2035" s="138"/>
      <c r="AX2035" s="138"/>
      <c r="AY2035" s="138"/>
      <c r="AZ2035" s="138"/>
      <c r="BA2035" s="138"/>
      <c r="BB2035" s="138"/>
      <c r="BC2035" s="138"/>
      <c r="BD2035" s="138"/>
      <c r="BE2035" s="138"/>
      <c r="BF2035" s="138"/>
      <c r="BG2035" s="138"/>
      <c r="BH2035" s="138"/>
      <c r="BI2035" s="138"/>
      <c r="BJ2035" s="138"/>
      <c r="BK2035" s="138"/>
      <c r="BL2035" s="138"/>
      <c r="BM2035" s="138"/>
      <c r="BN2035" s="138"/>
      <c r="BO2035" s="138"/>
    </row>
    <row r="2036" spans="1:67" x14ac:dyDescent="0.2">
      <c r="A2036" s="189"/>
      <c r="B2036" s="190"/>
      <c r="C2036" s="191"/>
      <c r="D2036" s="244"/>
      <c r="E2036" s="192"/>
      <c r="F2036" s="192"/>
      <c r="G2036" s="192"/>
      <c r="H2036" s="192"/>
      <c r="I2036" s="203"/>
      <c r="J2036" s="204"/>
      <c r="K2036" s="195">
        <f>SUM(K2031:K2035)</f>
        <v>5700</v>
      </c>
      <c r="L2036" s="196"/>
      <c r="M2036" s="197"/>
      <c r="AV2036" s="138"/>
      <c r="AW2036" s="138"/>
      <c r="AX2036" s="138"/>
      <c r="AY2036" s="138"/>
      <c r="AZ2036" s="138"/>
      <c r="BA2036" s="138"/>
      <c r="BB2036" s="138"/>
      <c r="BC2036" s="138"/>
      <c r="BD2036" s="138"/>
      <c r="BE2036" s="138"/>
      <c r="BF2036" s="138"/>
      <c r="BG2036" s="138"/>
      <c r="BH2036" s="138"/>
      <c r="BI2036" s="138"/>
      <c r="BJ2036" s="138"/>
      <c r="BK2036" s="138"/>
      <c r="BL2036" s="138"/>
      <c r="BM2036" s="138"/>
      <c r="BN2036" s="138"/>
      <c r="BO2036" s="138"/>
    </row>
    <row r="2037" spans="1:67" ht="21" customHeight="1" x14ac:dyDescent="0.2">
      <c r="A2037" s="167">
        <v>478</v>
      </c>
      <c r="B2037" s="168" t="s">
        <v>2565</v>
      </c>
      <c r="C2037" s="169"/>
      <c r="D2037" s="250" t="s">
        <v>107</v>
      </c>
      <c r="E2037" s="170"/>
      <c r="F2037" s="170"/>
      <c r="G2037" s="170"/>
      <c r="H2037" s="170"/>
      <c r="I2037" s="274" t="s">
        <v>2566</v>
      </c>
      <c r="J2037" s="247" t="s">
        <v>2559</v>
      </c>
      <c r="K2037" s="206">
        <f>2900*80%</f>
        <v>2320</v>
      </c>
      <c r="L2037" s="174" t="s">
        <v>111</v>
      </c>
      <c r="M2037" s="175" t="s">
        <v>2567</v>
      </c>
      <c r="AV2037" s="138"/>
      <c r="AW2037" s="138"/>
      <c r="AX2037" s="138"/>
      <c r="AY2037" s="138"/>
      <c r="AZ2037" s="138"/>
      <c r="BA2037" s="138"/>
      <c r="BB2037" s="138"/>
      <c r="BC2037" s="138"/>
      <c r="BD2037" s="138"/>
      <c r="BE2037" s="138"/>
      <c r="BF2037" s="138"/>
      <c r="BG2037" s="138"/>
      <c r="BH2037" s="138"/>
      <c r="BI2037" s="138"/>
      <c r="BJ2037" s="138"/>
      <c r="BK2037" s="138"/>
      <c r="BL2037" s="138"/>
      <c r="BM2037" s="138"/>
      <c r="BN2037" s="138"/>
      <c r="BO2037" s="138"/>
    </row>
    <row r="2038" spans="1:67" ht="48" x14ac:dyDescent="0.2">
      <c r="A2038" s="177"/>
      <c r="B2038" s="178"/>
      <c r="C2038" s="179"/>
      <c r="D2038" s="243"/>
      <c r="E2038" s="180"/>
      <c r="F2038" s="180"/>
      <c r="G2038" s="180"/>
      <c r="H2038" s="180"/>
      <c r="I2038" s="188" t="s">
        <v>2506</v>
      </c>
      <c r="J2038" s="207" t="s">
        <v>2501</v>
      </c>
      <c r="K2038" s="208">
        <f>2900*5%</f>
        <v>145</v>
      </c>
      <c r="L2038" s="184"/>
      <c r="M2038" s="185"/>
      <c r="AV2038" s="138"/>
      <c r="AW2038" s="138"/>
      <c r="AX2038" s="138"/>
      <c r="AY2038" s="138"/>
      <c r="AZ2038" s="138"/>
      <c r="BA2038" s="138"/>
      <c r="BB2038" s="138"/>
      <c r="BC2038" s="138"/>
      <c r="BD2038" s="138"/>
      <c r="BE2038" s="138"/>
      <c r="BF2038" s="138"/>
      <c r="BG2038" s="138"/>
      <c r="BH2038" s="138"/>
      <c r="BI2038" s="138"/>
      <c r="BJ2038" s="138"/>
      <c r="BK2038" s="138"/>
      <c r="BL2038" s="138"/>
      <c r="BM2038" s="138"/>
      <c r="BN2038" s="138"/>
      <c r="BO2038" s="138"/>
    </row>
    <row r="2039" spans="1:67" ht="48" x14ac:dyDescent="0.2">
      <c r="A2039" s="177"/>
      <c r="B2039" s="178"/>
      <c r="C2039" s="179"/>
      <c r="D2039" s="243"/>
      <c r="E2039" s="180"/>
      <c r="F2039" s="180"/>
      <c r="G2039" s="180"/>
      <c r="H2039" s="180"/>
      <c r="I2039" s="188" t="s">
        <v>2503</v>
      </c>
      <c r="J2039" s="207" t="s">
        <v>2501</v>
      </c>
      <c r="K2039" s="208">
        <f t="shared" ref="K2039:K2041" si="47">2900*5%</f>
        <v>145</v>
      </c>
      <c r="L2039" s="184"/>
      <c r="M2039" s="185"/>
      <c r="AV2039" s="138"/>
      <c r="AW2039" s="138"/>
      <c r="AX2039" s="138"/>
      <c r="AY2039" s="138"/>
      <c r="AZ2039" s="138"/>
      <c r="BA2039" s="138"/>
      <c r="BB2039" s="138"/>
      <c r="BC2039" s="138"/>
      <c r="BD2039" s="138"/>
      <c r="BE2039" s="138"/>
      <c r="BF2039" s="138"/>
      <c r="BG2039" s="138"/>
      <c r="BH2039" s="138"/>
      <c r="BI2039" s="138"/>
      <c r="BJ2039" s="138"/>
      <c r="BK2039" s="138"/>
      <c r="BL2039" s="138"/>
      <c r="BM2039" s="138"/>
      <c r="BN2039" s="138"/>
      <c r="BO2039" s="138"/>
    </row>
    <row r="2040" spans="1:67" ht="48" x14ac:dyDescent="0.2">
      <c r="A2040" s="177"/>
      <c r="B2040" s="178"/>
      <c r="C2040" s="179"/>
      <c r="D2040" s="243"/>
      <c r="E2040" s="180"/>
      <c r="F2040" s="180"/>
      <c r="G2040" s="180"/>
      <c r="H2040" s="180"/>
      <c r="I2040" s="188" t="s">
        <v>2504</v>
      </c>
      <c r="J2040" s="207" t="s">
        <v>2501</v>
      </c>
      <c r="K2040" s="208">
        <f t="shared" si="47"/>
        <v>145</v>
      </c>
      <c r="L2040" s="184"/>
      <c r="M2040" s="185"/>
      <c r="AV2040" s="138"/>
      <c r="AW2040" s="138"/>
      <c r="AX2040" s="138"/>
      <c r="AY2040" s="138"/>
      <c r="AZ2040" s="138"/>
      <c r="BA2040" s="138"/>
      <c r="BB2040" s="138"/>
      <c r="BC2040" s="138"/>
      <c r="BD2040" s="138"/>
      <c r="BE2040" s="138"/>
      <c r="BF2040" s="138"/>
      <c r="BG2040" s="138"/>
      <c r="BH2040" s="138"/>
      <c r="BI2040" s="138"/>
      <c r="BJ2040" s="138"/>
      <c r="BK2040" s="138"/>
      <c r="BL2040" s="138"/>
      <c r="BM2040" s="138"/>
      <c r="BN2040" s="138"/>
      <c r="BO2040" s="138"/>
    </row>
    <row r="2041" spans="1:67" ht="48" x14ac:dyDescent="0.2">
      <c r="A2041" s="177"/>
      <c r="B2041" s="178"/>
      <c r="C2041" s="179"/>
      <c r="D2041" s="243"/>
      <c r="E2041" s="180"/>
      <c r="F2041" s="180"/>
      <c r="G2041" s="180"/>
      <c r="H2041" s="180"/>
      <c r="I2041" s="188" t="s">
        <v>2505</v>
      </c>
      <c r="J2041" s="207" t="s">
        <v>2501</v>
      </c>
      <c r="K2041" s="208">
        <f t="shared" si="47"/>
        <v>145</v>
      </c>
      <c r="L2041" s="184"/>
      <c r="M2041" s="185"/>
      <c r="AV2041" s="138"/>
      <c r="AW2041" s="138"/>
      <c r="AX2041" s="138"/>
      <c r="AY2041" s="138"/>
      <c r="AZ2041" s="138"/>
      <c r="BA2041" s="138"/>
      <c r="BB2041" s="138"/>
      <c r="BC2041" s="138"/>
      <c r="BD2041" s="138"/>
      <c r="BE2041" s="138"/>
      <c r="BF2041" s="138"/>
      <c r="BG2041" s="138"/>
      <c r="BH2041" s="138"/>
      <c r="BI2041" s="138"/>
      <c r="BJ2041" s="138"/>
      <c r="BK2041" s="138"/>
      <c r="BL2041" s="138"/>
      <c r="BM2041" s="138"/>
      <c r="BN2041" s="138"/>
      <c r="BO2041" s="138"/>
    </row>
    <row r="2042" spans="1:67" x14ac:dyDescent="0.2">
      <c r="A2042" s="189"/>
      <c r="B2042" s="190"/>
      <c r="C2042" s="191"/>
      <c r="D2042" s="244"/>
      <c r="E2042" s="192"/>
      <c r="F2042" s="192"/>
      <c r="G2042" s="192"/>
      <c r="H2042" s="192"/>
      <c r="I2042" s="203"/>
      <c r="J2042" s="204"/>
      <c r="K2042" s="195">
        <f>SUM(K2037:K2041)</f>
        <v>2900</v>
      </c>
      <c r="L2042" s="196"/>
      <c r="M2042" s="197"/>
      <c r="AV2042" s="138"/>
      <c r="AW2042" s="138"/>
      <c r="AX2042" s="138"/>
      <c r="AY2042" s="138"/>
      <c r="AZ2042" s="138"/>
      <c r="BA2042" s="138"/>
      <c r="BB2042" s="138"/>
      <c r="BC2042" s="138"/>
      <c r="BD2042" s="138"/>
      <c r="BE2042" s="138"/>
      <c r="BF2042" s="138"/>
      <c r="BG2042" s="138"/>
      <c r="BH2042" s="138"/>
      <c r="BI2042" s="138"/>
      <c r="BJ2042" s="138"/>
      <c r="BK2042" s="138"/>
      <c r="BL2042" s="138"/>
      <c r="BM2042" s="138"/>
      <c r="BN2042" s="138"/>
      <c r="BO2042" s="138"/>
    </row>
    <row r="2043" spans="1:67" ht="21" customHeight="1" x14ac:dyDescent="0.2">
      <c r="A2043" s="167">
        <v>479</v>
      </c>
      <c r="B2043" s="168" t="s">
        <v>2568</v>
      </c>
      <c r="C2043" s="169"/>
      <c r="D2043" s="250" t="s">
        <v>107</v>
      </c>
      <c r="E2043" s="170"/>
      <c r="F2043" s="170"/>
      <c r="G2043" s="170"/>
      <c r="H2043" s="170"/>
      <c r="I2043" s="274" t="s">
        <v>2569</v>
      </c>
      <c r="J2043" s="247" t="s">
        <v>2559</v>
      </c>
      <c r="K2043" s="206">
        <f>5700*80%</f>
        <v>4560</v>
      </c>
      <c r="L2043" s="174" t="s">
        <v>111</v>
      </c>
      <c r="M2043" s="175" t="s">
        <v>2570</v>
      </c>
      <c r="AV2043" s="138"/>
      <c r="AW2043" s="138"/>
      <c r="AX2043" s="138"/>
      <c r="AY2043" s="138"/>
      <c r="AZ2043" s="138"/>
      <c r="BA2043" s="138"/>
      <c r="BB2043" s="138"/>
      <c r="BC2043" s="138"/>
      <c r="BD2043" s="138"/>
      <c r="BE2043" s="138"/>
      <c r="BF2043" s="138"/>
      <c r="BG2043" s="138"/>
      <c r="BH2043" s="138"/>
      <c r="BI2043" s="138"/>
      <c r="BJ2043" s="138"/>
      <c r="BK2043" s="138"/>
      <c r="BL2043" s="138"/>
      <c r="BM2043" s="138"/>
      <c r="BN2043" s="138"/>
      <c r="BO2043" s="138"/>
    </row>
    <row r="2044" spans="1:67" ht="48" x14ac:dyDescent="0.2">
      <c r="A2044" s="177"/>
      <c r="B2044" s="178"/>
      <c r="C2044" s="179"/>
      <c r="D2044" s="243"/>
      <c r="E2044" s="180"/>
      <c r="F2044" s="180"/>
      <c r="G2044" s="180"/>
      <c r="H2044" s="180"/>
      <c r="I2044" s="188" t="s">
        <v>2504</v>
      </c>
      <c r="J2044" s="207" t="s">
        <v>2501</v>
      </c>
      <c r="K2044" s="208">
        <f>5700*5%</f>
        <v>285</v>
      </c>
      <c r="L2044" s="184"/>
      <c r="M2044" s="185"/>
      <c r="AV2044" s="138"/>
      <c r="AW2044" s="138"/>
      <c r="AX2044" s="138"/>
      <c r="AY2044" s="138"/>
      <c r="AZ2044" s="138"/>
      <c r="BA2044" s="138"/>
      <c r="BB2044" s="138"/>
      <c r="BC2044" s="138"/>
      <c r="BD2044" s="138"/>
      <c r="BE2044" s="138"/>
      <c r="BF2044" s="138"/>
      <c r="BG2044" s="138"/>
      <c r="BH2044" s="138"/>
      <c r="BI2044" s="138"/>
      <c r="BJ2044" s="138"/>
      <c r="BK2044" s="138"/>
      <c r="BL2044" s="138"/>
      <c r="BM2044" s="138"/>
      <c r="BN2044" s="138"/>
      <c r="BO2044" s="138"/>
    </row>
    <row r="2045" spans="1:67" ht="48" x14ac:dyDescent="0.2">
      <c r="A2045" s="177"/>
      <c r="B2045" s="178"/>
      <c r="C2045" s="179"/>
      <c r="D2045" s="243"/>
      <c r="E2045" s="180"/>
      <c r="F2045" s="180"/>
      <c r="G2045" s="180"/>
      <c r="H2045" s="180"/>
      <c r="I2045" s="188" t="s">
        <v>2503</v>
      </c>
      <c r="J2045" s="207" t="s">
        <v>2501</v>
      </c>
      <c r="K2045" s="208">
        <f t="shared" ref="K2045:K2047" si="48">5700*5%</f>
        <v>285</v>
      </c>
      <c r="L2045" s="184"/>
      <c r="M2045" s="185"/>
      <c r="AV2045" s="138"/>
      <c r="AW2045" s="138"/>
      <c r="AX2045" s="138"/>
      <c r="AY2045" s="138"/>
      <c r="AZ2045" s="138"/>
      <c r="BA2045" s="138"/>
      <c r="BB2045" s="138"/>
      <c r="BC2045" s="138"/>
      <c r="BD2045" s="138"/>
      <c r="BE2045" s="138"/>
      <c r="BF2045" s="138"/>
      <c r="BG2045" s="138"/>
      <c r="BH2045" s="138"/>
      <c r="BI2045" s="138"/>
      <c r="BJ2045" s="138"/>
      <c r="BK2045" s="138"/>
      <c r="BL2045" s="138"/>
      <c r="BM2045" s="138"/>
      <c r="BN2045" s="138"/>
      <c r="BO2045" s="138"/>
    </row>
    <row r="2046" spans="1:67" ht="48" x14ac:dyDescent="0.2">
      <c r="A2046" s="177"/>
      <c r="B2046" s="178"/>
      <c r="C2046" s="179"/>
      <c r="D2046" s="243"/>
      <c r="E2046" s="180"/>
      <c r="F2046" s="180"/>
      <c r="G2046" s="180"/>
      <c r="H2046" s="180"/>
      <c r="I2046" s="188" t="s">
        <v>2571</v>
      </c>
      <c r="J2046" s="207" t="s">
        <v>2501</v>
      </c>
      <c r="K2046" s="208">
        <f t="shared" si="48"/>
        <v>285</v>
      </c>
      <c r="L2046" s="184"/>
      <c r="M2046" s="185"/>
      <c r="AV2046" s="138"/>
      <c r="AW2046" s="138"/>
      <c r="AX2046" s="138"/>
      <c r="AY2046" s="138"/>
      <c r="AZ2046" s="138"/>
      <c r="BA2046" s="138"/>
      <c r="BB2046" s="138"/>
      <c r="BC2046" s="138"/>
      <c r="BD2046" s="138"/>
      <c r="BE2046" s="138"/>
      <c r="BF2046" s="138"/>
      <c r="BG2046" s="138"/>
      <c r="BH2046" s="138"/>
      <c r="BI2046" s="138"/>
      <c r="BJ2046" s="138"/>
      <c r="BK2046" s="138"/>
      <c r="BL2046" s="138"/>
      <c r="BM2046" s="138"/>
      <c r="BN2046" s="138"/>
      <c r="BO2046" s="138"/>
    </row>
    <row r="2047" spans="1:67" ht="48" x14ac:dyDescent="0.2">
      <c r="A2047" s="177"/>
      <c r="B2047" s="178"/>
      <c r="C2047" s="179"/>
      <c r="D2047" s="243"/>
      <c r="E2047" s="180"/>
      <c r="F2047" s="180"/>
      <c r="G2047" s="180"/>
      <c r="H2047" s="180"/>
      <c r="I2047" s="188" t="s">
        <v>2506</v>
      </c>
      <c r="J2047" s="207" t="s">
        <v>2501</v>
      </c>
      <c r="K2047" s="208">
        <f t="shared" si="48"/>
        <v>285</v>
      </c>
      <c r="L2047" s="184"/>
      <c r="M2047" s="185"/>
      <c r="AV2047" s="138"/>
      <c r="AW2047" s="138"/>
      <c r="AX2047" s="138"/>
      <c r="AY2047" s="138"/>
      <c r="AZ2047" s="138"/>
      <c r="BA2047" s="138"/>
      <c r="BB2047" s="138"/>
      <c r="BC2047" s="138"/>
      <c r="BD2047" s="138"/>
      <c r="BE2047" s="138"/>
      <c r="BF2047" s="138"/>
      <c r="BG2047" s="138"/>
      <c r="BH2047" s="138"/>
      <c r="BI2047" s="138"/>
      <c r="BJ2047" s="138"/>
      <c r="BK2047" s="138"/>
      <c r="BL2047" s="138"/>
      <c r="BM2047" s="138"/>
      <c r="BN2047" s="138"/>
      <c r="BO2047" s="138"/>
    </row>
    <row r="2048" spans="1:67" x14ac:dyDescent="0.2">
      <c r="A2048" s="189"/>
      <c r="B2048" s="190"/>
      <c r="C2048" s="191"/>
      <c r="D2048" s="244"/>
      <c r="E2048" s="192"/>
      <c r="F2048" s="192"/>
      <c r="G2048" s="192"/>
      <c r="H2048" s="192"/>
      <c r="I2048" s="203"/>
      <c r="J2048" s="204"/>
      <c r="K2048" s="195">
        <f>SUM(K2043:K2047)</f>
        <v>5700</v>
      </c>
      <c r="L2048" s="196"/>
      <c r="M2048" s="197"/>
      <c r="AV2048" s="138"/>
      <c r="AW2048" s="138"/>
      <c r="AX2048" s="138"/>
      <c r="AY2048" s="138"/>
      <c r="AZ2048" s="138"/>
      <c r="BA2048" s="138"/>
      <c r="BB2048" s="138"/>
      <c r="BC2048" s="138"/>
      <c r="BD2048" s="138"/>
      <c r="BE2048" s="138"/>
      <c r="BF2048" s="138"/>
      <c r="BG2048" s="138"/>
      <c r="BH2048" s="138"/>
      <c r="BI2048" s="138"/>
      <c r="BJ2048" s="138"/>
      <c r="BK2048" s="138"/>
      <c r="BL2048" s="138"/>
      <c r="BM2048" s="138"/>
      <c r="BN2048" s="138"/>
      <c r="BO2048" s="138"/>
    </row>
    <row r="2049" spans="1:67" ht="21" customHeight="1" x14ac:dyDescent="0.2">
      <c r="A2049" s="167">
        <v>480</v>
      </c>
      <c r="B2049" s="168" t="s">
        <v>2572</v>
      </c>
      <c r="C2049" s="169"/>
      <c r="D2049" s="250" t="s">
        <v>107</v>
      </c>
      <c r="E2049" s="170"/>
      <c r="F2049" s="170"/>
      <c r="G2049" s="170"/>
      <c r="H2049" s="170"/>
      <c r="I2049" s="274" t="s">
        <v>2573</v>
      </c>
      <c r="J2049" s="247" t="s">
        <v>2559</v>
      </c>
      <c r="K2049" s="206">
        <f>5700*80%</f>
        <v>4560</v>
      </c>
      <c r="L2049" s="174" t="s">
        <v>111</v>
      </c>
      <c r="M2049" s="175" t="s">
        <v>2574</v>
      </c>
      <c r="AV2049" s="138"/>
      <c r="AW2049" s="138"/>
      <c r="AX2049" s="138"/>
      <c r="AY2049" s="138"/>
      <c r="AZ2049" s="138"/>
      <c r="BA2049" s="138"/>
      <c r="BB2049" s="138"/>
      <c r="BC2049" s="138"/>
      <c r="BD2049" s="138"/>
      <c r="BE2049" s="138"/>
      <c r="BF2049" s="138"/>
      <c r="BG2049" s="138"/>
      <c r="BH2049" s="138"/>
      <c r="BI2049" s="138"/>
      <c r="BJ2049" s="138"/>
      <c r="BK2049" s="138"/>
      <c r="BL2049" s="138"/>
      <c r="BM2049" s="138"/>
      <c r="BN2049" s="138"/>
      <c r="BO2049" s="138"/>
    </row>
    <row r="2050" spans="1:67" ht="48" x14ac:dyDescent="0.2">
      <c r="A2050" s="177"/>
      <c r="B2050" s="178"/>
      <c r="C2050" s="179"/>
      <c r="D2050" s="243"/>
      <c r="E2050" s="180"/>
      <c r="F2050" s="180"/>
      <c r="G2050" s="180"/>
      <c r="H2050" s="180"/>
      <c r="I2050" s="188" t="s">
        <v>2503</v>
      </c>
      <c r="J2050" s="207" t="s">
        <v>2501</v>
      </c>
      <c r="K2050" s="208">
        <f>5700*5%</f>
        <v>285</v>
      </c>
      <c r="L2050" s="184"/>
      <c r="M2050" s="185"/>
      <c r="AV2050" s="138"/>
      <c r="AW2050" s="138"/>
      <c r="AX2050" s="138"/>
      <c r="AY2050" s="138"/>
      <c r="AZ2050" s="138"/>
      <c r="BA2050" s="138"/>
      <c r="BB2050" s="138"/>
      <c r="BC2050" s="138"/>
      <c r="BD2050" s="138"/>
      <c r="BE2050" s="138"/>
      <c r="BF2050" s="138"/>
      <c r="BG2050" s="138"/>
      <c r="BH2050" s="138"/>
      <c r="BI2050" s="138"/>
      <c r="BJ2050" s="138"/>
      <c r="BK2050" s="138"/>
      <c r="BL2050" s="138"/>
      <c r="BM2050" s="138"/>
      <c r="BN2050" s="138"/>
      <c r="BO2050" s="138"/>
    </row>
    <row r="2051" spans="1:67" ht="48" x14ac:dyDescent="0.2">
      <c r="A2051" s="177"/>
      <c r="B2051" s="178"/>
      <c r="C2051" s="179"/>
      <c r="D2051" s="243"/>
      <c r="E2051" s="180"/>
      <c r="F2051" s="180"/>
      <c r="G2051" s="180"/>
      <c r="H2051" s="180"/>
      <c r="I2051" s="188" t="s">
        <v>2571</v>
      </c>
      <c r="J2051" s="207" t="s">
        <v>2501</v>
      </c>
      <c r="K2051" s="208">
        <f t="shared" ref="K2051:K2053" si="49">5700*5%</f>
        <v>285</v>
      </c>
      <c r="L2051" s="184"/>
      <c r="M2051" s="185"/>
      <c r="AV2051" s="138"/>
      <c r="AW2051" s="138"/>
      <c r="AX2051" s="138"/>
      <c r="AY2051" s="138"/>
      <c r="AZ2051" s="138"/>
      <c r="BA2051" s="138"/>
      <c r="BB2051" s="138"/>
      <c r="BC2051" s="138"/>
      <c r="BD2051" s="138"/>
      <c r="BE2051" s="138"/>
      <c r="BF2051" s="138"/>
      <c r="BG2051" s="138"/>
      <c r="BH2051" s="138"/>
      <c r="BI2051" s="138"/>
      <c r="BJ2051" s="138"/>
      <c r="BK2051" s="138"/>
      <c r="BL2051" s="138"/>
      <c r="BM2051" s="138"/>
      <c r="BN2051" s="138"/>
      <c r="BO2051" s="138"/>
    </row>
    <row r="2052" spans="1:67" ht="48" x14ac:dyDescent="0.2">
      <c r="A2052" s="177"/>
      <c r="B2052" s="178"/>
      <c r="C2052" s="179"/>
      <c r="D2052" s="243"/>
      <c r="E2052" s="180"/>
      <c r="F2052" s="180"/>
      <c r="G2052" s="180"/>
      <c r="H2052" s="180"/>
      <c r="I2052" s="188" t="s">
        <v>2505</v>
      </c>
      <c r="J2052" s="207" t="s">
        <v>2501</v>
      </c>
      <c r="K2052" s="208">
        <f t="shared" si="49"/>
        <v>285</v>
      </c>
      <c r="L2052" s="184"/>
      <c r="M2052" s="185"/>
      <c r="AV2052" s="138"/>
      <c r="AW2052" s="138"/>
      <c r="AX2052" s="138"/>
      <c r="AY2052" s="138"/>
      <c r="AZ2052" s="138"/>
      <c r="BA2052" s="138"/>
      <c r="BB2052" s="138"/>
      <c r="BC2052" s="138"/>
      <c r="BD2052" s="138"/>
      <c r="BE2052" s="138"/>
      <c r="BF2052" s="138"/>
      <c r="BG2052" s="138"/>
      <c r="BH2052" s="138"/>
      <c r="BI2052" s="138"/>
      <c r="BJ2052" s="138"/>
      <c r="BK2052" s="138"/>
      <c r="BL2052" s="138"/>
      <c r="BM2052" s="138"/>
      <c r="BN2052" s="138"/>
      <c r="BO2052" s="138"/>
    </row>
    <row r="2053" spans="1:67" ht="48" x14ac:dyDescent="0.2">
      <c r="A2053" s="177"/>
      <c r="B2053" s="178"/>
      <c r="C2053" s="179"/>
      <c r="D2053" s="243"/>
      <c r="E2053" s="180"/>
      <c r="F2053" s="180"/>
      <c r="G2053" s="180"/>
      <c r="H2053" s="180"/>
      <c r="I2053" s="188" t="s">
        <v>2506</v>
      </c>
      <c r="J2053" s="207" t="s">
        <v>2501</v>
      </c>
      <c r="K2053" s="208">
        <f t="shared" si="49"/>
        <v>285</v>
      </c>
      <c r="L2053" s="184"/>
      <c r="M2053" s="185"/>
      <c r="AV2053" s="138"/>
      <c r="AW2053" s="138"/>
      <c r="AX2053" s="138"/>
      <c r="AY2053" s="138"/>
      <c r="AZ2053" s="138"/>
      <c r="BA2053" s="138"/>
      <c r="BB2053" s="138"/>
      <c r="BC2053" s="138"/>
      <c r="BD2053" s="138"/>
      <c r="BE2053" s="138"/>
      <c r="BF2053" s="138"/>
      <c r="BG2053" s="138"/>
      <c r="BH2053" s="138"/>
      <c r="BI2053" s="138"/>
      <c r="BJ2053" s="138"/>
      <c r="BK2053" s="138"/>
      <c r="BL2053" s="138"/>
      <c r="BM2053" s="138"/>
      <c r="BN2053" s="138"/>
      <c r="BO2053" s="138"/>
    </row>
    <row r="2054" spans="1:67" x14ac:dyDescent="0.2">
      <c r="A2054" s="189"/>
      <c r="B2054" s="190"/>
      <c r="C2054" s="191"/>
      <c r="D2054" s="244"/>
      <c r="E2054" s="192"/>
      <c r="F2054" s="192"/>
      <c r="G2054" s="192"/>
      <c r="H2054" s="192"/>
      <c r="I2054" s="203"/>
      <c r="J2054" s="204"/>
      <c r="K2054" s="195">
        <f>SUM(K2049:K2053)</f>
        <v>5700</v>
      </c>
      <c r="L2054" s="196"/>
      <c r="M2054" s="197"/>
      <c r="AV2054" s="138"/>
      <c r="AW2054" s="138"/>
      <c r="AX2054" s="138"/>
      <c r="AY2054" s="138"/>
      <c r="AZ2054" s="138"/>
      <c r="BA2054" s="138"/>
      <c r="BB2054" s="138"/>
      <c r="BC2054" s="138"/>
      <c r="BD2054" s="138"/>
      <c r="BE2054" s="138"/>
      <c r="BF2054" s="138"/>
      <c r="BG2054" s="138"/>
      <c r="BH2054" s="138"/>
      <c r="BI2054" s="138"/>
      <c r="BJ2054" s="138"/>
      <c r="BK2054" s="138"/>
      <c r="BL2054" s="138"/>
      <c r="BM2054" s="138"/>
      <c r="BN2054" s="138"/>
      <c r="BO2054" s="138"/>
    </row>
    <row r="2055" spans="1:67" ht="21" customHeight="1" x14ac:dyDescent="0.2">
      <c r="A2055" s="167">
        <v>481</v>
      </c>
      <c r="B2055" s="168" t="s">
        <v>2575</v>
      </c>
      <c r="C2055" s="169"/>
      <c r="D2055" s="250" t="s">
        <v>107</v>
      </c>
      <c r="E2055" s="170"/>
      <c r="F2055" s="170"/>
      <c r="G2055" s="170"/>
      <c r="H2055" s="170"/>
      <c r="I2055" s="274" t="s">
        <v>2576</v>
      </c>
      <c r="J2055" s="247" t="s">
        <v>2546</v>
      </c>
      <c r="K2055" s="206">
        <f>5000*65%</f>
        <v>3250</v>
      </c>
      <c r="L2055" s="174" t="s">
        <v>111</v>
      </c>
      <c r="M2055" s="175" t="s">
        <v>2577</v>
      </c>
      <c r="AV2055" s="138"/>
      <c r="AW2055" s="138"/>
      <c r="AX2055" s="138"/>
      <c r="AY2055" s="138"/>
      <c r="AZ2055" s="138"/>
      <c r="BA2055" s="138"/>
      <c r="BB2055" s="138"/>
      <c r="BC2055" s="138"/>
      <c r="BD2055" s="138"/>
      <c r="BE2055" s="138"/>
      <c r="BF2055" s="138"/>
      <c r="BG2055" s="138"/>
      <c r="BH2055" s="138"/>
      <c r="BI2055" s="138"/>
      <c r="BJ2055" s="138"/>
      <c r="BK2055" s="138"/>
      <c r="BL2055" s="138"/>
      <c r="BM2055" s="138"/>
      <c r="BN2055" s="138"/>
      <c r="BO2055" s="138"/>
    </row>
    <row r="2056" spans="1:67" ht="48" x14ac:dyDescent="0.2">
      <c r="A2056" s="177"/>
      <c r="B2056" s="178"/>
      <c r="C2056" s="179"/>
      <c r="D2056" s="243"/>
      <c r="E2056" s="180"/>
      <c r="F2056" s="180"/>
      <c r="G2056" s="180"/>
      <c r="H2056" s="180"/>
      <c r="I2056" s="188" t="s">
        <v>2516</v>
      </c>
      <c r="J2056" s="207" t="s">
        <v>1891</v>
      </c>
      <c r="K2056" s="208">
        <f>5000*20%</f>
        <v>1000</v>
      </c>
      <c r="L2056" s="184"/>
      <c r="M2056" s="185"/>
      <c r="AV2056" s="138"/>
      <c r="AW2056" s="138"/>
      <c r="AX2056" s="138"/>
      <c r="AY2056" s="138"/>
      <c r="AZ2056" s="138"/>
      <c r="BA2056" s="138"/>
      <c r="BB2056" s="138"/>
      <c r="BC2056" s="138"/>
      <c r="BD2056" s="138"/>
      <c r="BE2056" s="138"/>
      <c r="BF2056" s="138"/>
      <c r="BG2056" s="138"/>
      <c r="BH2056" s="138"/>
      <c r="BI2056" s="138"/>
      <c r="BJ2056" s="138"/>
      <c r="BK2056" s="138"/>
      <c r="BL2056" s="138"/>
      <c r="BM2056" s="138"/>
      <c r="BN2056" s="138"/>
      <c r="BO2056" s="138"/>
    </row>
    <row r="2057" spans="1:67" ht="48" x14ac:dyDescent="0.2">
      <c r="A2057" s="177"/>
      <c r="B2057" s="178"/>
      <c r="C2057" s="179"/>
      <c r="D2057" s="243"/>
      <c r="E2057" s="180"/>
      <c r="F2057" s="180"/>
      <c r="G2057" s="180"/>
      <c r="H2057" s="180"/>
      <c r="I2057" s="188" t="s">
        <v>2511</v>
      </c>
      <c r="J2057" s="207" t="s">
        <v>1891</v>
      </c>
      <c r="K2057" s="208">
        <f>5000*5%</f>
        <v>250</v>
      </c>
      <c r="L2057" s="184"/>
      <c r="M2057" s="185"/>
      <c r="AV2057" s="138"/>
      <c r="AW2057" s="138"/>
      <c r="AX2057" s="138"/>
      <c r="AY2057" s="138"/>
      <c r="AZ2057" s="138"/>
      <c r="BA2057" s="138"/>
      <c r="BB2057" s="138"/>
      <c r="BC2057" s="138"/>
      <c r="BD2057" s="138"/>
      <c r="BE2057" s="138"/>
      <c r="BF2057" s="138"/>
      <c r="BG2057" s="138"/>
      <c r="BH2057" s="138"/>
      <c r="BI2057" s="138"/>
      <c r="BJ2057" s="138"/>
      <c r="BK2057" s="138"/>
      <c r="BL2057" s="138"/>
      <c r="BM2057" s="138"/>
      <c r="BN2057" s="138"/>
      <c r="BO2057" s="138"/>
    </row>
    <row r="2058" spans="1:67" ht="48" x14ac:dyDescent="0.2">
      <c r="A2058" s="177"/>
      <c r="B2058" s="178"/>
      <c r="C2058" s="179"/>
      <c r="D2058" s="243"/>
      <c r="E2058" s="180"/>
      <c r="F2058" s="180"/>
      <c r="G2058" s="180"/>
      <c r="H2058" s="180"/>
      <c r="I2058" s="188" t="s">
        <v>2510</v>
      </c>
      <c r="J2058" s="207" t="s">
        <v>1891</v>
      </c>
      <c r="K2058" s="208">
        <f t="shared" ref="K2058:K2059" si="50">5000*5%</f>
        <v>250</v>
      </c>
      <c r="L2058" s="184"/>
      <c r="M2058" s="185"/>
      <c r="AV2058" s="138"/>
      <c r="AW2058" s="138"/>
      <c r="AX2058" s="138"/>
      <c r="AY2058" s="138"/>
      <c r="AZ2058" s="138"/>
      <c r="BA2058" s="138"/>
      <c r="BB2058" s="138"/>
      <c r="BC2058" s="138"/>
      <c r="BD2058" s="138"/>
      <c r="BE2058" s="138"/>
      <c r="BF2058" s="138"/>
      <c r="BG2058" s="138"/>
      <c r="BH2058" s="138"/>
      <c r="BI2058" s="138"/>
      <c r="BJ2058" s="138"/>
      <c r="BK2058" s="138"/>
      <c r="BL2058" s="138"/>
      <c r="BM2058" s="138"/>
      <c r="BN2058" s="138"/>
      <c r="BO2058" s="138"/>
    </row>
    <row r="2059" spans="1:67" ht="48" x14ac:dyDescent="0.2">
      <c r="A2059" s="177"/>
      <c r="B2059" s="178"/>
      <c r="C2059" s="179"/>
      <c r="D2059" s="243"/>
      <c r="E2059" s="180"/>
      <c r="F2059" s="180"/>
      <c r="G2059" s="180"/>
      <c r="H2059" s="180"/>
      <c r="I2059" s="188" t="s">
        <v>2512</v>
      </c>
      <c r="J2059" s="207" t="s">
        <v>1891</v>
      </c>
      <c r="K2059" s="208">
        <f t="shared" si="50"/>
        <v>250</v>
      </c>
      <c r="L2059" s="184"/>
      <c r="M2059" s="185"/>
      <c r="AV2059" s="138"/>
      <c r="AW2059" s="138"/>
      <c r="AX2059" s="138"/>
      <c r="AY2059" s="138"/>
      <c r="AZ2059" s="138"/>
      <c r="BA2059" s="138"/>
      <c r="BB2059" s="138"/>
      <c r="BC2059" s="138"/>
      <c r="BD2059" s="138"/>
      <c r="BE2059" s="138"/>
      <c r="BF2059" s="138"/>
      <c r="BG2059" s="138"/>
      <c r="BH2059" s="138"/>
      <c r="BI2059" s="138"/>
      <c r="BJ2059" s="138"/>
      <c r="BK2059" s="138"/>
      <c r="BL2059" s="138"/>
      <c r="BM2059" s="138"/>
      <c r="BN2059" s="138"/>
      <c r="BO2059" s="138"/>
    </row>
    <row r="2060" spans="1:67" x14ac:dyDescent="0.2">
      <c r="A2060" s="189"/>
      <c r="B2060" s="190"/>
      <c r="C2060" s="191"/>
      <c r="D2060" s="244"/>
      <c r="E2060" s="192"/>
      <c r="F2060" s="192"/>
      <c r="G2060" s="192"/>
      <c r="H2060" s="192"/>
      <c r="I2060" s="203"/>
      <c r="J2060" s="204"/>
      <c r="K2060" s="195">
        <f>SUM(K2055:K2059)</f>
        <v>5000</v>
      </c>
      <c r="L2060" s="196"/>
      <c r="M2060" s="197"/>
      <c r="AV2060" s="138"/>
      <c r="AW2060" s="138"/>
      <c r="AX2060" s="138"/>
      <c r="AY2060" s="138"/>
      <c r="AZ2060" s="138"/>
      <c r="BA2060" s="138"/>
      <c r="BB2060" s="138"/>
      <c r="BC2060" s="138"/>
      <c r="BD2060" s="138"/>
      <c r="BE2060" s="138"/>
      <c r="BF2060" s="138"/>
      <c r="BG2060" s="138"/>
      <c r="BH2060" s="138"/>
      <c r="BI2060" s="138"/>
      <c r="BJ2060" s="138"/>
      <c r="BK2060" s="138"/>
      <c r="BL2060" s="138"/>
      <c r="BM2060" s="138"/>
      <c r="BN2060" s="138"/>
      <c r="BO2060" s="138"/>
    </row>
    <row r="2061" spans="1:67" ht="65.25" customHeight="1" x14ac:dyDescent="0.2">
      <c r="A2061" s="231">
        <v>482</v>
      </c>
      <c r="B2061" s="253" t="s">
        <v>2578</v>
      </c>
      <c r="C2061" s="254" t="s">
        <v>2578</v>
      </c>
      <c r="D2061" s="255" t="s">
        <v>107</v>
      </c>
      <c r="E2061" s="256"/>
      <c r="F2061" s="256"/>
      <c r="G2061" s="256"/>
      <c r="H2061" s="257"/>
      <c r="I2061" s="193" t="s">
        <v>2579</v>
      </c>
      <c r="J2061" s="215" t="s">
        <v>2580</v>
      </c>
      <c r="K2061" s="258">
        <v>18000</v>
      </c>
      <c r="L2061" s="259" t="s">
        <v>111</v>
      </c>
      <c r="M2061" s="215" t="s">
        <v>2581</v>
      </c>
      <c r="AV2061" s="138"/>
      <c r="AW2061" s="138"/>
      <c r="AX2061" s="138"/>
      <c r="AY2061" s="138"/>
      <c r="AZ2061" s="138"/>
      <c r="BA2061" s="138"/>
      <c r="BB2061" s="138"/>
      <c r="BC2061" s="138"/>
      <c r="BD2061" s="138"/>
      <c r="BE2061" s="138"/>
      <c r="BF2061" s="138"/>
      <c r="BG2061" s="138"/>
      <c r="BH2061" s="138"/>
      <c r="BI2061" s="138"/>
      <c r="BJ2061" s="138"/>
      <c r="BK2061" s="138"/>
      <c r="BL2061" s="138"/>
      <c r="BM2061" s="138"/>
      <c r="BN2061" s="138"/>
      <c r="BO2061" s="138"/>
    </row>
    <row r="2062" spans="1:67" ht="80.25" customHeight="1" x14ac:dyDescent="0.2">
      <c r="A2062" s="231">
        <v>483</v>
      </c>
      <c r="B2062" s="253" t="s">
        <v>2582</v>
      </c>
      <c r="C2062" s="254" t="s">
        <v>2582</v>
      </c>
      <c r="D2062" s="255" t="s">
        <v>107</v>
      </c>
      <c r="E2062" s="256"/>
      <c r="F2062" s="256"/>
      <c r="G2062" s="256"/>
      <c r="H2062" s="257"/>
      <c r="I2062" s="193" t="s">
        <v>2583</v>
      </c>
      <c r="J2062" s="215" t="s">
        <v>1356</v>
      </c>
      <c r="K2062" s="258">
        <v>18000</v>
      </c>
      <c r="L2062" s="259" t="s">
        <v>111</v>
      </c>
      <c r="M2062" s="215" t="s">
        <v>2584</v>
      </c>
      <c r="AV2062" s="138"/>
      <c r="AW2062" s="138"/>
      <c r="AX2062" s="138"/>
      <c r="AY2062" s="138"/>
      <c r="AZ2062" s="138"/>
      <c r="BA2062" s="138"/>
      <c r="BB2062" s="138"/>
      <c r="BC2062" s="138"/>
      <c r="BD2062" s="138"/>
      <c r="BE2062" s="138"/>
      <c r="BF2062" s="138"/>
      <c r="BG2062" s="138"/>
      <c r="BH2062" s="138"/>
      <c r="BI2062" s="138"/>
      <c r="BJ2062" s="138"/>
      <c r="BK2062" s="138"/>
      <c r="BL2062" s="138"/>
      <c r="BM2062" s="138"/>
      <c r="BN2062" s="138"/>
      <c r="BO2062" s="138"/>
    </row>
    <row r="2063" spans="1:67" ht="69.75" customHeight="1" x14ac:dyDescent="0.2">
      <c r="A2063" s="231">
        <v>484</v>
      </c>
      <c r="B2063" s="253" t="s">
        <v>2585</v>
      </c>
      <c r="C2063" s="254" t="s">
        <v>2585</v>
      </c>
      <c r="D2063" s="255" t="s">
        <v>107</v>
      </c>
      <c r="E2063" s="256"/>
      <c r="F2063" s="256"/>
      <c r="G2063" s="256"/>
      <c r="H2063" s="257"/>
      <c r="I2063" s="193" t="s">
        <v>2586</v>
      </c>
      <c r="J2063" s="215" t="s">
        <v>2587</v>
      </c>
      <c r="K2063" s="258">
        <v>18000</v>
      </c>
      <c r="L2063" s="259" t="s">
        <v>111</v>
      </c>
      <c r="M2063" s="215" t="s">
        <v>2588</v>
      </c>
      <c r="AV2063" s="138"/>
      <c r="AW2063" s="138"/>
      <c r="AX2063" s="138"/>
      <c r="AY2063" s="138"/>
      <c r="AZ2063" s="138"/>
      <c r="BA2063" s="138"/>
      <c r="BB2063" s="138"/>
      <c r="BC2063" s="138"/>
      <c r="BD2063" s="138"/>
      <c r="BE2063" s="138"/>
      <c r="BF2063" s="138"/>
      <c r="BG2063" s="138"/>
      <c r="BH2063" s="138"/>
      <c r="BI2063" s="138"/>
      <c r="BJ2063" s="138"/>
      <c r="BK2063" s="138"/>
      <c r="BL2063" s="138"/>
      <c r="BM2063" s="138"/>
      <c r="BN2063" s="138"/>
      <c r="BO2063" s="138"/>
    </row>
    <row r="2064" spans="1:67" ht="21" customHeight="1" x14ac:dyDescent="0.2">
      <c r="A2064" s="250">
        <v>485</v>
      </c>
      <c r="B2064" s="335" t="s">
        <v>2589</v>
      </c>
      <c r="C2064" s="336"/>
      <c r="D2064" s="170" t="s">
        <v>25</v>
      </c>
      <c r="E2064" s="170"/>
      <c r="F2064" s="170"/>
      <c r="G2064" s="170" t="s">
        <v>2590</v>
      </c>
      <c r="H2064" s="170" t="s">
        <v>750</v>
      </c>
      <c r="I2064" s="454" t="s">
        <v>2591</v>
      </c>
      <c r="J2064" s="454" t="s">
        <v>1097</v>
      </c>
      <c r="K2064" s="276">
        <f>47740*40%</f>
        <v>19096</v>
      </c>
      <c r="L2064" s="175" t="s">
        <v>2590</v>
      </c>
      <c r="M2064" s="175" t="s">
        <v>2592</v>
      </c>
      <c r="AV2064" s="138"/>
      <c r="AW2064" s="138"/>
      <c r="AX2064" s="138"/>
      <c r="AY2064" s="138"/>
      <c r="AZ2064" s="138"/>
      <c r="BA2064" s="138"/>
      <c r="BB2064" s="138"/>
      <c r="BC2064" s="138"/>
      <c r="BD2064" s="138"/>
      <c r="BE2064" s="138"/>
      <c r="BF2064" s="138"/>
      <c r="BG2064" s="138"/>
      <c r="BH2064" s="138"/>
      <c r="BI2064" s="138"/>
      <c r="BJ2064" s="138"/>
      <c r="BK2064" s="138"/>
      <c r="BL2064" s="138"/>
      <c r="BM2064" s="138"/>
      <c r="BN2064" s="138"/>
      <c r="BO2064" s="138"/>
    </row>
    <row r="2065" spans="1:67" ht="19.5" customHeight="1" x14ac:dyDescent="0.2">
      <c r="A2065" s="243"/>
      <c r="B2065" s="338"/>
      <c r="C2065" s="339"/>
      <c r="D2065" s="180"/>
      <c r="E2065" s="180"/>
      <c r="F2065" s="180"/>
      <c r="G2065" s="180"/>
      <c r="H2065" s="180"/>
      <c r="I2065" s="454" t="s">
        <v>2593</v>
      </c>
      <c r="J2065" s="454" t="s">
        <v>2587</v>
      </c>
      <c r="K2065" s="276">
        <f>47740*20%</f>
        <v>9548</v>
      </c>
      <c r="L2065" s="185"/>
      <c r="M2065" s="185"/>
      <c r="AV2065" s="138"/>
      <c r="AW2065" s="138"/>
      <c r="AX2065" s="138"/>
      <c r="AY2065" s="138"/>
      <c r="AZ2065" s="138"/>
      <c r="BA2065" s="138"/>
      <c r="BB2065" s="138"/>
      <c r="BC2065" s="138"/>
      <c r="BD2065" s="138"/>
      <c r="BE2065" s="138"/>
      <c r="BF2065" s="138"/>
      <c r="BG2065" s="138"/>
      <c r="BH2065" s="138"/>
      <c r="BI2065" s="138"/>
      <c r="BJ2065" s="138"/>
      <c r="BK2065" s="138"/>
      <c r="BL2065" s="138"/>
      <c r="BM2065" s="138"/>
      <c r="BN2065" s="138"/>
      <c r="BO2065" s="138"/>
    </row>
    <row r="2066" spans="1:67" ht="23.25" customHeight="1" x14ac:dyDescent="0.2">
      <c r="A2066" s="243"/>
      <c r="B2066" s="338"/>
      <c r="C2066" s="339"/>
      <c r="D2066" s="180"/>
      <c r="E2066" s="180"/>
      <c r="F2066" s="180"/>
      <c r="G2066" s="180"/>
      <c r="H2066" s="180"/>
      <c r="I2066" s="454" t="s">
        <v>2594</v>
      </c>
      <c r="J2066" s="454" t="s">
        <v>2527</v>
      </c>
      <c r="K2066" s="276">
        <f>47740*20%</f>
        <v>9548</v>
      </c>
      <c r="L2066" s="185"/>
      <c r="M2066" s="185"/>
      <c r="AV2066" s="138"/>
      <c r="AW2066" s="138"/>
      <c r="AX2066" s="138"/>
      <c r="AY2066" s="138"/>
      <c r="AZ2066" s="138"/>
      <c r="BA2066" s="138"/>
      <c r="BB2066" s="138"/>
      <c r="BC2066" s="138"/>
      <c r="BD2066" s="138"/>
      <c r="BE2066" s="138"/>
      <c r="BF2066" s="138"/>
      <c r="BG2066" s="138"/>
      <c r="BH2066" s="138"/>
      <c r="BI2066" s="138"/>
      <c r="BJ2066" s="138"/>
      <c r="BK2066" s="138"/>
      <c r="BL2066" s="138"/>
      <c r="BM2066" s="138"/>
      <c r="BN2066" s="138"/>
      <c r="BO2066" s="138"/>
    </row>
    <row r="2067" spans="1:67" ht="48" x14ac:dyDescent="0.2">
      <c r="A2067" s="243"/>
      <c r="B2067" s="338"/>
      <c r="C2067" s="339"/>
      <c r="D2067" s="180"/>
      <c r="E2067" s="180"/>
      <c r="F2067" s="180"/>
      <c r="G2067" s="180"/>
      <c r="H2067" s="180"/>
      <c r="I2067" s="454" t="s">
        <v>2595</v>
      </c>
      <c r="J2067" s="454" t="s">
        <v>2501</v>
      </c>
      <c r="K2067" s="276">
        <f>47740*20%</f>
        <v>9548</v>
      </c>
      <c r="L2067" s="185"/>
      <c r="M2067" s="185"/>
      <c r="AV2067" s="138"/>
      <c r="AW2067" s="138"/>
      <c r="AX2067" s="138"/>
      <c r="AY2067" s="138"/>
      <c r="AZ2067" s="138"/>
      <c r="BA2067" s="138"/>
      <c r="BB2067" s="138"/>
      <c r="BC2067" s="138"/>
      <c r="BD2067" s="138"/>
      <c r="BE2067" s="138"/>
      <c r="BF2067" s="138"/>
      <c r="BG2067" s="138"/>
      <c r="BH2067" s="138"/>
      <c r="BI2067" s="138"/>
      <c r="BJ2067" s="138"/>
      <c r="BK2067" s="138"/>
      <c r="BL2067" s="138"/>
      <c r="BM2067" s="138"/>
      <c r="BN2067" s="138"/>
      <c r="BO2067" s="138"/>
    </row>
    <row r="2068" spans="1:67" x14ac:dyDescent="0.2">
      <c r="A2068" s="244"/>
      <c r="B2068" s="455"/>
      <c r="C2068" s="456"/>
      <c r="D2068" s="192"/>
      <c r="E2068" s="192"/>
      <c r="F2068" s="192"/>
      <c r="G2068" s="192"/>
      <c r="H2068" s="192"/>
      <c r="I2068" s="333"/>
      <c r="J2068" s="333"/>
      <c r="K2068" s="245">
        <f>SUM(K2064:K2067)</f>
        <v>47740</v>
      </c>
      <c r="L2068" s="197"/>
      <c r="M2068" s="197"/>
      <c r="AV2068" s="138"/>
      <c r="AW2068" s="138"/>
      <c r="AX2068" s="138"/>
      <c r="AY2068" s="138"/>
      <c r="AZ2068" s="138"/>
      <c r="BA2068" s="138"/>
      <c r="BB2068" s="138"/>
      <c r="BC2068" s="138"/>
      <c r="BD2068" s="138"/>
      <c r="BE2068" s="138"/>
      <c r="BF2068" s="138"/>
      <c r="BG2068" s="138"/>
      <c r="BH2068" s="138"/>
      <c r="BI2068" s="138"/>
      <c r="BJ2068" s="138"/>
      <c r="BK2068" s="138"/>
      <c r="BL2068" s="138"/>
      <c r="BM2068" s="138"/>
      <c r="BN2068" s="138"/>
      <c r="BO2068" s="138"/>
    </row>
  </sheetData>
  <mergeCells count="3469">
    <mergeCell ref="H2064:H2068"/>
    <mergeCell ref="L2064:L2068"/>
    <mergeCell ref="M2064:M2068"/>
    <mergeCell ref="M2055:M2060"/>
    <mergeCell ref="B2061:C2061"/>
    <mergeCell ref="B2062:C2062"/>
    <mergeCell ref="B2063:C2063"/>
    <mergeCell ref="A2064:A2068"/>
    <mergeCell ref="B2064:C2068"/>
    <mergeCell ref="D2064:D2068"/>
    <mergeCell ref="E2064:E2068"/>
    <mergeCell ref="F2064:F2068"/>
    <mergeCell ref="G2064:G2068"/>
    <mergeCell ref="L2049:L2054"/>
    <mergeCell ref="M2049:M2054"/>
    <mergeCell ref="A2055:A2060"/>
    <mergeCell ref="B2055:C2060"/>
    <mergeCell ref="D2055:D2060"/>
    <mergeCell ref="E2055:E2060"/>
    <mergeCell ref="F2055:F2060"/>
    <mergeCell ref="G2055:G2060"/>
    <mergeCell ref="H2055:H2060"/>
    <mergeCell ref="L2055:L2060"/>
    <mergeCell ref="H2043:H2048"/>
    <mergeCell ref="L2043:L2048"/>
    <mergeCell ref="M2043:M2048"/>
    <mergeCell ref="A2049:A2054"/>
    <mergeCell ref="B2049:C2054"/>
    <mergeCell ref="D2049:D2054"/>
    <mergeCell ref="E2049:E2054"/>
    <mergeCell ref="F2049:F2054"/>
    <mergeCell ref="G2049:G2054"/>
    <mergeCell ref="H2049:H2054"/>
    <mergeCell ref="A2043:A2048"/>
    <mergeCell ref="B2043:C2048"/>
    <mergeCell ref="D2043:D2048"/>
    <mergeCell ref="E2043:E2048"/>
    <mergeCell ref="F2043:F2048"/>
    <mergeCell ref="G2043:G2048"/>
    <mergeCell ref="M2031:M2036"/>
    <mergeCell ref="A2037:A2042"/>
    <mergeCell ref="B2037:C2042"/>
    <mergeCell ref="D2037:D2042"/>
    <mergeCell ref="E2037:E2042"/>
    <mergeCell ref="F2037:F2042"/>
    <mergeCell ref="G2037:G2042"/>
    <mergeCell ref="H2037:H2042"/>
    <mergeCell ref="L2037:L2042"/>
    <mergeCell ref="M2037:M2042"/>
    <mergeCell ref="L2025:L2030"/>
    <mergeCell ref="M2025:M2030"/>
    <mergeCell ref="A2031:A2036"/>
    <mergeCell ref="B2031:C2036"/>
    <mergeCell ref="D2031:D2036"/>
    <mergeCell ref="E2031:E2036"/>
    <mergeCell ref="F2031:F2036"/>
    <mergeCell ref="G2031:G2036"/>
    <mergeCell ref="H2031:H2036"/>
    <mergeCell ref="L2031:L2036"/>
    <mergeCell ref="H2019:H2024"/>
    <mergeCell ref="L2019:L2024"/>
    <mergeCell ref="M2019:M2024"/>
    <mergeCell ref="A2025:A2030"/>
    <mergeCell ref="B2025:C2030"/>
    <mergeCell ref="D2025:D2030"/>
    <mergeCell ref="E2025:E2030"/>
    <mergeCell ref="F2025:F2030"/>
    <mergeCell ref="G2025:G2030"/>
    <mergeCell ref="H2025:H2030"/>
    <mergeCell ref="A2019:A2024"/>
    <mergeCell ref="B2019:C2024"/>
    <mergeCell ref="D2019:D2024"/>
    <mergeCell ref="E2019:E2024"/>
    <mergeCell ref="F2019:F2024"/>
    <mergeCell ref="G2019:G2024"/>
    <mergeCell ref="M2010:M2012"/>
    <mergeCell ref="A2013:A2018"/>
    <mergeCell ref="B2013:C2018"/>
    <mergeCell ref="D2013:D2018"/>
    <mergeCell ref="E2013:E2018"/>
    <mergeCell ref="F2013:F2018"/>
    <mergeCell ref="G2013:G2018"/>
    <mergeCell ref="H2013:H2018"/>
    <mergeCell ref="L2013:L2018"/>
    <mergeCell ref="M2013:M2018"/>
    <mergeCell ref="L2007:L2009"/>
    <mergeCell ref="M2007:M2009"/>
    <mergeCell ref="A2010:A2012"/>
    <mergeCell ref="B2010:C2012"/>
    <mergeCell ref="D2010:D2012"/>
    <mergeCell ref="E2010:E2012"/>
    <mergeCell ref="F2010:F2012"/>
    <mergeCell ref="G2010:G2012"/>
    <mergeCell ref="H2010:H2012"/>
    <mergeCell ref="L2010:L2012"/>
    <mergeCell ref="H2004:H2006"/>
    <mergeCell ref="L2004:L2006"/>
    <mergeCell ref="M2004:M2006"/>
    <mergeCell ref="A2007:A2009"/>
    <mergeCell ref="B2007:C2009"/>
    <mergeCell ref="D2007:D2009"/>
    <mergeCell ref="E2007:E2009"/>
    <mergeCell ref="F2007:F2009"/>
    <mergeCell ref="G2007:G2009"/>
    <mergeCell ref="H2007:H2009"/>
    <mergeCell ref="A2004:A2006"/>
    <mergeCell ref="B2004:C2006"/>
    <mergeCell ref="D2004:D2006"/>
    <mergeCell ref="E2004:E2006"/>
    <mergeCell ref="F2004:F2006"/>
    <mergeCell ref="G2004:G2006"/>
    <mergeCell ref="M1993:M1998"/>
    <mergeCell ref="A1999:A2003"/>
    <mergeCell ref="B1999:C2003"/>
    <mergeCell ref="D1999:D2003"/>
    <mergeCell ref="E1999:E2003"/>
    <mergeCell ref="F1999:F2003"/>
    <mergeCell ref="G1999:G2003"/>
    <mergeCell ref="H1999:H2003"/>
    <mergeCell ref="L1999:L2003"/>
    <mergeCell ref="M1999:M2003"/>
    <mergeCell ref="L1989:L1992"/>
    <mergeCell ref="M1989:M1992"/>
    <mergeCell ref="A1993:A1998"/>
    <mergeCell ref="B1993:C1998"/>
    <mergeCell ref="D1993:D1998"/>
    <mergeCell ref="E1993:E1998"/>
    <mergeCell ref="F1993:F1998"/>
    <mergeCell ref="G1993:G1998"/>
    <mergeCell ref="H1993:H1998"/>
    <mergeCell ref="L1993:L1998"/>
    <mergeCell ref="H1983:H1988"/>
    <mergeCell ref="L1983:L1988"/>
    <mergeCell ref="M1983:M1988"/>
    <mergeCell ref="A1989:A1992"/>
    <mergeCell ref="B1989:C1992"/>
    <mergeCell ref="D1989:D1992"/>
    <mergeCell ref="E1989:E1992"/>
    <mergeCell ref="F1989:F1992"/>
    <mergeCell ref="G1989:G1992"/>
    <mergeCell ref="H1989:H1992"/>
    <mergeCell ref="A1983:A1988"/>
    <mergeCell ref="B1983:C1988"/>
    <mergeCell ref="D1983:D1988"/>
    <mergeCell ref="E1983:E1988"/>
    <mergeCell ref="F1983:F1988"/>
    <mergeCell ref="G1983:G1988"/>
    <mergeCell ref="M1971:M1976"/>
    <mergeCell ref="A1977:A1982"/>
    <mergeCell ref="B1977:C1982"/>
    <mergeCell ref="D1977:D1982"/>
    <mergeCell ref="E1977:E1982"/>
    <mergeCell ref="F1977:F1982"/>
    <mergeCell ref="G1977:G1982"/>
    <mergeCell ref="H1977:H1982"/>
    <mergeCell ref="L1977:L1982"/>
    <mergeCell ref="M1977:M1982"/>
    <mergeCell ref="L1966:L1970"/>
    <mergeCell ref="M1966:M1970"/>
    <mergeCell ref="A1971:A1976"/>
    <mergeCell ref="B1971:C1976"/>
    <mergeCell ref="D1971:D1976"/>
    <mergeCell ref="E1971:E1976"/>
    <mergeCell ref="F1971:F1976"/>
    <mergeCell ref="G1971:G1976"/>
    <mergeCell ref="H1971:H1976"/>
    <mergeCell ref="L1971:L1976"/>
    <mergeCell ref="H1962:H1965"/>
    <mergeCell ref="L1962:L1965"/>
    <mergeCell ref="M1962:M1965"/>
    <mergeCell ref="A1966:A1970"/>
    <mergeCell ref="B1966:C1970"/>
    <mergeCell ref="D1966:D1970"/>
    <mergeCell ref="E1966:E1970"/>
    <mergeCell ref="F1966:F1970"/>
    <mergeCell ref="G1966:G1970"/>
    <mergeCell ref="H1966:H1970"/>
    <mergeCell ref="G1957:G1961"/>
    <mergeCell ref="H1957:H1961"/>
    <mergeCell ref="L1957:L1961"/>
    <mergeCell ref="M1957:M1961"/>
    <mergeCell ref="A1962:A1965"/>
    <mergeCell ref="B1962:C1965"/>
    <mergeCell ref="D1962:D1965"/>
    <mergeCell ref="E1962:E1965"/>
    <mergeCell ref="F1962:F1965"/>
    <mergeCell ref="G1962:G1965"/>
    <mergeCell ref="B1956:C1956"/>
    <mergeCell ref="A1957:A1961"/>
    <mergeCell ref="B1957:C1961"/>
    <mergeCell ref="D1957:D1961"/>
    <mergeCell ref="E1957:E1961"/>
    <mergeCell ref="F1957:F1961"/>
    <mergeCell ref="M1942:M1949"/>
    <mergeCell ref="A1950:A1955"/>
    <mergeCell ref="B1950:C1955"/>
    <mergeCell ref="D1950:D1955"/>
    <mergeCell ref="E1950:E1955"/>
    <mergeCell ref="F1950:F1955"/>
    <mergeCell ref="G1950:G1955"/>
    <mergeCell ref="H1950:H1955"/>
    <mergeCell ref="L1950:L1955"/>
    <mergeCell ref="M1950:M1955"/>
    <mergeCell ref="L1939:L1941"/>
    <mergeCell ref="M1939:M1941"/>
    <mergeCell ref="A1942:A1949"/>
    <mergeCell ref="B1942:C1949"/>
    <mergeCell ref="D1942:D1949"/>
    <mergeCell ref="E1942:E1949"/>
    <mergeCell ref="F1942:F1949"/>
    <mergeCell ref="G1942:G1949"/>
    <mergeCell ref="H1942:H1949"/>
    <mergeCell ref="L1942:L1949"/>
    <mergeCell ref="H1934:H1938"/>
    <mergeCell ref="L1934:L1938"/>
    <mergeCell ref="M1934:M1938"/>
    <mergeCell ref="A1939:A1941"/>
    <mergeCell ref="B1939:C1941"/>
    <mergeCell ref="D1939:D1941"/>
    <mergeCell ref="E1939:E1941"/>
    <mergeCell ref="F1939:F1941"/>
    <mergeCell ref="G1939:G1941"/>
    <mergeCell ref="H1939:H1941"/>
    <mergeCell ref="A1934:A1938"/>
    <mergeCell ref="B1934:C1938"/>
    <mergeCell ref="D1934:D1938"/>
    <mergeCell ref="E1934:E1938"/>
    <mergeCell ref="F1934:F1938"/>
    <mergeCell ref="G1934:G1938"/>
    <mergeCell ref="H1923:H1930"/>
    <mergeCell ref="L1923:L1930"/>
    <mergeCell ref="M1923:M1930"/>
    <mergeCell ref="B1931:C1931"/>
    <mergeCell ref="B1932:C1932"/>
    <mergeCell ref="B1933:C1933"/>
    <mergeCell ref="A1923:A1930"/>
    <mergeCell ref="B1923:C1930"/>
    <mergeCell ref="D1923:D1930"/>
    <mergeCell ref="E1923:E1930"/>
    <mergeCell ref="F1923:F1930"/>
    <mergeCell ref="G1923:G1930"/>
    <mergeCell ref="M1902:M1904"/>
    <mergeCell ref="A1905:A1922"/>
    <mergeCell ref="B1905:C1922"/>
    <mergeCell ref="D1905:D1922"/>
    <mergeCell ref="E1905:E1922"/>
    <mergeCell ref="F1905:F1922"/>
    <mergeCell ref="G1905:G1922"/>
    <mergeCell ref="H1905:H1922"/>
    <mergeCell ref="L1905:L1922"/>
    <mergeCell ref="M1905:M1922"/>
    <mergeCell ref="L1899:L1901"/>
    <mergeCell ref="M1899:M1901"/>
    <mergeCell ref="A1902:A1904"/>
    <mergeCell ref="B1902:C1904"/>
    <mergeCell ref="D1902:D1904"/>
    <mergeCell ref="E1902:E1904"/>
    <mergeCell ref="F1902:F1904"/>
    <mergeCell ref="G1902:G1904"/>
    <mergeCell ref="H1902:H1904"/>
    <mergeCell ref="L1902:L1904"/>
    <mergeCell ref="H1895:H1898"/>
    <mergeCell ref="L1895:L1898"/>
    <mergeCell ref="M1895:M1898"/>
    <mergeCell ref="A1899:A1901"/>
    <mergeCell ref="B1899:C1901"/>
    <mergeCell ref="D1899:D1901"/>
    <mergeCell ref="E1899:E1901"/>
    <mergeCell ref="F1899:F1901"/>
    <mergeCell ref="G1899:G1901"/>
    <mergeCell ref="H1899:H1901"/>
    <mergeCell ref="A1895:A1898"/>
    <mergeCell ref="B1895:C1898"/>
    <mergeCell ref="D1895:D1898"/>
    <mergeCell ref="E1895:E1898"/>
    <mergeCell ref="F1895:F1898"/>
    <mergeCell ref="G1895:G1898"/>
    <mergeCell ref="M1887:M1890"/>
    <mergeCell ref="A1891:A1894"/>
    <mergeCell ref="B1891:C1894"/>
    <mergeCell ref="D1891:D1894"/>
    <mergeCell ref="E1891:E1894"/>
    <mergeCell ref="F1891:F1894"/>
    <mergeCell ref="G1891:G1894"/>
    <mergeCell ref="H1891:H1894"/>
    <mergeCell ref="L1891:L1894"/>
    <mergeCell ref="M1891:M1894"/>
    <mergeCell ref="L1883:L1886"/>
    <mergeCell ref="M1883:M1886"/>
    <mergeCell ref="A1887:A1890"/>
    <mergeCell ref="B1887:C1890"/>
    <mergeCell ref="D1887:D1890"/>
    <mergeCell ref="E1887:E1890"/>
    <mergeCell ref="F1887:F1890"/>
    <mergeCell ref="G1887:G1890"/>
    <mergeCell ref="H1887:H1890"/>
    <mergeCell ref="L1887:L1890"/>
    <mergeCell ref="H1879:H1882"/>
    <mergeCell ref="L1879:L1882"/>
    <mergeCell ref="M1879:M1882"/>
    <mergeCell ref="A1883:A1886"/>
    <mergeCell ref="B1883:C1886"/>
    <mergeCell ref="D1883:D1886"/>
    <mergeCell ref="E1883:E1886"/>
    <mergeCell ref="F1883:F1886"/>
    <mergeCell ref="G1883:G1886"/>
    <mergeCell ref="H1883:H1886"/>
    <mergeCell ref="A1879:A1882"/>
    <mergeCell ref="B1879:C1882"/>
    <mergeCell ref="D1879:D1882"/>
    <mergeCell ref="E1879:E1882"/>
    <mergeCell ref="F1879:F1882"/>
    <mergeCell ref="G1879:G1882"/>
    <mergeCell ref="M1871:M1874"/>
    <mergeCell ref="A1875:A1878"/>
    <mergeCell ref="B1875:C1878"/>
    <mergeCell ref="D1875:D1878"/>
    <mergeCell ref="E1875:E1878"/>
    <mergeCell ref="F1875:F1878"/>
    <mergeCell ref="G1875:G1878"/>
    <mergeCell ref="H1875:H1878"/>
    <mergeCell ref="L1875:L1878"/>
    <mergeCell ref="M1875:M1878"/>
    <mergeCell ref="L1867:L1870"/>
    <mergeCell ref="M1867:M1870"/>
    <mergeCell ref="A1871:A1874"/>
    <mergeCell ref="B1871:C1874"/>
    <mergeCell ref="D1871:D1874"/>
    <mergeCell ref="E1871:E1874"/>
    <mergeCell ref="F1871:F1874"/>
    <mergeCell ref="G1871:G1874"/>
    <mergeCell ref="H1871:H1874"/>
    <mergeCell ref="L1871:L1874"/>
    <mergeCell ref="H1863:H1866"/>
    <mergeCell ref="L1863:L1866"/>
    <mergeCell ref="M1863:M1866"/>
    <mergeCell ref="A1867:A1870"/>
    <mergeCell ref="B1867:C1870"/>
    <mergeCell ref="D1867:D1870"/>
    <mergeCell ref="E1867:E1870"/>
    <mergeCell ref="F1867:F1870"/>
    <mergeCell ref="G1867:G1870"/>
    <mergeCell ref="H1867:H1870"/>
    <mergeCell ref="G1860:G1862"/>
    <mergeCell ref="H1860:H1862"/>
    <mergeCell ref="L1860:L1862"/>
    <mergeCell ref="M1860:M1862"/>
    <mergeCell ref="A1863:A1866"/>
    <mergeCell ref="B1863:C1866"/>
    <mergeCell ref="D1863:D1866"/>
    <mergeCell ref="E1863:E1866"/>
    <mergeCell ref="F1863:F1866"/>
    <mergeCell ref="G1863:G1866"/>
    <mergeCell ref="H1855:H1857"/>
    <mergeCell ref="L1855:L1857"/>
    <mergeCell ref="M1855:M1857"/>
    <mergeCell ref="B1858:C1858"/>
    <mergeCell ref="B1859:C1859"/>
    <mergeCell ref="A1860:A1862"/>
    <mergeCell ref="B1860:C1862"/>
    <mergeCell ref="D1860:D1862"/>
    <mergeCell ref="E1860:E1862"/>
    <mergeCell ref="F1860:F1862"/>
    <mergeCell ref="A1855:A1857"/>
    <mergeCell ref="B1855:C1857"/>
    <mergeCell ref="D1855:D1857"/>
    <mergeCell ref="E1855:E1857"/>
    <mergeCell ref="F1855:F1857"/>
    <mergeCell ref="G1855:G1857"/>
    <mergeCell ref="M1844:M1849"/>
    <mergeCell ref="A1850:A1854"/>
    <mergeCell ref="B1850:C1854"/>
    <mergeCell ref="D1850:D1854"/>
    <mergeCell ref="E1850:E1854"/>
    <mergeCell ref="F1850:F1854"/>
    <mergeCell ref="G1850:G1854"/>
    <mergeCell ref="H1850:H1854"/>
    <mergeCell ref="L1850:L1854"/>
    <mergeCell ref="M1850:M1854"/>
    <mergeCell ref="L1839:L1843"/>
    <mergeCell ref="M1839:M1843"/>
    <mergeCell ref="A1844:A1849"/>
    <mergeCell ref="B1844:C1849"/>
    <mergeCell ref="D1844:D1849"/>
    <mergeCell ref="E1844:E1849"/>
    <mergeCell ref="F1844:F1849"/>
    <mergeCell ref="G1844:G1849"/>
    <mergeCell ref="H1844:H1849"/>
    <mergeCell ref="L1844:L1849"/>
    <mergeCell ref="H1835:H1838"/>
    <mergeCell ref="L1835:L1838"/>
    <mergeCell ref="M1835:M1838"/>
    <mergeCell ref="A1839:A1843"/>
    <mergeCell ref="B1839:C1843"/>
    <mergeCell ref="D1839:D1843"/>
    <mergeCell ref="E1839:E1843"/>
    <mergeCell ref="F1839:F1843"/>
    <mergeCell ref="G1839:G1843"/>
    <mergeCell ref="H1839:H1843"/>
    <mergeCell ref="A1835:A1838"/>
    <mergeCell ref="B1835:C1838"/>
    <mergeCell ref="D1835:D1838"/>
    <mergeCell ref="E1835:E1838"/>
    <mergeCell ref="F1835:F1838"/>
    <mergeCell ref="G1835:G1838"/>
    <mergeCell ref="M1824:M1827"/>
    <mergeCell ref="A1828:A1834"/>
    <mergeCell ref="B1828:C1834"/>
    <mergeCell ref="D1828:D1834"/>
    <mergeCell ref="E1828:E1834"/>
    <mergeCell ref="F1828:F1834"/>
    <mergeCell ref="G1828:G1834"/>
    <mergeCell ref="H1828:H1834"/>
    <mergeCell ref="L1828:L1834"/>
    <mergeCell ref="M1828:M1834"/>
    <mergeCell ref="L1820:L1823"/>
    <mergeCell ref="M1820:M1823"/>
    <mergeCell ref="A1824:A1827"/>
    <mergeCell ref="B1824:C1827"/>
    <mergeCell ref="D1824:D1827"/>
    <mergeCell ref="E1824:E1827"/>
    <mergeCell ref="F1824:F1827"/>
    <mergeCell ref="G1824:G1827"/>
    <mergeCell ref="H1824:H1827"/>
    <mergeCell ref="L1824:L1827"/>
    <mergeCell ref="H1815:H1819"/>
    <mergeCell ref="L1815:L1819"/>
    <mergeCell ref="M1815:M1819"/>
    <mergeCell ref="A1820:A1823"/>
    <mergeCell ref="B1820:C1823"/>
    <mergeCell ref="D1820:D1823"/>
    <mergeCell ref="E1820:E1823"/>
    <mergeCell ref="F1820:F1823"/>
    <mergeCell ref="G1820:G1823"/>
    <mergeCell ref="H1820:H1823"/>
    <mergeCell ref="A1815:A1819"/>
    <mergeCell ref="B1815:C1819"/>
    <mergeCell ref="D1815:D1819"/>
    <mergeCell ref="E1815:E1819"/>
    <mergeCell ref="F1815:F1819"/>
    <mergeCell ref="G1815:G1819"/>
    <mergeCell ref="M1807:M1810"/>
    <mergeCell ref="A1811:A1814"/>
    <mergeCell ref="B1811:C1814"/>
    <mergeCell ref="D1811:D1814"/>
    <mergeCell ref="E1811:E1814"/>
    <mergeCell ref="F1811:F1814"/>
    <mergeCell ref="G1811:G1814"/>
    <mergeCell ref="H1811:H1814"/>
    <mergeCell ref="L1811:L1814"/>
    <mergeCell ref="M1811:M1814"/>
    <mergeCell ref="L1802:L1806"/>
    <mergeCell ref="M1802:M1806"/>
    <mergeCell ref="A1807:A1810"/>
    <mergeCell ref="B1807:C1810"/>
    <mergeCell ref="D1807:D1810"/>
    <mergeCell ref="E1807:E1810"/>
    <mergeCell ref="F1807:F1810"/>
    <mergeCell ref="G1807:G1810"/>
    <mergeCell ref="H1807:H1810"/>
    <mergeCell ref="L1807:L1810"/>
    <mergeCell ref="H1798:H1801"/>
    <mergeCell ref="L1798:L1801"/>
    <mergeCell ref="M1798:M1801"/>
    <mergeCell ref="A1802:A1806"/>
    <mergeCell ref="B1802:C1806"/>
    <mergeCell ref="D1802:D1806"/>
    <mergeCell ref="E1802:E1806"/>
    <mergeCell ref="F1802:F1806"/>
    <mergeCell ref="G1802:G1806"/>
    <mergeCell ref="H1802:H1806"/>
    <mergeCell ref="A1798:A1801"/>
    <mergeCell ref="B1798:C1801"/>
    <mergeCell ref="D1798:D1801"/>
    <mergeCell ref="E1798:E1801"/>
    <mergeCell ref="F1798:F1801"/>
    <mergeCell ref="G1798:G1801"/>
    <mergeCell ref="M1789:M1793"/>
    <mergeCell ref="A1794:A1797"/>
    <mergeCell ref="B1794:C1797"/>
    <mergeCell ref="D1794:D1797"/>
    <mergeCell ref="E1794:E1797"/>
    <mergeCell ref="F1794:F1797"/>
    <mergeCell ref="G1794:G1797"/>
    <mergeCell ref="H1794:H1797"/>
    <mergeCell ref="L1794:L1797"/>
    <mergeCell ref="M1794:M1797"/>
    <mergeCell ref="H1780:H1788"/>
    <mergeCell ref="L1780:L1788"/>
    <mergeCell ref="A1789:A1793"/>
    <mergeCell ref="B1789:C1793"/>
    <mergeCell ref="D1789:D1793"/>
    <mergeCell ref="E1789:E1793"/>
    <mergeCell ref="F1789:F1793"/>
    <mergeCell ref="G1789:G1793"/>
    <mergeCell ref="H1789:H1793"/>
    <mergeCell ref="L1789:L1793"/>
    <mergeCell ref="A1780:A1788"/>
    <mergeCell ref="B1780:C1788"/>
    <mergeCell ref="D1780:D1788"/>
    <mergeCell ref="E1780:E1788"/>
    <mergeCell ref="F1780:F1788"/>
    <mergeCell ref="G1780:G1788"/>
    <mergeCell ref="M1767:M1772"/>
    <mergeCell ref="A1773:A1779"/>
    <mergeCell ref="B1773:C1779"/>
    <mergeCell ref="D1773:D1779"/>
    <mergeCell ref="E1773:E1779"/>
    <mergeCell ref="F1773:F1779"/>
    <mergeCell ref="G1773:G1779"/>
    <mergeCell ref="H1773:H1779"/>
    <mergeCell ref="L1773:L1779"/>
    <mergeCell ref="M1773:M1779"/>
    <mergeCell ref="L1762:L1766"/>
    <mergeCell ref="M1762:M1766"/>
    <mergeCell ref="A1767:A1772"/>
    <mergeCell ref="B1767:C1772"/>
    <mergeCell ref="D1767:D1772"/>
    <mergeCell ref="E1767:E1772"/>
    <mergeCell ref="F1767:F1772"/>
    <mergeCell ref="G1767:G1772"/>
    <mergeCell ref="H1767:H1772"/>
    <mergeCell ref="L1767:L1772"/>
    <mergeCell ref="H1759:H1761"/>
    <mergeCell ref="L1759:L1761"/>
    <mergeCell ref="M1759:M1761"/>
    <mergeCell ref="A1762:A1766"/>
    <mergeCell ref="B1762:C1766"/>
    <mergeCell ref="D1762:D1766"/>
    <mergeCell ref="E1762:E1766"/>
    <mergeCell ref="F1762:F1766"/>
    <mergeCell ref="G1762:G1766"/>
    <mergeCell ref="H1762:H1766"/>
    <mergeCell ref="G1756:G1758"/>
    <mergeCell ref="H1756:H1758"/>
    <mergeCell ref="L1756:L1758"/>
    <mergeCell ref="M1756:M1758"/>
    <mergeCell ref="A1759:A1761"/>
    <mergeCell ref="B1759:C1761"/>
    <mergeCell ref="D1759:D1761"/>
    <mergeCell ref="E1759:E1761"/>
    <mergeCell ref="F1759:F1761"/>
    <mergeCell ref="G1759:G1761"/>
    <mergeCell ref="F1751:F1755"/>
    <mergeCell ref="G1751:G1755"/>
    <mergeCell ref="H1751:H1755"/>
    <mergeCell ref="L1751:L1755"/>
    <mergeCell ref="M1751:M1755"/>
    <mergeCell ref="A1756:A1758"/>
    <mergeCell ref="B1756:C1758"/>
    <mergeCell ref="D1756:D1758"/>
    <mergeCell ref="E1756:E1758"/>
    <mergeCell ref="F1756:F1758"/>
    <mergeCell ref="B1749:C1749"/>
    <mergeCell ref="B1750:C1750"/>
    <mergeCell ref="A1751:A1755"/>
    <mergeCell ref="B1751:C1755"/>
    <mergeCell ref="D1751:D1755"/>
    <mergeCell ref="E1751:E1755"/>
    <mergeCell ref="M1742:M1745"/>
    <mergeCell ref="A1746:A1748"/>
    <mergeCell ref="B1746:C1748"/>
    <mergeCell ref="D1746:D1748"/>
    <mergeCell ref="E1746:E1748"/>
    <mergeCell ref="F1746:F1748"/>
    <mergeCell ref="G1746:G1748"/>
    <mergeCell ref="H1746:H1748"/>
    <mergeCell ref="L1746:L1748"/>
    <mergeCell ref="M1746:M1748"/>
    <mergeCell ref="L1735:L1741"/>
    <mergeCell ref="M1735:M1741"/>
    <mergeCell ref="A1742:A1745"/>
    <mergeCell ref="B1742:C1745"/>
    <mergeCell ref="D1742:D1745"/>
    <mergeCell ref="E1742:E1745"/>
    <mergeCell ref="F1742:F1745"/>
    <mergeCell ref="G1742:G1745"/>
    <mergeCell ref="H1742:H1745"/>
    <mergeCell ref="L1742:L1745"/>
    <mergeCell ref="H1728:H1734"/>
    <mergeCell ref="L1728:L1734"/>
    <mergeCell ref="M1728:M1734"/>
    <mergeCell ref="A1735:A1741"/>
    <mergeCell ref="B1735:C1741"/>
    <mergeCell ref="D1735:D1741"/>
    <mergeCell ref="E1735:E1741"/>
    <mergeCell ref="F1735:F1741"/>
    <mergeCell ref="G1735:G1741"/>
    <mergeCell ref="H1735:H1741"/>
    <mergeCell ref="A1728:A1734"/>
    <mergeCell ref="B1728:C1734"/>
    <mergeCell ref="D1728:D1734"/>
    <mergeCell ref="E1728:E1734"/>
    <mergeCell ref="F1728:F1734"/>
    <mergeCell ref="G1728:G1734"/>
    <mergeCell ref="M1718:M1722"/>
    <mergeCell ref="A1723:A1727"/>
    <mergeCell ref="B1723:C1727"/>
    <mergeCell ref="D1723:D1727"/>
    <mergeCell ref="E1723:E1727"/>
    <mergeCell ref="F1723:F1727"/>
    <mergeCell ref="G1723:G1727"/>
    <mergeCell ref="H1723:H1727"/>
    <mergeCell ref="L1723:L1727"/>
    <mergeCell ref="M1723:M1727"/>
    <mergeCell ref="L1711:L1717"/>
    <mergeCell ref="M1711:M1717"/>
    <mergeCell ref="A1718:A1722"/>
    <mergeCell ref="B1718:C1722"/>
    <mergeCell ref="D1718:D1722"/>
    <mergeCell ref="E1718:E1722"/>
    <mergeCell ref="F1718:F1722"/>
    <mergeCell ref="G1718:G1722"/>
    <mergeCell ref="H1718:H1722"/>
    <mergeCell ref="L1718:L1722"/>
    <mergeCell ref="H1708:H1710"/>
    <mergeCell ref="L1708:L1710"/>
    <mergeCell ref="M1708:M1710"/>
    <mergeCell ref="A1711:A1717"/>
    <mergeCell ref="B1711:C1717"/>
    <mergeCell ref="D1711:D1717"/>
    <mergeCell ref="E1711:E1717"/>
    <mergeCell ref="F1711:F1717"/>
    <mergeCell ref="G1711:G1717"/>
    <mergeCell ref="H1711:H1717"/>
    <mergeCell ref="A1708:A1710"/>
    <mergeCell ref="B1708:C1710"/>
    <mergeCell ref="D1708:D1710"/>
    <mergeCell ref="E1708:E1710"/>
    <mergeCell ref="F1708:F1710"/>
    <mergeCell ref="G1708:G1710"/>
    <mergeCell ref="M1693:M1700"/>
    <mergeCell ref="A1701:A1707"/>
    <mergeCell ref="B1701:C1707"/>
    <mergeCell ref="D1701:D1707"/>
    <mergeCell ref="E1701:E1707"/>
    <mergeCell ref="F1701:F1707"/>
    <mergeCell ref="G1701:G1707"/>
    <mergeCell ref="H1701:H1707"/>
    <mergeCell ref="L1701:L1707"/>
    <mergeCell ref="M1701:M1707"/>
    <mergeCell ref="L1688:L1692"/>
    <mergeCell ref="M1688:M1692"/>
    <mergeCell ref="A1693:A1700"/>
    <mergeCell ref="B1693:C1700"/>
    <mergeCell ref="D1693:D1700"/>
    <mergeCell ref="E1693:E1700"/>
    <mergeCell ref="F1693:F1700"/>
    <mergeCell ref="G1693:G1700"/>
    <mergeCell ref="H1693:H1700"/>
    <mergeCell ref="L1693:L1700"/>
    <mergeCell ref="H1685:H1687"/>
    <mergeCell ref="L1685:L1687"/>
    <mergeCell ref="M1685:M1687"/>
    <mergeCell ref="A1688:A1692"/>
    <mergeCell ref="B1688:C1692"/>
    <mergeCell ref="D1688:D1692"/>
    <mergeCell ref="E1688:E1692"/>
    <mergeCell ref="F1688:F1692"/>
    <mergeCell ref="G1688:G1692"/>
    <mergeCell ref="H1688:H1692"/>
    <mergeCell ref="A1685:A1687"/>
    <mergeCell ref="B1685:C1687"/>
    <mergeCell ref="D1685:D1687"/>
    <mergeCell ref="E1685:E1687"/>
    <mergeCell ref="F1685:F1687"/>
    <mergeCell ref="G1685:G1687"/>
    <mergeCell ref="M1675:M1681"/>
    <mergeCell ref="A1682:A1684"/>
    <mergeCell ref="B1682:C1684"/>
    <mergeCell ref="D1682:D1684"/>
    <mergeCell ref="E1682:E1684"/>
    <mergeCell ref="F1682:F1684"/>
    <mergeCell ref="G1682:G1684"/>
    <mergeCell ref="H1682:H1684"/>
    <mergeCell ref="L1682:L1684"/>
    <mergeCell ref="M1682:M1684"/>
    <mergeCell ref="L1667:L1674"/>
    <mergeCell ref="M1667:M1674"/>
    <mergeCell ref="A1675:A1681"/>
    <mergeCell ref="B1675:C1681"/>
    <mergeCell ref="D1675:D1681"/>
    <mergeCell ref="E1675:E1681"/>
    <mergeCell ref="F1675:F1681"/>
    <mergeCell ref="G1675:G1681"/>
    <mergeCell ref="H1675:H1681"/>
    <mergeCell ref="L1675:L1681"/>
    <mergeCell ref="H1661:H1666"/>
    <mergeCell ref="L1661:L1666"/>
    <mergeCell ref="M1661:M1666"/>
    <mergeCell ref="A1667:A1674"/>
    <mergeCell ref="B1667:C1674"/>
    <mergeCell ref="D1667:D1674"/>
    <mergeCell ref="E1667:E1674"/>
    <mergeCell ref="F1667:F1674"/>
    <mergeCell ref="G1667:G1674"/>
    <mergeCell ref="H1667:H1674"/>
    <mergeCell ref="A1661:A1666"/>
    <mergeCell ref="B1661:C1666"/>
    <mergeCell ref="D1661:D1666"/>
    <mergeCell ref="E1661:E1666"/>
    <mergeCell ref="F1661:F1666"/>
    <mergeCell ref="G1661:G1666"/>
    <mergeCell ref="M1649:M1652"/>
    <mergeCell ref="A1653:A1660"/>
    <mergeCell ref="B1653:C1660"/>
    <mergeCell ref="D1653:D1660"/>
    <mergeCell ref="E1653:E1660"/>
    <mergeCell ref="F1653:F1660"/>
    <mergeCell ref="G1653:G1660"/>
    <mergeCell ref="H1653:H1660"/>
    <mergeCell ref="L1653:L1660"/>
    <mergeCell ref="M1653:M1660"/>
    <mergeCell ref="L1641:L1648"/>
    <mergeCell ref="M1641:M1648"/>
    <mergeCell ref="A1649:A1652"/>
    <mergeCell ref="B1649:C1652"/>
    <mergeCell ref="D1649:D1652"/>
    <mergeCell ref="E1649:E1652"/>
    <mergeCell ref="F1649:F1652"/>
    <mergeCell ref="G1649:G1652"/>
    <mergeCell ref="H1649:H1652"/>
    <mergeCell ref="L1649:L1652"/>
    <mergeCell ref="H1637:H1640"/>
    <mergeCell ref="L1637:L1640"/>
    <mergeCell ref="M1637:M1640"/>
    <mergeCell ref="A1641:A1648"/>
    <mergeCell ref="B1641:C1648"/>
    <mergeCell ref="D1641:D1648"/>
    <mergeCell ref="E1641:E1648"/>
    <mergeCell ref="F1641:F1648"/>
    <mergeCell ref="G1641:G1648"/>
    <mergeCell ref="H1641:H1648"/>
    <mergeCell ref="G1632:G1636"/>
    <mergeCell ref="H1632:H1636"/>
    <mergeCell ref="L1632:L1636"/>
    <mergeCell ref="M1632:M1636"/>
    <mergeCell ref="A1637:A1640"/>
    <mergeCell ref="B1637:C1640"/>
    <mergeCell ref="D1637:D1640"/>
    <mergeCell ref="E1637:E1640"/>
    <mergeCell ref="F1637:F1640"/>
    <mergeCell ref="G1637:G1640"/>
    <mergeCell ref="H1625:H1629"/>
    <mergeCell ref="L1625:L1629"/>
    <mergeCell ref="M1625:M1629"/>
    <mergeCell ref="B1630:C1630"/>
    <mergeCell ref="B1631:C1631"/>
    <mergeCell ref="A1632:A1636"/>
    <mergeCell ref="B1632:C1636"/>
    <mergeCell ref="D1632:D1636"/>
    <mergeCell ref="E1632:E1636"/>
    <mergeCell ref="F1632:F1636"/>
    <mergeCell ref="A1625:A1629"/>
    <mergeCell ref="B1625:C1629"/>
    <mergeCell ref="D1625:D1629"/>
    <mergeCell ref="E1625:E1629"/>
    <mergeCell ref="F1625:F1629"/>
    <mergeCell ref="G1625:G1629"/>
    <mergeCell ref="M1616:M1619"/>
    <mergeCell ref="A1620:A1624"/>
    <mergeCell ref="B1620:C1624"/>
    <mergeCell ref="D1620:D1624"/>
    <mergeCell ref="E1620:E1624"/>
    <mergeCell ref="F1620:F1624"/>
    <mergeCell ref="G1620:G1624"/>
    <mergeCell ref="H1620:H1624"/>
    <mergeCell ref="L1620:L1624"/>
    <mergeCell ref="M1620:M1624"/>
    <mergeCell ref="L1611:L1615"/>
    <mergeCell ref="M1611:M1615"/>
    <mergeCell ref="A1616:A1619"/>
    <mergeCell ref="B1616:C1619"/>
    <mergeCell ref="D1616:D1619"/>
    <mergeCell ref="E1616:E1619"/>
    <mergeCell ref="F1616:F1619"/>
    <mergeCell ref="G1616:G1619"/>
    <mergeCell ref="H1616:H1619"/>
    <mergeCell ref="L1616:L1619"/>
    <mergeCell ref="H1607:H1610"/>
    <mergeCell ref="L1607:L1610"/>
    <mergeCell ref="M1607:M1610"/>
    <mergeCell ref="A1611:A1615"/>
    <mergeCell ref="B1611:C1615"/>
    <mergeCell ref="D1611:D1615"/>
    <mergeCell ref="E1611:E1615"/>
    <mergeCell ref="F1611:F1615"/>
    <mergeCell ref="G1611:G1615"/>
    <mergeCell ref="H1611:H1615"/>
    <mergeCell ref="A1607:A1610"/>
    <mergeCell ref="B1607:C1610"/>
    <mergeCell ref="D1607:D1610"/>
    <mergeCell ref="E1607:E1610"/>
    <mergeCell ref="F1607:F1610"/>
    <mergeCell ref="G1607:G1610"/>
    <mergeCell ref="M1599:M1601"/>
    <mergeCell ref="A1602:A1606"/>
    <mergeCell ref="B1602:C1606"/>
    <mergeCell ref="D1602:D1606"/>
    <mergeCell ref="E1602:E1606"/>
    <mergeCell ref="F1602:F1606"/>
    <mergeCell ref="G1602:G1606"/>
    <mergeCell ref="H1602:H1606"/>
    <mergeCell ref="L1602:L1606"/>
    <mergeCell ref="M1602:M1606"/>
    <mergeCell ref="L1594:L1598"/>
    <mergeCell ref="M1594:M1598"/>
    <mergeCell ref="A1599:A1601"/>
    <mergeCell ref="B1599:C1601"/>
    <mergeCell ref="D1599:D1601"/>
    <mergeCell ref="E1599:E1601"/>
    <mergeCell ref="F1599:F1601"/>
    <mergeCell ref="G1599:G1601"/>
    <mergeCell ref="H1599:H1601"/>
    <mergeCell ref="L1599:L1601"/>
    <mergeCell ref="H1589:H1593"/>
    <mergeCell ref="L1589:L1593"/>
    <mergeCell ref="M1589:M1593"/>
    <mergeCell ref="A1594:A1598"/>
    <mergeCell ref="B1594:C1598"/>
    <mergeCell ref="D1594:D1598"/>
    <mergeCell ref="E1594:E1598"/>
    <mergeCell ref="F1594:F1598"/>
    <mergeCell ref="G1594:G1598"/>
    <mergeCell ref="H1594:H1598"/>
    <mergeCell ref="A1589:A1593"/>
    <mergeCell ref="B1589:C1593"/>
    <mergeCell ref="D1589:D1593"/>
    <mergeCell ref="E1589:E1593"/>
    <mergeCell ref="F1589:F1593"/>
    <mergeCell ref="G1589:G1593"/>
    <mergeCell ref="M1581:M1584"/>
    <mergeCell ref="A1585:A1588"/>
    <mergeCell ref="B1585:C1588"/>
    <mergeCell ref="D1585:D1588"/>
    <mergeCell ref="E1585:E1588"/>
    <mergeCell ref="F1585:F1588"/>
    <mergeCell ref="G1585:G1588"/>
    <mergeCell ref="H1585:H1588"/>
    <mergeCell ref="L1585:L1588"/>
    <mergeCell ref="M1585:M1588"/>
    <mergeCell ref="D1581:D1584"/>
    <mergeCell ref="E1581:E1584"/>
    <mergeCell ref="F1581:F1584"/>
    <mergeCell ref="G1581:G1584"/>
    <mergeCell ref="H1581:H1584"/>
    <mergeCell ref="L1581:L1584"/>
    <mergeCell ref="B1577:C1577"/>
    <mergeCell ref="B1578:C1578"/>
    <mergeCell ref="B1579:C1579"/>
    <mergeCell ref="B1580:C1580"/>
    <mergeCell ref="A1581:A1584"/>
    <mergeCell ref="B1581:C1584"/>
    <mergeCell ref="M1564:M1571"/>
    <mergeCell ref="B1572:C1572"/>
    <mergeCell ref="B1573:C1573"/>
    <mergeCell ref="B1574:C1574"/>
    <mergeCell ref="B1575:C1575"/>
    <mergeCell ref="B1576:C1576"/>
    <mergeCell ref="L1556:L1563"/>
    <mergeCell ref="M1556:M1563"/>
    <mergeCell ref="A1564:A1571"/>
    <mergeCell ref="B1564:C1571"/>
    <mergeCell ref="D1564:D1571"/>
    <mergeCell ref="E1564:E1571"/>
    <mergeCell ref="F1564:F1571"/>
    <mergeCell ref="G1564:G1571"/>
    <mergeCell ref="H1564:H1571"/>
    <mergeCell ref="L1564:L1571"/>
    <mergeCell ref="H1549:H1555"/>
    <mergeCell ref="L1549:L1555"/>
    <mergeCell ref="M1549:M1555"/>
    <mergeCell ref="A1556:A1563"/>
    <mergeCell ref="B1556:C1563"/>
    <mergeCell ref="D1556:D1563"/>
    <mergeCell ref="E1556:E1563"/>
    <mergeCell ref="F1556:F1563"/>
    <mergeCell ref="G1556:G1563"/>
    <mergeCell ref="H1556:H1563"/>
    <mergeCell ref="A1549:A1555"/>
    <mergeCell ref="B1549:C1555"/>
    <mergeCell ref="D1549:D1555"/>
    <mergeCell ref="E1549:E1555"/>
    <mergeCell ref="F1549:F1555"/>
    <mergeCell ref="G1549:G1555"/>
    <mergeCell ref="M1530:M1535"/>
    <mergeCell ref="A1536:A1548"/>
    <mergeCell ref="B1536:C1548"/>
    <mergeCell ref="D1536:D1548"/>
    <mergeCell ref="E1536:E1548"/>
    <mergeCell ref="F1536:F1548"/>
    <mergeCell ref="G1536:G1548"/>
    <mergeCell ref="H1536:H1548"/>
    <mergeCell ref="L1536:L1548"/>
    <mergeCell ref="M1536:M1548"/>
    <mergeCell ref="L1516:L1529"/>
    <mergeCell ref="M1516:M1529"/>
    <mergeCell ref="A1530:A1535"/>
    <mergeCell ref="B1530:C1535"/>
    <mergeCell ref="D1530:D1535"/>
    <mergeCell ref="E1530:E1535"/>
    <mergeCell ref="F1530:F1535"/>
    <mergeCell ref="G1530:G1535"/>
    <mergeCell ref="H1530:H1535"/>
    <mergeCell ref="L1530:L1535"/>
    <mergeCell ref="H1505:H1515"/>
    <mergeCell ref="L1505:L1515"/>
    <mergeCell ref="M1505:M1515"/>
    <mergeCell ref="A1516:A1529"/>
    <mergeCell ref="B1516:C1529"/>
    <mergeCell ref="D1516:D1529"/>
    <mergeCell ref="E1516:E1529"/>
    <mergeCell ref="F1516:F1529"/>
    <mergeCell ref="G1516:G1529"/>
    <mergeCell ref="H1516:H1529"/>
    <mergeCell ref="A1505:A1515"/>
    <mergeCell ref="B1505:C1515"/>
    <mergeCell ref="D1505:D1515"/>
    <mergeCell ref="E1505:E1515"/>
    <mergeCell ref="F1505:F1515"/>
    <mergeCell ref="G1505:G1515"/>
    <mergeCell ref="M1487:M1496"/>
    <mergeCell ref="A1497:A1504"/>
    <mergeCell ref="B1497:C1504"/>
    <mergeCell ref="D1497:D1504"/>
    <mergeCell ref="E1497:E1504"/>
    <mergeCell ref="F1497:F1504"/>
    <mergeCell ref="G1497:G1504"/>
    <mergeCell ref="H1497:H1504"/>
    <mergeCell ref="L1497:L1504"/>
    <mergeCell ref="M1497:M1504"/>
    <mergeCell ref="L1483:L1486"/>
    <mergeCell ref="M1483:M1486"/>
    <mergeCell ref="A1487:A1496"/>
    <mergeCell ref="B1487:C1496"/>
    <mergeCell ref="D1487:D1496"/>
    <mergeCell ref="E1487:E1496"/>
    <mergeCell ref="F1487:F1496"/>
    <mergeCell ref="G1487:G1496"/>
    <mergeCell ref="H1487:H1496"/>
    <mergeCell ref="L1487:L1496"/>
    <mergeCell ref="H1475:H1482"/>
    <mergeCell ref="L1475:L1482"/>
    <mergeCell ref="M1475:M1482"/>
    <mergeCell ref="A1483:A1486"/>
    <mergeCell ref="B1483:C1486"/>
    <mergeCell ref="D1483:D1486"/>
    <mergeCell ref="E1483:E1486"/>
    <mergeCell ref="F1483:F1486"/>
    <mergeCell ref="G1483:G1486"/>
    <mergeCell ref="H1483:H1486"/>
    <mergeCell ref="A1475:A1482"/>
    <mergeCell ref="B1475:C1482"/>
    <mergeCell ref="D1475:D1482"/>
    <mergeCell ref="E1475:E1482"/>
    <mergeCell ref="F1475:F1482"/>
    <mergeCell ref="G1475:G1482"/>
    <mergeCell ref="M1466:M1471"/>
    <mergeCell ref="A1472:A1474"/>
    <mergeCell ref="B1472:C1474"/>
    <mergeCell ref="D1472:D1474"/>
    <mergeCell ref="E1472:E1474"/>
    <mergeCell ref="F1472:F1474"/>
    <mergeCell ref="G1472:G1474"/>
    <mergeCell ref="H1472:H1474"/>
    <mergeCell ref="L1472:L1474"/>
    <mergeCell ref="M1472:M1474"/>
    <mergeCell ref="L1463:L1465"/>
    <mergeCell ref="M1463:M1465"/>
    <mergeCell ref="A1466:A1471"/>
    <mergeCell ref="B1466:C1471"/>
    <mergeCell ref="D1466:D1471"/>
    <mergeCell ref="E1466:E1471"/>
    <mergeCell ref="F1466:F1471"/>
    <mergeCell ref="G1466:G1471"/>
    <mergeCell ref="H1466:H1471"/>
    <mergeCell ref="L1466:L1471"/>
    <mergeCell ref="H1460:H1462"/>
    <mergeCell ref="L1460:L1462"/>
    <mergeCell ref="M1460:M1462"/>
    <mergeCell ref="A1463:A1465"/>
    <mergeCell ref="B1463:C1465"/>
    <mergeCell ref="D1463:D1465"/>
    <mergeCell ref="E1463:E1465"/>
    <mergeCell ref="F1463:F1465"/>
    <mergeCell ref="G1463:G1465"/>
    <mergeCell ref="H1463:H1465"/>
    <mergeCell ref="A1460:A1462"/>
    <mergeCell ref="B1460:C1462"/>
    <mergeCell ref="D1460:D1462"/>
    <mergeCell ref="E1460:E1462"/>
    <mergeCell ref="F1460:F1462"/>
    <mergeCell ref="G1460:G1462"/>
    <mergeCell ref="M1449:M1455"/>
    <mergeCell ref="A1456:A1459"/>
    <mergeCell ref="B1456:C1459"/>
    <mergeCell ref="D1456:D1459"/>
    <mergeCell ref="E1456:E1459"/>
    <mergeCell ref="F1456:F1459"/>
    <mergeCell ref="G1456:G1459"/>
    <mergeCell ref="H1456:H1459"/>
    <mergeCell ref="L1456:L1459"/>
    <mergeCell ref="M1456:M1459"/>
    <mergeCell ref="L1444:L1448"/>
    <mergeCell ref="M1444:M1448"/>
    <mergeCell ref="A1449:A1455"/>
    <mergeCell ref="B1449:C1455"/>
    <mergeCell ref="D1449:D1455"/>
    <mergeCell ref="E1449:E1455"/>
    <mergeCell ref="F1449:F1455"/>
    <mergeCell ref="G1449:G1455"/>
    <mergeCell ref="H1449:H1455"/>
    <mergeCell ref="L1449:L1455"/>
    <mergeCell ref="H1437:H1443"/>
    <mergeCell ref="L1437:L1443"/>
    <mergeCell ref="M1437:M1443"/>
    <mergeCell ref="A1444:A1448"/>
    <mergeCell ref="B1444:C1448"/>
    <mergeCell ref="D1444:D1448"/>
    <mergeCell ref="E1444:E1448"/>
    <mergeCell ref="F1444:F1448"/>
    <mergeCell ref="G1444:G1448"/>
    <mergeCell ref="H1444:H1448"/>
    <mergeCell ref="A1437:A1443"/>
    <mergeCell ref="B1437:C1443"/>
    <mergeCell ref="D1437:D1443"/>
    <mergeCell ref="E1437:E1443"/>
    <mergeCell ref="F1437:F1443"/>
    <mergeCell ref="G1437:G1443"/>
    <mergeCell ref="M1425:M1430"/>
    <mergeCell ref="A1431:A1436"/>
    <mergeCell ref="B1431:C1436"/>
    <mergeCell ref="D1431:D1436"/>
    <mergeCell ref="E1431:E1436"/>
    <mergeCell ref="F1431:F1436"/>
    <mergeCell ref="G1431:G1436"/>
    <mergeCell ref="H1431:H1436"/>
    <mergeCell ref="L1431:L1436"/>
    <mergeCell ref="M1431:M1436"/>
    <mergeCell ref="L1420:L1424"/>
    <mergeCell ref="M1420:M1424"/>
    <mergeCell ref="A1425:A1430"/>
    <mergeCell ref="B1425:C1430"/>
    <mergeCell ref="D1425:D1430"/>
    <mergeCell ref="E1425:E1430"/>
    <mergeCell ref="F1425:F1430"/>
    <mergeCell ref="G1425:G1430"/>
    <mergeCell ref="H1425:H1430"/>
    <mergeCell ref="L1425:L1430"/>
    <mergeCell ref="H1417:H1419"/>
    <mergeCell ref="L1417:L1419"/>
    <mergeCell ref="M1417:M1419"/>
    <mergeCell ref="A1420:A1424"/>
    <mergeCell ref="B1420:C1424"/>
    <mergeCell ref="D1420:D1424"/>
    <mergeCell ref="E1420:E1424"/>
    <mergeCell ref="F1420:F1424"/>
    <mergeCell ref="G1420:G1424"/>
    <mergeCell ref="H1420:H1424"/>
    <mergeCell ref="A1417:A1419"/>
    <mergeCell ref="B1417:C1419"/>
    <mergeCell ref="D1417:D1419"/>
    <mergeCell ref="E1417:E1419"/>
    <mergeCell ref="F1417:F1419"/>
    <mergeCell ref="G1417:G1419"/>
    <mergeCell ref="M1404:M1412"/>
    <mergeCell ref="A1413:A1416"/>
    <mergeCell ref="B1413:C1416"/>
    <mergeCell ref="D1413:D1416"/>
    <mergeCell ref="E1413:E1416"/>
    <mergeCell ref="F1413:F1416"/>
    <mergeCell ref="G1413:G1416"/>
    <mergeCell ref="H1413:H1416"/>
    <mergeCell ref="L1413:L1416"/>
    <mergeCell ref="M1413:M1416"/>
    <mergeCell ref="L1399:L1403"/>
    <mergeCell ref="M1399:M1403"/>
    <mergeCell ref="A1404:A1412"/>
    <mergeCell ref="B1404:C1412"/>
    <mergeCell ref="D1404:D1412"/>
    <mergeCell ref="E1404:E1412"/>
    <mergeCell ref="F1404:F1412"/>
    <mergeCell ref="G1404:G1412"/>
    <mergeCell ref="H1404:H1412"/>
    <mergeCell ref="L1404:L1412"/>
    <mergeCell ref="H1392:H1398"/>
    <mergeCell ref="L1392:L1398"/>
    <mergeCell ref="M1392:M1398"/>
    <mergeCell ref="A1399:A1403"/>
    <mergeCell ref="B1399:C1403"/>
    <mergeCell ref="D1399:D1403"/>
    <mergeCell ref="E1399:E1403"/>
    <mergeCell ref="F1399:F1403"/>
    <mergeCell ref="G1399:G1403"/>
    <mergeCell ref="H1399:H1403"/>
    <mergeCell ref="A1392:A1398"/>
    <mergeCell ref="B1392:C1398"/>
    <mergeCell ref="D1392:D1398"/>
    <mergeCell ref="E1392:E1398"/>
    <mergeCell ref="F1392:F1398"/>
    <mergeCell ref="G1392:G1398"/>
    <mergeCell ref="M1378:M1384"/>
    <mergeCell ref="A1385:A1391"/>
    <mergeCell ref="B1385:C1391"/>
    <mergeCell ref="D1385:D1391"/>
    <mergeCell ref="E1385:E1391"/>
    <mergeCell ref="F1385:F1391"/>
    <mergeCell ref="G1385:G1391"/>
    <mergeCell ref="H1385:H1391"/>
    <mergeCell ref="L1385:L1391"/>
    <mergeCell ref="M1385:M1391"/>
    <mergeCell ref="L1373:L1377"/>
    <mergeCell ref="M1373:M1377"/>
    <mergeCell ref="A1378:A1384"/>
    <mergeCell ref="B1378:C1384"/>
    <mergeCell ref="D1378:D1384"/>
    <mergeCell ref="E1378:E1384"/>
    <mergeCell ref="F1378:F1384"/>
    <mergeCell ref="G1378:G1384"/>
    <mergeCell ref="H1378:H1384"/>
    <mergeCell ref="L1378:L1384"/>
    <mergeCell ref="H1368:H1372"/>
    <mergeCell ref="L1368:L1372"/>
    <mergeCell ref="M1368:M1372"/>
    <mergeCell ref="A1373:A1377"/>
    <mergeCell ref="B1373:C1377"/>
    <mergeCell ref="D1373:D1377"/>
    <mergeCell ref="E1373:E1377"/>
    <mergeCell ref="F1373:F1377"/>
    <mergeCell ref="G1373:G1377"/>
    <mergeCell ref="H1373:H1377"/>
    <mergeCell ref="G1363:G1367"/>
    <mergeCell ref="H1363:H1367"/>
    <mergeCell ref="L1363:L1367"/>
    <mergeCell ref="M1363:M1367"/>
    <mergeCell ref="A1368:A1372"/>
    <mergeCell ref="B1368:C1372"/>
    <mergeCell ref="D1368:D1372"/>
    <mergeCell ref="E1368:E1372"/>
    <mergeCell ref="F1368:F1372"/>
    <mergeCell ref="G1368:G1372"/>
    <mergeCell ref="F1358:F1362"/>
    <mergeCell ref="G1358:G1362"/>
    <mergeCell ref="H1358:H1362"/>
    <mergeCell ref="L1358:L1362"/>
    <mergeCell ref="M1358:M1362"/>
    <mergeCell ref="A1363:A1367"/>
    <mergeCell ref="B1363:C1367"/>
    <mergeCell ref="D1363:D1367"/>
    <mergeCell ref="E1363:E1367"/>
    <mergeCell ref="F1363:F1367"/>
    <mergeCell ref="B1356:C1356"/>
    <mergeCell ref="B1357:C1357"/>
    <mergeCell ref="A1358:A1362"/>
    <mergeCell ref="B1358:C1362"/>
    <mergeCell ref="D1358:D1362"/>
    <mergeCell ref="E1358:E1362"/>
    <mergeCell ref="M1344:M1350"/>
    <mergeCell ref="A1351:A1355"/>
    <mergeCell ref="B1351:C1355"/>
    <mergeCell ref="D1351:D1355"/>
    <mergeCell ref="E1351:E1355"/>
    <mergeCell ref="F1351:F1355"/>
    <mergeCell ref="G1351:G1355"/>
    <mergeCell ref="H1351:H1355"/>
    <mergeCell ref="L1351:L1355"/>
    <mergeCell ref="M1351:M1355"/>
    <mergeCell ref="L1338:L1343"/>
    <mergeCell ref="M1338:M1343"/>
    <mergeCell ref="A1344:A1350"/>
    <mergeCell ref="B1344:C1350"/>
    <mergeCell ref="D1344:D1350"/>
    <mergeCell ref="E1344:E1350"/>
    <mergeCell ref="F1344:F1350"/>
    <mergeCell ref="G1344:G1350"/>
    <mergeCell ref="H1344:H1350"/>
    <mergeCell ref="L1344:L1350"/>
    <mergeCell ref="H1334:H1337"/>
    <mergeCell ref="L1334:L1337"/>
    <mergeCell ref="M1334:M1337"/>
    <mergeCell ref="A1338:A1343"/>
    <mergeCell ref="B1338:C1343"/>
    <mergeCell ref="D1338:D1343"/>
    <mergeCell ref="E1338:E1343"/>
    <mergeCell ref="F1338:F1343"/>
    <mergeCell ref="G1338:G1343"/>
    <mergeCell ref="H1338:H1343"/>
    <mergeCell ref="A1334:A1337"/>
    <mergeCell ref="B1334:C1337"/>
    <mergeCell ref="D1334:D1337"/>
    <mergeCell ref="E1334:E1337"/>
    <mergeCell ref="F1334:F1337"/>
    <mergeCell ref="G1334:G1337"/>
    <mergeCell ref="M1328:M1330"/>
    <mergeCell ref="A1331:A1333"/>
    <mergeCell ref="B1331:C1333"/>
    <mergeCell ref="D1331:D1333"/>
    <mergeCell ref="E1331:E1333"/>
    <mergeCell ref="F1331:F1333"/>
    <mergeCell ref="G1331:G1333"/>
    <mergeCell ref="H1331:H1333"/>
    <mergeCell ref="L1331:L1333"/>
    <mergeCell ref="M1331:M1333"/>
    <mergeCell ref="L1325:L1327"/>
    <mergeCell ref="M1325:M1327"/>
    <mergeCell ref="A1328:A1330"/>
    <mergeCell ref="B1328:C1330"/>
    <mergeCell ref="D1328:D1330"/>
    <mergeCell ref="E1328:E1330"/>
    <mergeCell ref="F1328:F1330"/>
    <mergeCell ref="G1328:G1330"/>
    <mergeCell ref="H1328:H1330"/>
    <mergeCell ref="L1328:L1330"/>
    <mergeCell ref="H1322:H1324"/>
    <mergeCell ref="L1322:L1324"/>
    <mergeCell ref="M1322:M1324"/>
    <mergeCell ref="A1325:A1327"/>
    <mergeCell ref="B1325:C1327"/>
    <mergeCell ref="D1325:D1327"/>
    <mergeCell ref="E1325:E1327"/>
    <mergeCell ref="F1325:F1327"/>
    <mergeCell ref="G1325:G1327"/>
    <mergeCell ref="H1325:H1327"/>
    <mergeCell ref="L1317:L1319"/>
    <mergeCell ref="M1317:M1319"/>
    <mergeCell ref="B1320:C1320"/>
    <mergeCell ref="B1321:C1321"/>
    <mergeCell ref="A1322:A1324"/>
    <mergeCell ref="B1322:C1324"/>
    <mergeCell ref="D1322:D1324"/>
    <mergeCell ref="E1322:E1324"/>
    <mergeCell ref="F1322:F1324"/>
    <mergeCell ref="G1322:G1324"/>
    <mergeCell ref="H1314:H1316"/>
    <mergeCell ref="L1314:L1316"/>
    <mergeCell ref="M1314:M1316"/>
    <mergeCell ref="A1317:A1319"/>
    <mergeCell ref="B1317:C1319"/>
    <mergeCell ref="D1317:D1319"/>
    <mergeCell ref="E1317:E1319"/>
    <mergeCell ref="F1317:F1319"/>
    <mergeCell ref="G1317:G1319"/>
    <mergeCell ref="H1317:H1319"/>
    <mergeCell ref="A1314:A1316"/>
    <mergeCell ref="B1314:C1316"/>
    <mergeCell ref="D1314:D1316"/>
    <mergeCell ref="E1314:E1316"/>
    <mergeCell ref="F1314:F1316"/>
    <mergeCell ref="G1314:G1316"/>
    <mergeCell ref="M1302:M1310"/>
    <mergeCell ref="A1311:A1313"/>
    <mergeCell ref="B1311:C1313"/>
    <mergeCell ref="D1311:D1313"/>
    <mergeCell ref="E1311:E1313"/>
    <mergeCell ref="F1311:F1313"/>
    <mergeCell ref="G1311:G1313"/>
    <mergeCell ref="H1311:H1313"/>
    <mergeCell ref="L1311:L1313"/>
    <mergeCell ref="M1311:M1313"/>
    <mergeCell ref="L1293:L1301"/>
    <mergeCell ref="M1293:M1301"/>
    <mergeCell ref="A1302:A1310"/>
    <mergeCell ref="B1302:C1310"/>
    <mergeCell ref="D1302:D1310"/>
    <mergeCell ref="E1302:E1310"/>
    <mergeCell ref="F1302:F1310"/>
    <mergeCell ref="G1302:G1310"/>
    <mergeCell ref="H1302:H1310"/>
    <mergeCell ref="L1302:L1310"/>
    <mergeCell ref="H1289:H1292"/>
    <mergeCell ref="L1289:L1292"/>
    <mergeCell ref="M1289:M1292"/>
    <mergeCell ref="A1293:A1301"/>
    <mergeCell ref="B1293:C1301"/>
    <mergeCell ref="D1293:D1301"/>
    <mergeCell ref="E1293:E1301"/>
    <mergeCell ref="F1293:F1301"/>
    <mergeCell ref="G1293:G1301"/>
    <mergeCell ref="H1293:H1301"/>
    <mergeCell ref="A1289:A1292"/>
    <mergeCell ref="B1289:C1292"/>
    <mergeCell ref="D1289:D1292"/>
    <mergeCell ref="E1289:E1292"/>
    <mergeCell ref="F1289:F1292"/>
    <mergeCell ref="G1289:G1292"/>
    <mergeCell ref="M1279:M1284"/>
    <mergeCell ref="A1285:A1288"/>
    <mergeCell ref="B1285:C1288"/>
    <mergeCell ref="D1285:D1288"/>
    <mergeCell ref="E1285:E1288"/>
    <mergeCell ref="F1285:F1288"/>
    <mergeCell ref="G1285:G1288"/>
    <mergeCell ref="H1285:H1288"/>
    <mergeCell ref="L1285:L1288"/>
    <mergeCell ref="M1285:M1288"/>
    <mergeCell ref="L1271:L1278"/>
    <mergeCell ref="M1271:M1278"/>
    <mergeCell ref="A1279:A1284"/>
    <mergeCell ref="B1279:C1284"/>
    <mergeCell ref="D1279:D1284"/>
    <mergeCell ref="E1279:E1284"/>
    <mergeCell ref="F1279:F1284"/>
    <mergeCell ref="G1279:G1284"/>
    <mergeCell ref="H1279:H1284"/>
    <mergeCell ref="L1279:L1284"/>
    <mergeCell ref="H1266:H1270"/>
    <mergeCell ref="L1266:L1270"/>
    <mergeCell ref="M1266:M1270"/>
    <mergeCell ref="A1271:A1278"/>
    <mergeCell ref="B1271:C1278"/>
    <mergeCell ref="D1271:D1278"/>
    <mergeCell ref="E1271:E1278"/>
    <mergeCell ref="F1271:F1278"/>
    <mergeCell ref="G1271:G1278"/>
    <mergeCell ref="H1271:H1278"/>
    <mergeCell ref="A1266:A1270"/>
    <mergeCell ref="B1266:C1270"/>
    <mergeCell ref="D1266:D1270"/>
    <mergeCell ref="E1266:E1270"/>
    <mergeCell ref="F1266:F1270"/>
    <mergeCell ref="G1266:G1270"/>
    <mergeCell ref="M1258:M1261"/>
    <mergeCell ref="A1262:A1265"/>
    <mergeCell ref="B1262:C1265"/>
    <mergeCell ref="D1262:D1265"/>
    <mergeCell ref="E1262:E1265"/>
    <mergeCell ref="F1262:F1265"/>
    <mergeCell ref="G1262:G1265"/>
    <mergeCell ref="H1262:H1265"/>
    <mergeCell ref="L1262:L1265"/>
    <mergeCell ref="M1262:M1265"/>
    <mergeCell ref="L1254:L1257"/>
    <mergeCell ref="M1254:M1257"/>
    <mergeCell ref="A1258:A1261"/>
    <mergeCell ref="B1258:C1261"/>
    <mergeCell ref="D1258:D1261"/>
    <mergeCell ref="E1258:E1261"/>
    <mergeCell ref="F1258:F1261"/>
    <mergeCell ref="G1258:G1261"/>
    <mergeCell ref="H1258:H1261"/>
    <mergeCell ref="L1258:L1261"/>
    <mergeCell ref="H1250:H1253"/>
    <mergeCell ref="L1250:L1253"/>
    <mergeCell ref="M1250:M1253"/>
    <mergeCell ref="A1254:A1257"/>
    <mergeCell ref="B1254:C1257"/>
    <mergeCell ref="D1254:D1257"/>
    <mergeCell ref="E1254:E1257"/>
    <mergeCell ref="F1254:F1257"/>
    <mergeCell ref="G1254:G1257"/>
    <mergeCell ref="H1254:H1257"/>
    <mergeCell ref="L1240:L1247"/>
    <mergeCell ref="M1240:M1247"/>
    <mergeCell ref="B1248:C1248"/>
    <mergeCell ref="B1249:C1249"/>
    <mergeCell ref="A1250:A1253"/>
    <mergeCell ref="B1250:C1253"/>
    <mergeCell ref="D1250:D1253"/>
    <mergeCell ref="E1250:E1253"/>
    <mergeCell ref="F1250:F1253"/>
    <mergeCell ref="G1250:G1253"/>
    <mergeCell ref="H1236:H1239"/>
    <mergeCell ref="L1236:L1239"/>
    <mergeCell ref="M1236:M1239"/>
    <mergeCell ref="A1240:A1247"/>
    <mergeCell ref="B1240:C1247"/>
    <mergeCell ref="D1240:D1247"/>
    <mergeCell ref="E1240:E1247"/>
    <mergeCell ref="F1240:F1247"/>
    <mergeCell ref="G1240:G1247"/>
    <mergeCell ref="H1240:H1247"/>
    <mergeCell ref="A1236:A1239"/>
    <mergeCell ref="B1236:C1239"/>
    <mergeCell ref="D1236:D1239"/>
    <mergeCell ref="E1236:E1239"/>
    <mergeCell ref="F1236:F1239"/>
    <mergeCell ref="G1236:G1239"/>
    <mergeCell ref="M1229:M1231"/>
    <mergeCell ref="A1232:A1235"/>
    <mergeCell ref="B1232:C1235"/>
    <mergeCell ref="D1232:D1235"/>
    <mergeCell ref="E1232:E1235"/>
    <mergeCell ref="F1232:F1235"/>
    <mergeCell ref="G1232:G1235"/>
    <mergeCell ref="H1232:H1235"/>
    <mergeCell ref="L1232:L1235"/>
    <mergeCell ref="M1232:M1235"/>
    <mergeCell ref="L1220:L1228"/>
    <mergeCell ref="A1229:A1231"/>
    <mergeCell ref="B1229:C1231"/>
    <mergeCell ref="D1229:D1231"/>
    <mergeCell ref="E1229:E1231"/>
    <mergeCell ref="F1229:F1231"/>
    <mergeCell ref="G1229:G1231"/>
    <mergeCell ref="H1229:H1231"/>
    <mergeCell ref="L1229:L1231"/>
    <mergeCell ref="H1215:H1219"/>
    <mergeCell ref="L1215:L1219"/>
    <mergeCell ref="M1215:M1219"/>
    <mergeCell ref="A1220:A1228"/>
    <mergeCell ref="B1220:C1228"/>
    <mergeCell ref="D1220:D1228"/>
    <mergeCell ref="E1220:E1228"/>
    <mergeCell ref="F1220:F1228"/>
    <mergeCell ref="G1220:G1228"/>
    <mergeCell ref="H1220:H1228"/>
    <mergeCell ref="A1215:A1219"/>
    <mergeCell ref="B1215:C1219"/>
    <mergeCell ref="D1215:D1219"/>
    <mergeCell ref="E1215:E1219"/>
    <mergeCell ref="F1215:F1219"/>
    <mergeCell ref="G1215:G1219"/>
    <mergeCell ref="M1205:M1209"/>
    <mergeCell ref="A1210:A1214"/>
    <mergeCell ref="B1210:C1214"/>
    <mergeCell ref="D1210:D1214"/>
    <mergeCell ref="E1210:E1214"/>
    <mergeCell ref="F1210:F1214"/>
    <mergeCell ref="G1210:G1214"/>
    <mergeCell ref="H1210:H1214"/>
    <mergeCell ref="L1210:L1214"/>
    <mergeCell ref="M1210:M1214"/>
    <mergeCell ref="L1201:L1204"/>
    <mergeCell ref="M1201:M1204"/>
    <mergeCell ref="A1205:A1209"/>
    <mergeCell ref="B1205:C1209"/>
    <mergeCell ref="D1205:D1209"/>
    <mergeCell ref="E1205:E1209"/>
    <mergeCell ref="F1205:F1209"/>
    <mergeCell ref="G1205:G1209"/>
    <mergeCell ref="H1205:H1209"/>
    <mergeCell ref="L1205:L1209"/>
    <mergeCell ref="H1197:H1200"/>
    <mergeCell ref="L1197:L1200"/>
    <mergeCell ref="M1197:M1200"/>
    <mergeCell ref="A1201:A1204"/>
    <mergeCell ref="B1201:C1204"/>
    <mergeCell ref="D1201:D1204"/>
    <mergeCell ref="E1201:E1204"/>
    <mergeCell ref="F1201:F1204"/>
    <mergeCell ref="G1201:G1204"/>
    <mergeCell ref="H1201:H1204"/>
    <mergeCell ref="G1194:G1196"/>
    <mergeCell ref="H1194:H1196"/>
    <mergeCell ref="L1194:L1196"/>
    <mergeCell ref="M1194:M1196"/>
    <mergeCell ref="A1197:A1200"/>
    <mergeCell ref="B1197:C1200"/>
    <mergeCell ref="D1197:D1200"/>
    <mergeCell ref="E1197:E1200"/>
    <mergeCell ref="F1197:F1200"/>
    <mergeCell ref="G1197:G1200"/>
    <mergeCell ref="H1187:H1191"/>
    <mergeCell ref="L1187:L1191"/>
    <mergeCell ref="M1187:M1191"/>
    <mergeCell ref="B1192:C1192"/>
    <mergeCell ref="B1193:C1193"/>
    <mergeCell ref="A1194:A1196"/>
    <mergeCell ref="B1194:C1196"/>
    <mergeCell ref="D1194:D1196"/>
    <mergeCell ref="E1194:E1196"/>
    <mergeCell ref="F1194:F1196"/>
    <mergeCell ref="G1181:G1186"/>
    <mergeCell ref="H1181:H1186"/>
    <mergeCell ref="L1181:L1186"/>
    <mergeCell ref="M1181:M1186"/>
    <mergeCell ref="A1187:A1191"/>
    <mergeCell ref="B1187:C1191"/>
    <mergeCell ref="D1187:D1191"/>
    <mergeCell ref="E1187:E1191"/>
    <mergeCell ref="F1187:F1191"/>
    <mergeCell ref="G1187:G1191"/>
    <mergeCell ref="H1176:H1178"/>
    <mergeCell ref="L1176:L1178"/>
    <mergeCell ref="M1176:M1178"/>
    <mergeCell ref="B1179:C1179"/>
    <mergeCell ref="B1180:C1180"/>
    <mergeCell ref="A1181:A1186"/>
    <mergeCell ref="B1181:C1186"/>
    <mergeCell ref="D1181:D1186"/>
    <mergeCell ref="E1181:E1186"/>
    <mergeCell ref="F1181:F1186"/>
    <mergeCell ref="G1168:G1175"/>
    <mergeCell ref="H1168:H1175"/>
    <mergeCell ref="L1168:L1175"/>
    <mergeCell ref="M1168:M1175"/>
    <mergeCell ref="A1176:A1178"/>
    <mergeCell ref="B1176:C1178"/>
    <mergeCell ref="D1176:D1178"/>
    <mergeCell ref="E1176:E1178"/>
    <mergeCell ref="F1176:F1178"/>
    <mergeCell ref="G1176:G1178"/>
    <mergeCell ref="L1160:L1164"/>
    <mergeCell ref="M1160:M1164"/>
    <mergeCell ref="B1165:C1165"/>
    <mergeCell ref="B1166:C1166"/>
    <mergeCell ref="B1167:C1167"/>
    <mergeCell ref="A1168:A1175"/>
    <mergeCell ref="B1168:C1175"/>
    <mergeCell ref="D1168:D1175"/>
    <mergeCell ref="E1168:E1175"/>
    <mergeCell ref="F1168:F1175"/>
    <mergeCell ref="H1155:H1159"/>
    <mergeCell ref="L1155:L1159"/>
    <mergeCell ref="M1155:M1159"/>
    <mergeCell ref="A1160:A1164"/>
    <mergeCell ref="B1160:C1164"/>
    <mergeCell ref="D1160:D1164"/>
    <mergeCell ref="E1160:E1164"/>
    <mergeCell ref="F1160:F1164"/>
    <mergeCell ref="G1160:G1164"/>
    <mergeCell ref="H1160:H1164"/>
    <mergeCell ref="A1155:A1159"/>
    <mergeCell ref="B1155:C1159"/>
    <mergeCell ref="D1155:D1159"/>
    <mergeCell ref="E1155:E1159"/>
    <mergeCell ref="F1155:F1159"/>
    <mergeCell ref="G1155:G1159"/>
    <mergeCell ref="M1145:M1149"/>
    <mergeCell ref="A1150:A1154"/>
    <mergeCell ref="B1150:C1154"/>
    <mergeCell ref="D1150:D1154"/>
    <mergeCell ref="E1150:E1154"/>
    <mergeCell ref="F1150:F1154"/>
    <mergeCell ref="G1150:G1154"/>
    <mergeCell ref="H1150:H1154"/>
    <mergeCell ref="L1150:L1154"/>
    <mergeCell ref="M1150:M1154"/>
    <mergeCell ref="L1136:L1144"/>
    <mergeCell ref="M1136:M1144"/>
    <mergeCell ref="A1145:A1149"/>
    <mergeCell ref="B1145:C1149"/>
    <mergeCell ref="D1145:D1149"/>
    <mergeCell ref="E1145:E1149"/>
    <mergeCell ref="F1145:F1149"/>
    <mergeCell ref="G1145:G1149"/>
    <mergeCell ref="H1145:H1149"/>
    <mergeCell ref="L1145:L1149"/>
    <mergeCell ref="H1129:H1135"/>
    <mergeCell ref="L1129:L1135"/>
    <mergeCell ref="M1129:M1135"/>
    <mergeCell ref="A1136:A1144"/>
    <mergeCell ref="B1136:C1144"/>
    <mergeCell ref="D1136:D1144"/>
    <mergeCell ref="E1136:E1144"/>
    <mergeCell ref="F1136:F1144"/>
    <mergeCell ref="G1136:G1144"/>
    <mergeCell ref="H1136:H1144"/>
    <mergeCell ref="A1129:A1135"/>
    <mergeCell ref="B1129:C1135"/>
    <mergeCell ref="D1129:D1135"/>
    <mergeCell ref="E1129:E1135"/>
    <mergeCell ref="F1129:F1135"/>
    <mergeCell ref="G1129:G1135"/>
    <mergeCell ref="M1120:M1125"/>
    <mergeCell ref="A1126:A1128"/>
    <mergeCell ref="B1126:C1128"/>
    <mergeCell ref="D1126:D1128"/>
    <mergeCell ref="E1126:E1128"/>
    <mergeCell ref="F1126:F1128"/>
    <mergeCell ref="G1126:G1128"/>
    <mergeCell ref="H1126:H1128"/>
    <mergeCell ref="L1126:L1128"/>
    <mergeCell ref="M1126:M1128"/>
    <mergeCell ref="L1115:L1119"/>
    <mergeCell ref="M1115:M1119"/>
    <mergeCell ref="A1120:A1125"/>
    <mergeCell ref="B1120:C1125"/>
    <mergeCell ref="D1120:D1125"/>
    <mergeCell ref="E1120:E1125"/>
    <mergeCell ref="F1120:F1125"/>
    <mergeCell ref="G1120:G1125"/>
    <mergeCell ref="H1120:H1125"/>
    <mergeCell ref="L1120:L1125"/>
    <mergeCell ref="H1107:H1114"/>
    <mergeCell ref="L1107:L1114"/>
    <mergeCell ref="M1107:M1114"/>
    <mergeCell ref="A1115:A1119"/>
    <mergeCell ref="B1115:C1119"/>
    <mergeCell ref="D1115:D1119"/>
    <mergeCell ref="E1115:E1119"/>
    <mergeCell ref="F1115:F1119"/>
    <mergeCell ref="G1115:G1119"/>
    <mergeCell ref="H1115:H1119"/>
    <mergeCell ref="A1107:A1114"/>
    <mergeCell ref="B1107:C1114"/>
    <mergeCell ref="D1107:D1114"/>
    <mergeCell ref="E1107:E1114"/>
    <mergeCell ref="F1107:F1114"/>
    <mergeCell ref="G1107:G1114"/>
    <mergeCell ref="M1091:M1098"/>
    <mergeCell ref="A1099:A1106"/>
    <mergeCell ref="B1099:C1106"/>
    <mergeCell ref="D1099:D1106"/>
    <mergeCell ref="E1099:E1106"/>
    <mergeCell ref="F1099:F1106"/>
    <mergeCell ref="G1099:G1106"/>
    <mergeCell ref="H1099:H1106"/>
    <mergeCell ref="L1099:L1106"/>
    <mergeCell ref="M1099:M1106"/>
    <mergeCell ref="L1084:L1090"/>
    <mergeCell ref="M1084:M1090"/>
    <mergeCell ref="A1091:A1098"/>
    <mergeCell ref="B1091:C1098"/>
    <mergeCell ref="D1091:D1098"/>
    <mergeCell ref="E1091:E1098"/>
    <mergeCell ref="F1091:F1098"/>
    <mergeCell ref="G1091:G1098"/>
    <mergeCell ref="H1091:H1098"/>
    <mergeCell ref="L1091:L1098"/>
    <mergeCell ref="L1078:L1082"/>
    <mergeCell ref="M1078:M1082"/>
    <mergeCell ref="B1083:C1083"/>
    <mergeCell ref="A1084:A1090"/>
    <mergeCell ref="B1084:C1090"/>
    <mergeCell ref="D1084:D1090"/>
    <mergeCell ref="E1084:E1090"/>
    <mergeCell ref="F1084:F1090"/>
    <mergeCell ref="G1084:G1090"/>
    <mergeCell ref="H1084:H1090"/>
    <mergeCell ref="H1074:H1077"/>
    <mergeCell ref="L1074:L1077"/>
    <mergeCell ref="M1074:M1077"/>
    <mergeCell ref="A1078:A1082"/>
    <mergeCell ref="B1078:C1082"/>
    <mergeCell ref="D1078:D1082"/>
    <mergeCell ref="E1078:E1082"/>
    <mergeCell ref="F1078:F1082"/>
    <mergeCell ref="G1078:G1082"/>
    <mergeCell ref="H1078:H1082"/>
    <mergeCell ref="A1074:A1077"/>
    <mergeCell ref="B1074:C1077"/>
    <mergeCell ref="D1074:D1077"/>
    <mergeCell ref="E1074:E1077"/>
    <mergeCell ref="F1074:F1077"/>
    <mergeCell ref="G1074:G1077"/>
    <mergeCell ref="M1062:M1069"/>
    <mergeCell ref="A1070:A1073"/>
    <mergeCell ref="B1070:C1073"/>
    <mergeCell ref="D1070:D1073"/>
    <mergeCell ref="E1070:E1073"/>
    <mergeCell ref="F1070:F1073"/>
    <mergeCell ref="G1070:G1073"/>
    <mergeCell ref="H1070:H1073"/>
    <mergeCell ref="L1070:L1073"/>
    <mergeCell ref="M1070:M1073"/>
    <mergeCell ref="L1054:L1061"/>
    <mergeCell ref="M1054:M1061"/>
    <mergeCell ref="A1062:A1069"/>
    <mergeCell ref="B1062:C1069"/>
    <mergeCell ref="D1062:D1069"/>
    <mergeCell ref="E1062:E1069"/>
    <mergeCell ref="F1062:F1069"/>
    <mergeCell ref="G1062:G1069"/>
    <mergeCell ref="H1062:H1069"/>
    <mergeCell ref="L1062:L1069"/>
    <mergeCell ref="H1049:H1053"/>
    <mergeCell ref="L1049:L1053"/>
    <mergeCell ref="M1049:M1053"/>
    <mergeCell ref="A1054:A1061"/>
    <mergeCell ref="B1054:C1061"/>
    <mergeCell ref="D1054:D1061"/>
    <mergeCell ref="E1054:E1061"/>
    <mergeCell ref="F1054:F1061"/>
    <mergeCell ref="G1054:G1061"/>
    <mergeCell ref="H1054:H1061"/>
    <mergeCell ref="A1049:A1053"/>
    <mergeCell ref="B1049:C1053"/>
    <mergeCell ref="D1049:D1053"/>
    <mergeCell ref="E1049:E1053"/>
    <mergeCell ref="F1049:F1053"/>
    <mergeCell ref="G1049:G1053"/>
    <mergeCell ref="M1037:M1041"/>
    <mergeCell ref="A1042:A1048"/>
    <mergeCell ref="B1042:C1048"/>
    <mergeCell ref="D1042:D1048"/>
    <mergeCell ref="E1042:E1048"/>
    <mergeCell ref="F1042:F1048"/>
    <mergeCell ref="G1042:G1048"/>
    <mergeCell ref="H1042:H1048"/>
    <mergeCell ref="L1042:L1048"/>
    <mergeCell ref="M1042:M1048"/>
    <mergeCell ref="L1031:L1036"/>
    <mergeCell ref="M1031:M1036"/>
    <mergeCell ref="A1037:A1041"/>
    <mergeCell ref="B1037:C1041"/>
    <mergeCell ref="D1037:D1041"/>
    <mergeCell ref="E1037:E1041"/>
    <mergeCell ref="F1037:F1041"/>
    <mergeCell ref="G1037:G1041"/>
    <mergeCell ref="H1037:H1041"/>
    <mergeCell ref="L1037:L1041"/>
    <mergeCell ref="H1025:H1030"/>
    <mergeCell ref="L1025:L1030"/>
    <mergeCell ref="M1025:M1030"/>
    <mergeCell ref="A1031:A1036"/>
    <mergeCell ref="B1031:C1036"/>
    <mergeCell ref="D1031:D1036"/>
    <mergeCell ref="E1031:E1036"/>
    <mergeCell ref="F1031:F1036"/>
    <mergeCell ref="G1031:G1036"/>
    <mergeCell ref="H1031:H1036"/>
    <mergeCell ref="A1025:A1030"/>
    <mergeCell ref="B1025:C1030"/>
    <mergeCell ref="D1025:D1030"/>
    <mergeCell ref="E1025:E1030"/>
    <mergeCell ref="F1025:F1030"/>
    <mergeCell ref="G1025:G1030"/>
    <mergeCell ref="M1015:M1019"/>
    <mergeCell ref="A1020:A1024"/>
    <mergeCell ref="B1020:C1024"/>
    <mergeCell ref="D1020:D1024"/>
    <mergeCell ref="E1020:E1024"/>
    <mergeCell ref="F1020:F1024"/>
    <mergeCell ref="G1020:G1024"/>
    <mergeCell ref="H1020:H1024"/>
    <mergeCell ref="L1020:L1024"/>
    <mergeCell ref="M1020:M1024"/>
    <mergeCell ref="L1011:L1014"/>
    <mergeCell ref="M1011:M1014"/>
    <mergeCell ref="A1015:A1019"/>
    <mergeCell ref="B1015:C1019"/>
    <mergeCell ref="D1015:D1019"/>
    <mergeCell ref="E1015:E1019"/>
    <mergeCell ref="F1015:F1019"/>
    <mergeCell ref="G1015:G1019"/>
    <mergeCell ref="H1015:H1019"/>
    <mergeCell ref="L1015:L1019"/>
    <mergeCell ref="H1008:H1010"/>
    <mergeCell ref="L1008:L1010"/>
    <mergeCell ref="M1008:M1010"/>
    <mergeCell ref="A1011:A1014"/>
    <mergeCell ref="B1011:C1014"/>
    <mergeCell ref="D1011:D1014"/>
    <mergeCell ref="E1011:E1014"/>
    <mergeCell ref="F1011:F1014"/>
    <mergeCell ref="G1011:G1014"/>
    <mergeCell ref="H1011:H1014"/>
    <mergeCell ref="A1008:A1010"/>
    <mergeCell ref="B1008:C1010"/>
    <mergeCell ref="D1008:D1010"/>
    <mergeCell ref="E1008:E1010"/>
    <mergeCell ref="F1008:F1010"/>
    <mergeCell ref="G1008:G1010"/>
    <mergeCell ref="L1001:L1003"/>
    <mergeCell ref="M1001:M1003"/>
    <mergeCell ref="B1004:C1004"/>
    <mergeCell ref="B1005:C1005"/>
    <mergeCell ref="B1006:C1006"/>
    <mergeCell ref="B1007:C1007"/>
    <mergeCell ref="H996:H1000"/>
    <mergeCell ref="L996:L1000"/>
    <mergeCell ref="M996:M1000"/>
    <mergeCell ref="A1001:A1003"/>
    <mergeCell ref="B1001:C1003"/>
    <mergeCell ref="D1001:D1003"/>
    <mergeCell ref="E1001:E1003"/>
    <mergeCell ref="F1001:F1003"/>
    <mergeCell ref="G1001:G1003"/>
    <mergeCell ref="H1001:H1003"/>
    <mergeCell ref="A996:A1000"/>
    <mergeCell ref="B996:C1000"/>
    <mergeCell ref="D996:D1000"/>
    <mergeCell ref="E996:E1000"/>
    <mergeCell ref="F996:F1000"/>
    <mergeCell ref="G996:G1000"/>
    <mergeCell ref="M982:M985"/>
    <mergeCell ref="A986:A995"/>
    <mergeCell ref="B986:C995"/>
    <mergeCell ref="D986:D995"/>
    <mergeCell ref="E986:E995"/>
    <mergeCell ref="F986:F995"/>
    <mergeCell ref="G986:G995"/>
    <mergeCell ref="H986:H995"/>
    <mergeCell ref="L986:L995"/>
    <mergeCell ref="M986:M995"/>
    <mergeCell ref="L976:L981"/>
    <mergeCell ref="M976:M981"/>
    <mergeCell ref="A982:A985"/>
    <mergeCell ref="B982:C985"/>
    <mergeCell ref="D982:D985"/>
    <mergeCell ref="E982:E985"/>
    <mergeCell ref="F982:F985"/>
    <mergeCell ref="G982:G985"/>
    <mergeCell ref="H982:H985"/>
    <mergeCell ref="L982:L985"/>
    <mergeCell ref="H968:H975"/>
    <mergeCell ref="L968:L975"/>
    <mergeCell ref="M968:M975"/>
    <mergeCell ref="A976:A981"/>
    <mergeCell ref="B976:C981"/>
    <mergeCell ref="D976:D981"/>
    <mergeCell ref="E976:E981"/>
    <mergeCell ref="F976:F981"/>
    <mergeCell ref="G976:G981"/>
    <mergeCell ref="H976:H981"/>
    <mergeCell ref="A968:A975"/>
    <mergeCell ref="B968:C975"/>
    <mergeCell ref="D968:D975"/>
    <mergeCell ref="E968:E975"/>
    <mergeCell ref="F968:F975"/>
    <mergeCell ref="G968:G975"/>
    <mergeCell ref="M959:M961"/>
    <mergeCell ref="A962:A967"/>
    <mergeCell ref="B962:C967"/>
    <mergeCell ref="D962:D967"/>
    <mergeCell ref="E962:E967"/>
    <mergeCell ref="F962:F967"/>
    <mergeCell ref="G962:G967"/>
    <mergeCell ref="H962:H967"/>
    <mergeCell ref="L962:L967"/>
    <mergeCell ref="M962:M967"/>
    <mergeCell ref="M953:M957"/>
    <mergeCell ref="B958:C958"/>
    <mergeCell ref="A959:A961"/>
    <mergeCell ref="B959:C961"/>
    <mergeCell ref="D959:D961"/>
    <mergeCell ref="E959:E961"/>
    <mergeCell ref="F959:F961"/>
    <mergeCell ref="G959:G961"/>
    <mergeCell ref="H959:H961"/>
    <mergeCell ref="L959:L961"/>
    <mergeCell ref="L949:L952"/>
    <mergeCell ref="M949:M952"/>
    <mergeCell ref="A953:A957"/>
    <mergeCell ref="B953:C957"/>
    <mergeCell ref="D953:D957"/>
    <mergeCell ref="E953:E957"/>
    <mergeCell ref="F953:F957"/>
    <mergeCell ref="G953:G957"/>
    <mergeCell ref="H953:H957"/>
    <mergeCell ref="L953:L957"/>
    <mergeCell ref="M940:M946"/>
    <mergeCell ref="B947:C947"/>
    <mergeCell ref="B948:C948"/>
    <mergeCell ref="A949:A952"/>
    <mergeCell ref="B949:C952"/>
    <mergeCell ref="D949:D952"/>
    <mergeCell ref="E949:E952"/>
    <mergeCell ref="F949:F952"/>
    <mergeCell ref="G949:G952"/>
    <mergeCell ref="H949:H952"/>
    <mergeCell ref="L933:L939"/>
    <mergeCell ref="M933:M939"/>
    <mergeCell ref="A940:A946"/>
    <mergeCell ref="B940:C946"/>
    <mergeCell ref="D940:D946"/>
    <mergeCell ref="E940:E946"/>
    <mergeCell ref="F940:F946"/>
    <mergeCell ref="G940:G946"/>
    <mergeCell ref="H940:H946"/>
    <mergeCell ref="L940:L946"/>
    <mergeCell ref="H929:H932"/>
    <mergeCell ref="L929:L932"/>
    <mergeCell ref="M929:M932"/>
    <mergeCell ref="A933:A939"/>
    <mergeCell ref="B933:C939"/>
    <mergeCell ref="D933:D939"/>
    <mergeCell ref="E933:E939"/>
    <mergeCell ref="F933:F939"/>
    <mergeCell ref="G933:G939"/>
    <mergeCell ref="H933:H939"/>
    <mergeCell ref="A929:A932"/>
    <mergeCell ref="B929:C932"/>
    <mergeCell ref="D929:D932"/>
    <mergeCell ref="E929:E932"/>
    <mergeCell ref="F929:F932"/>
    <mergeCell ref="G929:G932"/>
    <mergeCell ref="M919:M923"/>
    <mergeCell ref="A924:A928"/>
    <mergeCell ref="B924:C928"/>
    <mergeCell ref="D924:D928"/>
    <mergeCell ref="E924:E928"/>
    <mergeCell ref="F924:F928"/>
    <mergeCell ref="G924:G928"/>
    <mergeCell ref="H924:H928"/>
    <mergeCell ref="L924:L928"/>
    <mergeCell ref="M924:M928"/>
    <mergeCell ref="L913:L918"/>
    <mergeCell ref="M913:M918"/>
    <mergeCell ref="A919:A923"/>
    <mergeCell ref="B919:C923"/>
    <mergeCell ref="D919:D923"/>
    <mergeCell ref="E919:E923"/>
    <mergeCell ref="F919:F923"/>
    <mergeCell ref="G919:G923"/>
    <mergeCell ref="H919:H923"/>
    <mergeCell ref="L919:L923"/>
    <mergeCell ref="H910:H912"/>
    <mergeCell ref="L910:L912"/>
    <mergeCell ref="M910:M912"/>
    <mergeCell ref="A913:A918"/>
    <mergeCell ref="B913:C918"/>
    <mergeCell ref="D913:D918"/>
    <mergeCell ref="E913:E918"/>
    <mergeCell ref="F913:F918"/>
    <mergeCell ref="G913:G918"/>
    <mergeCell ref="H913:H918"/>
    <mergeCell ref="A910:A912"/>
    <mergeCell ref="B910:C912"/>
    <mergeCell ref="D910:D912"/>
    <mergeCell ref="E910:E912"/>
    <mergeCell ref="F910:F912"/>
    <mergeCell ref="G910:G912"/>
    <mergeCell ref="H903:H906"/>
    <mergeCell ref="L903:L906"/>
    <mergeCell ref="M903:M906"/>
    <mergeCell ref="B907:C907"/>
    <mergeCell ref="B908:C908"/>
    <mergeCell ref="B909:C909"/>
    <mergeCell ref="G899:G902"/>
    <mergeCell ref="H899:H902"/>
    <mergeCell ref="L899:L902"/>
    <mergeCell ref="M899:M902"/>
    <mergeCell ref="A903:A906"/>
    <mergeCell ref="B903:C906"/>
    <mergeCell ref="D903:D906"/>
    <mergeCell ref="E903:E906"/>
    <mergeCell ref="F903:F906"/>
    <mergeCell ref="G903:G906"/>
    <mergeCell ref="F896:F898"/>
    <mergeCell ref="G896:G898"/>
    <mergeCell ref="H896:H898"/>
    <mergeCell ref="L896:L898"/>
    <mergeCell ref="M896:M898"/>
    <mergeCell ref="A899:A902"/>
    <mergeCell ref="B899:C902"/>
    <mergeCell ref="D899:D902"/>
    <mergeCell ref="E899:E902"/>
    <mergeCell ref="F899:F902"/>
    <mergeCell ref="B894:C894"/>
    <mergeCell ref="B895:C895"/>
    <mergeCell ref="A896:A898"/>
    <mergeCell ref="B896:C898"/>
    <mergeCell ref="D896:D898"/>
    <mergeCell ref="E896:E898"/>
    <mergeCell ref="F887:F892"/>
    <mergeCell ref="G887:G892"/>
    <mergeCell ref="H887:H892"/>
    <mergeCell ref="L887:L892"/>
    <mergeCell ref="M887:M892"/>
    <mergeCell ref="B893:C893"/>
    <mergeCell ref="B885:C885"/>
    <mergeCell ref="B886:C886"/>
    <mergeCell ref="A887:A892"/>
    <mergeCell ref="B887:C892"/>
    <mergeCell ref="D887:D892"/>
    <mergeCell ref="E887:E892"/>
    <mergeCell ref="F879:F883"/>
    <mergeCell ref="G879:G883"/>
    <mergeCell ref="H879:H883"/>
    <mergeCell ref="L879:L883"/>
    <mergeCell ref="M879:M883"/>
    <mergeCell ref="B884:C884"/>
    <mergeCell ref="B877:C877"/>
    <mergeCell ref="B878:C878"/>
    <mergeCell ref="A879:A883"/>
    <mergeCell ref="B879:C883"/>
    <mergeCell ref="D879:D883"/>
    <mergeCell ref="E879:E883"/>
    <mergeCell ref="M868:M871"/>
    <mergeCell ref="B872:C872"/>
    <mergeCell ref="B873:C873"/>
    <mergeCell ref="B874:C874"/>
    <mergeCell ref="B875:C875"/>
    <mergeCell ref="B876:C876"/>
    <mergeCell ref="L864:L867"/>
    <mergeCell ref="M864:M867"/>
    <mergeCell ref="A868:A871"/>
    <mergeCell ref="B868:C871"/>
    <mergeCell ref="D868:D871"/>
    <mergeCell ref="E868:E871"/>
    <mergeCell ref="F868:F871"/>
    <mergeCell ref="G868:G871"/>
    <mergeCell ref="H868:H871"/>
    <mergeCell ref="L868:L871"/>
    <mergeCell ref="H861:H863"/>
    <mergeCell ref="L861:L863"/>
    <mergeCell ref="M861:M863"/>
    <mergeCell ref="A864:A867"/>
    <mergeCell ref="B864:C867"/>
    <mergeCell ref="D864:D867"/>
    <mergeCell ref="E864:E867"/>
    <mergeCell ref="F864:F867"/>
    <mergeCell ref="G864:G867"/>
    <mergeCell ref="H864:H867"/>
    <mergeCell ref="G857:G860"/>
    <mergeCell ref="H857:H860"/>
    <mergeCell ref="L857:L860"/>
    <mergeCell ref="M857:M860"/>
    <mergeCell ref="A861:A863"/>
    <mergeCell ref="B861:C863"/>
    <mergeCell ref="D861:D863"/>
    <mergeCell ref="E861:E863"/>
    <mergeCell ref="F861:F863"/>
    <mergeCell ref="G861:G863"/>
    <mergeCell ref="B856:C856"/>
    <mergeCell ref="A857:A860"/>
    <mergeCell ref="B857:C860"/>
    <mergeCell ref="D857:D860"/>
    <mergeCell ref="E857:E860"/>
    <mergeCell ref="F857:F860"/>
    <mergeCell ref="M850:M852"/>
    <mergeCell ref="A853:A855"/>
    <mergeCell ref="B853:C855"/>
    <mergeCell ref="D853:D855"/>
    <mergeCell ref="E853:E855"/>
    <mergeCell ref="F853:F855"/>
    <mergeCell ref="G853:G855"/>
    <mergeCell ref="H853:H855"/>
    <mergeCell ref="L853:L855"/>
    <mergeCell ref="M853:M855"/>
    <mergeCell ref="D850:D852"/>
    <mergeCell ref="E850:E852"/>
    <mergeCell ref="F850:F852"/>
    <mergeCell ref="G850:G852"/>
    <mergeCell ref="H850:H852"/>
    <mergeCell ref="L850:L852"/>
    <mergeCell ref="B845:C845"/>
    <mergeCell ref="B846:C846"/>
    <mergeCell ref="B847:C847"/>
    <mergeCell ref="B848:C848"/>
    <mergeCell ref="B849:C849"/>
    <mergeCell ref="A850:A852"/>
    <mergeCell ref="B850:C852"/>
    <mergeCell ref="E839:E844"/>
    <mergeCell ref="F839:F844"/>
    <mergeCell ref="G839:G844"/>
    <mergeCell ref="H839:H844"/>
    <mergeCell ref="L839:L844"/>
    <mergeCell ref="M839:M844"/>
    <mergeCell ref="B836:C836"/>
    <mergeCell ref="B837:C837"/>
    <mergeCell ref="B838:C838"/>
    <mergeCell ref="A839:A844"/>
    <mergeCell ref="B839:C844"/>
    <mergeCell ref="D839:D844"/>
    <mergeCell ref="H827:H832"/>
    <mergeCell ref="L827:L832"/>
    <mergeCell ref="M827:M832"/>
    <mergeCell ref="B833:C833"/>
    <mergeCell ref="B834:C834"/>
    <mergeCell ref="B835:C835"/>
    <mergeCell ref="A827:A832"/>
    <mergeCell ref="B827:C832"/>
    <mergeCell ref="D827:D832"/>
    <mergeCell ref="E827:E832"/>
    <mergeCell ref="F827:F832"/>
    <mergeCell ref="G827:G832"/>
    <mergeCell ref="M817:M821"/>
    <mergeCell ref="A822:A826"/>
    <mergeCell ref="B822:C826"/>
    <mergeCell ref="D822:D826"/>
    <mergeCell ref="E822:E826"/>
    <mergeCell ref="F822:F826"/>
    <mergeCell ref="G822:G826"/>
    <mergeCell ref="H822:H826"/>
    <mergeCell ref="L822:L826"/>
    <mergeCell ref="M822:M826"/>
    <mergeCell ref="L812:L816"/>
    <mergeCell ref="M812:M816"/>
    <mergeCell ref="A817:A821"/>
    <mergeCell ref="B817:C821"/>
    <mergeCell ref="D817:D821"/>
    <mergeCell ref="E817:E821"/>
    <mergeCell ref="F817:F821"/>
    <mergeCell ref="G817:G821"/>
    <mergeCell ref="H817:H821"/>
    <mergeCell ref="L817:L821"/>
    <mergeCell ref="H807:H811"/>
    <mergeCell ref="L807:L811"/>
    <mergeCell ref="M807:M811"/>
    <mergeCell ref="A812:A816"/>
    <mergeCell ref="B812:C816"/>
    <mergeCell ref="D812:D816"/>
    <mergeCell ref="E812:E816"/>
    <mergeCell ref="F812:F816"/>
    <mergeCell ref="G812:G816"/>
    <mergeCell ref="H812:H816"/>
    <mergeCell ref="A807:A811"/>
    <mergeCell ref="B807:C811"/>
    <mergeCell ref="D807:D811"/>
    <mergeCell ref="E807:E811"/>
    <mergeCell ref="F807:F811"/>
    <mergeCell ref="G807:G811"/>
    <mergeCell ref="M799:M802"/>
    <mergeCell ref="A803:A806"/>
    <mergeCell ref="B803:C806"/>
    <mergeCell ref="D803:D806"/>
    <mergeCell ref="E803:E806"/>
    <mergeCell ref="F803:F806"/>
    <mergeCell ref="G803:G806"/>
    <mergeCell ref="H803:H806"/>
    <mergeCell ref="L803:L806"/>
    <mergeCell ref="M803:M806"/>
    <mergeCell ref="L794:L798"/>
    <mergeCell ref="M794:M798"/>
    <mergeCell ref="A799:A802"/>
    <mergeCell ref="B799:C802"/>
    <mergeCell ref="D799:D802"/>
    <mergeCell ref="E799:E802"/>
    <mergeCell ref="F799:F802"/>
    <mergeCell ref="G799:G802"/>
    <mergeCell ref="H799:H802"/>
    <mergeCell ref="L799:L802"/>
    <mergeCell ref="H790:H793"/>
    <mergeCell ref="L790:L793"/>
    <mergeCell ref="M790:M793"/>
    <mergeCell ref="A794:A798"/>
    <mergeCell ref="B794:C798"/>
    <mergeCell ref="D794:D798"/>
    <mergeCell ref="E794:E798"/>
    <mergeCell ref="F794:F798"/>
    <mergeCell ref="G794:G798"/>
    <mergeCell ref="H794:H798"/>
    <mergeCell ref="A790:A793"/>
    <mergeCell ref="B790:C793"/>
    <mergeCell ref="D790:D793"/>
    <mergeCell ref="E790:E793"/>
    <mergeCell ref="F790:F793"/>
    <mergeCell ref="G790:G793"/>
    <mergeCell ref="M782:M785"/>
    <mergeCell ref="A786:A789"/>
    <mergeCell ref="B786:C789"/>
    <mergeCell ref="D786:D789"/>
    <mergeCell ref="E786:E789"/>
    <mergeCell ref="F786:F789"/>
    <mergeCell ref="G786:G789"/>
    <mergeCell ref="H786:H789"/>
    <mergeCell ref="L786:L789"/>
    <mergeCell ref="M786:M789"/>
    <mergeCell ref="L778:L781"/>
    <mergeCell ref="M778:M781"/>
    <mergeCell ref="A782:A785"/>
    <mergeCell ref="B782:C785"/>
    <mergeCell ref="D782:D785"/>
    <mergeCell ref="E782:E785"/>
    <mergeCell ref="F782:F785"/>
    <mergeCell ref="G782:G785"/>
    <mergeCell ref="H782:H785"/>
    <mergeCell ref="L782:L785"/>
    <mergeCell ref="L770:L776"/>
    <mergeCell ref="M770:M776"/>
    <mergeCell ref="B777:C777"/>
    <mergeCell ref="A778:A781"/>
    <mergeCell ref="B778:C781"/>
    <mergeCell ref="D778:D781"/>
    <mergeCell ref="E778:E781"/>
    <mergeCell ref="F778:F781"/>
    <mergeCell ref="G778:G781"/>
    <mergeCell ref="H778:H781"/>
    <mergeCell ref="H767:H769"/>
    <mergeCell ref="L767:L769"/>
    <mergeCell ref="M767:M769"/>
    <mergeCell ref="A770:A776"/>
    <mergeCell ref="B770:C776"/>
    <mergeCell ref="D770:D776"/>
    <mergeCell ref="E770:E776"/>
    <mergeCell ref="F770:F776"/>
    <mergeCell ref="G770:G776"/>
    <mergeCell ref="H770:H776"/>
    <mergeCell ref="A767:A769"/>
    <mergeCell ref="B767:C769"/>
    <mergeCell ref="D767:D769"/>
    <mergeCell ref="E767:E769"/>
    <mergeCell ref="F767:F769"/>
    <mergeCell ref="G767:G769"/>
    <mergeCell ref="L757:L762"/>
    <mergeCell ref="M757:M762"/>
    <mergeCell ref="B763:C763"/>
    <mergeCell ref="B764:C764"/>
    <mergeCell ref="B765:C765"/>
    <mergeCell ref="B766:C766"/>
    <mergeCell ref="H748:H756"/>
    <mergeCell ref="L748:L756"/>
    <mergeCell ref="M748:M756"/>
    <mergeCell ref="A757:A762"/>
    <mergeCell ref="B757:C762"/>
    <mergeCell ref="D757:D762"/>
    <mergeCell ref="E757:E762"/>
    <mergeCell ref="F757:F762"/>
    <mergeCell ref="G757:G762"/>
    <mergeCell ref="H757:H762"/>
    <mergeCell ref="A748:A756"/>
    <mergeCell ref="B748:C756"/>
    <mergeCell ref="D748:D756"/>
    <mergeCell ref="E748:E756"/>
    <mergeCell ref="F748:F756"/>
    <mergeCell ref="G748:G756"/>
    <mergeCell ref="M727:M732"/>
    <mergeCell ref="A733:A747"/>
    <mergeCell ref="B733:C747"/>
    <mergeCell ref="D733:D747"/>
    <mergeCell ref="E733:E747"/>
    <mergeCell ref="F733:F747"/>
    <mergeCell ref="G733:G747"/>
    <mergeCell ref="H733:H747"/>
    <mergeCell ref="L733:L747"/>
    <mergeCell ref="M733:M747"/>
    <mergeCell ref="L723:L726"/>
    <mergeCell ref="M723:M726"/>
    <mergeCell ref="A727:A732"/>
    <mergeCell ref="B727:C732"/>
    <mergeCell ref="D727:D732"/>
    <mergeCell ref="E727:E732"/>
    <mergeCell ref="F727:F732"/>
    <mergeCell ref="G727:G732"/>
    <mergeCell ref="H727:H732"/>
    <mergeCell ref="L727:L732"/>
    <mergeCell ref="H719:H722"/>
    <mergeCell ref="L719:L722"/>
    <mergeCell ref="M719:M722"/>
    <mergeCell ref="A723:A726"/>
    <mergeCell ref="B723:C726"/>
    <mergeCell ref="D723:D726"/>
    <mergeCell ref="E723:E726"/>
    <mergeCell ref="F723:F726"/>
    <mergeCell ref="G723:G726"/>
    <mergeCell ref="H723:H726"/>
    <mergeCell ref="A719:A722"/>
    <mergeCell ref="B719:C722"/>
    <mergeCell ref="D719:D722"/>
    <mergeCell ref="E719:E722"/>
    <mergeCell ref="F719:F722"/>
    <mergeCell ref="G719:G722"/>
    <mergeCell ref="M706:M713"/>
    <mergeCell ref="A714:A718"/>
    <mergeCell ref="B714:C718"/>
    <mergeCell ref="D714:D718"/>
    <mergeCell ref="E714:E718"/>
    <mergeCell ref="F714:F718"/>
    <mergeCell ref="G714:G718"/>
    <mergeCell ref="H714:H718"/>
    <mergeCell ref="L714:L718"/>
    <mergeCell ref="M714:M718"/>
    <mergeCell ref="L694:L705"/>
    <mergeCell ref="M694:M705"/>
    <mergeCell ref="A706:A713"/>
    <mergeCell ref="B706:C713"/>
    <mergeCell ref="D706:D713"/>
    <mergeCell ref="E706:E713"/>
    <mergeCell ref="F706:F713"/>
    <mergeCell ref="G706:G713"/>
    <mergeCell ref="H706:H713"/>
    <mergeCell ref="L706:L713"/>
    <mergeCell ref="H688:H693"/>
    <mergeCell ref="L688:L693"/>
    <mergeCell ref="M688:M693"/>
    <mergeCell ref="A694:A705"/>
    <mergeCell ref="B694:C705"/>
    <mergeCell ref="D694:D705"/>
    <mergeCell ref="E694:E705"/>
    <mergeCell ref="F694:F705"/>
    <mergeCell ref="G694:G705"/>
    <mergeCell ref="H694:H705"/>
    <mergeCell ref="A688:A693"/>
    <mergeCell ref="B688:C693"/>
    <mergeCell ref="D688:D693"/>
    <mergeCell ref="E688:E693"/>
    <mergeCell ref="F688:F693"/>
    <mergeCell ref="G688:G693"/>
    <mergeCell ref="M678:M683"/>
    <mergeCell ref="A684:A687"/>
    <mergeCell ref="B684:C687"/>
    <mergeCell ref="D684:D687"/>
    <mergeCell ref="E684:E687"/>
    <mergeCell ref="F684:F687"/>
    <mergeCell ref="G684:G687"/>
    <mergeCell ref="H684:H687"/>
    <mergeCell ref="L684:L687"/>
    <mergeCell ref="M684:M687"/>
    <mergeCell ref="L675:L677"/>
    <mergeCell ref="M675:M677"/>
    <mergeCell ref="A678:A683"/>
    <mergeCell ref="B678:C683"/>
    <mergeCell ref="D678:D683"/>
    <mergeCell ref="E678:E683"/>
    <mergeCell ref="F678:F683"/>
    <mergeCell ref="G678:G683"/>
    <mergeCell ref="H678:H683"/>
    <mergeCell ref="L678:L683"/>
    <mergeCell ref="H672:H674"/>
    <mergeCell ref="L672:L674"/>
    <mergeCell ref="M672:M674"/>
    <mergeCell ref="A675:A677"/>
    <mergeCell ref="B675:C677"/>
    <mergeCell ref="D675:D677"/>
    <mergeCell ref="E675:E677"/>
    <mergeCell ref="F675:F677"/>
    <mergeCell ref="G675:G677"/>
    <mergeCell ref="H675:H677"/>
    <mergeCell ref="A672:A674"/>
    <mergeCell ref="B672:C674"/>
    <mergeCell ref="D672:D674"/>
    <mergeCell ref="E672:E674"/>
    <mergeCell ref="F672:F674"/>
    <mergeCell ref="G672:G674"/>
    <mergeCell ref="M665:M667"/>
    <mergeCell ref="A668:A671"/>
    <mergeCell ref="B668:C671"/>
    <mergeCell ref="D668:D671"/>
    <mergeCell ref="E668:E671"/>
    <mergeCell ref="F668:F671"/>
    <mergeCell ref="G668:G671"/>
    <mergeCell ref="H668:H671"/>
    <mergeCell ref="L668:L671"/>
    <mergeCell ref="M668:M671"/>
    <mergeCell ref="L660:L664"/>
    <mergeCell ref="M660:M664"/>
    <mergeCell ref="A665:A667"/>
    <mergeCell ref="B665:C667"/>
    <mergeCell ref="D665:D667"/>
    <mergeCell ref="E665:E667"/>
    <mergeCell ref="F665:F667"/>
    <mergeCell ref="G665:G667"/>
    <mergeCell ref="H665:H667"/>
    <mergeCell ref="L665:L667"/>
    <mergeCell ref="H655:H659"/>
    <mergeCell ref="L655:L659"/>
    <mergeCell ref="M655:M659"/>
    <mergeCell ref="A660:A664"/>
    <mergeCell ref="B660:C664"/>
    <mergeCell ref="D660:D664"/>
    <mergeCell ref="E660:E664"/>
    <mergeCell ref="F660:F664"/>
    <mergeCell ref="G660:G664"/>
    <mergeCell ref="H660:H664"/>
    <mergeCell ref="A655:A659"/>
    <mergeCell ref="B655:C659"/>
    <mergeCell ref="D655:D659"/>
    <mergeCell ref="E655:E659"/>
    <mergeCell ref="F655:F659"/>
    <mergeCell ref="G655:G659"/>
    <mergeCell ref="M643:M649"/>
    <mergeCell ref="A650:A654"/>
    <mergeCell ref="B650:C654"/>
    <mergeCell ref="D650:D654"/>
    <mergeCell ref="E650:E654"/>
    <mergeCell ref="F650:F654"/>
    <mergeCell ref="G650:G654"/>
    <mergeCell ref="H650:H654"/>
    <mergeCell ref="L650:L654"/>
    <mergeCell ref="M650:M654"/>
    <mergeCell ref="L638:L642"/>
    <mergeCell ref="M638:M642"/>
    <mergeCell ref="A643:A649"/>
    <mergeCell ref="B643:C649"/>
    <mergeCell ref="D643:D649"/>
    <mergeCell ref="E643:E649"/>
    <mergeCell ref="F643:F649"/>
    <mergeCell ref="G643:G649"/>
    <mergeCell ref="H643:H649"/>
    <mergeCell ref="L643:L649"/>
    <mergeCell ref="H632:H637"/>
    <mergeCell ref="L632:L637"/>
    <mergeCell ref="M632:M637"/>
    <mergeCell ref="A638:A642"/>
    <mergeCell ref="B638:C642"/>
    <mergeCell ref="D638:D642"/>
    <mergeCell ref="E638:E642"/>
    <mergeCell ref="F638:F642"/>
    <mergeCell ref="G638:G642"/>
    <mergeCell ref="H638:H642"/>
    <mergeCell ref="H628:H630"/>
    <mergeCell ref="L628:L630"/>
    <mergeCell ref="M628:M630"/>
    <mergeCell ref="B631:C631"/>
    <mergeCell ref="A632:A637"/>
    <mergeCell ref="B632:C637"/>
    <mergeCell ref="D632:D637"/>
    <mergeCell ref="E632:E637"/>
    <mergeCell ref="F632:F637"/>
    <mergeCell ref="G632:G637"/>
    <mergeCell ref="A628:A630"/>
    <mergeCell ref="B628:C630"/>
    <mergeCell ref="D628:D630"/>
    <mergeCell ref="E628:E630"/>
    <mergeCell ref="F628:F630"/>
    <mergeCell ref="G628:G630"/>
    <mergeCell ref="M617:M622"/>
    <mergeCell ref="A623:A627"/>
    <mergeCell ref="B623:C627"/>
    <mergeCell ref="D623:D627"/>
    <mergeCell ref="E623:E627"/>
    <mergeCell ref="F623:F627"/>
    <mergeCell ref="G623:G627"/>
    <mergeCell ref="H623:H627"/>
    <mergeCell ref="L623:L627"/>
    <mergeCell ref="M623:M627"/>
    <mergeCell ref="L612:L616"/>
    <mergeCell ref="M612:M616"/>
    <mergeCell ref="A617:A622"/>
    <mergeCell ref="B617:C622"/>
    <mergeCell ref="D617:D622"/>
    <mergeCell ref="E617:E622"/>
    <mergeCell ref="F617:F622"/>
    <mergeCell ref="G617:G622"/>
    <mergeCell ref="H617:H622"/>
    <mergeCell ref="L617:L622"/>
    <mergeCell ref="H609:H611"/>
    <mergeCell ref="L609:L611"/>
    <mergeCell ref="M609:M611"/>
    <mergeCell ref="A612:A616"/>
    <mergeCell ref="B612:C616"/>
    <mergeCell ref="D612:D616"/>
    <mergeCell ref="E612:E616"/>
    <mergeCell ref="F612:F616"/>
    <mergeCell ref="G612:G616"/>
    <mergeCell ref="H612:H616"/>
    <mergeCell ref="A609:A611"/>
    <mergeCell ref="B609:C611"/>
    <mergeCell ref="D609:D611"/>
    <mergeCell ref="E609:E611"/>
    <mergeCell ref="F609:F611"/>
    <mergeCell ref="G609:G611"/>
    <mergeCell ref="M599:M603"/>
    <mergeCell ref="A604:A608"/>
    <mergeCell ref="B604:C608"/>
    <mergeCell ref="D604:D608"/>
    <mergeCell ref="E604:E608"/>
    <mergeCell ref="F604:F608"/>
    <mergeCell ref="G604:G608"/>
    <mergeCell ref="H604:H608"/>
    <mergeCell ref="L604:L608"/>
    <mergeCell ref="M604:M608"/>
    <mergeCell ref="L594:L598"/>
    <mergeCell ref="M594:M598"/>
    <mergeCell ref="A599:A603"/>
    <mergeCell ref="B599:C603"/>
    <mergeCell ref="D599:D603"/>
    <mergeCell ref="E599:E603"/>
    <mergeCell ref="F599:F603"/>
    <mergeCell ref="G599:G603"/>
    <mergeCell ref="H599:H603"/>
    <mergeCell ref="L599:L603"/>
    <mergeCell ref="H588:H593"/>
    <mergeCell ref="L588:L593"/>
    <mergeCell ref="M588:M593"/>
    <mergeCell ref="A594:A598"/>
    <mergeCell ref="B594:C598"/>
    <mergeCell ref="D594:D598"/>
    <mergeCell ref="E594:E598"/>
    <mergeCell ref="F594:F598"/>
    <mergeCell ref="G594:G598"/>
    <mergeCell ref="H594:H598"/>
    <mergeCell ref="G577:G587"/>
    <mergeCell ref="H577:H587"/>
    <mergeCell ref="L577:L587"/>
    <mergeCell ref="M577:M587"/>
    <mergeCell ref="A588:A593"/>
    <mergeCell ref="B588:C593"/>
    <mergeCell ref="D588:D593"/>
    <mergeCell ref="E588:E593"/>
    <mergeCell ref="F588:F593"/>
    <mergeCell ref="G588:G593"/>
    <mergeCell ref="B576:C576"/>
    <mergeCell ref="A577:A587"/>
    <mergeCell ref="B577:C587"/>
    <mergeCell ref="D577:D587"/>
    <mergeCell ref="E577:E587"/>
    <mergeCell ref="F577:F587"/>
    <mergeCell ref="M560:M564"/>
    <mergeCell ref="A565:A575"/>
    <mergeCell ref="B565:C575"/>
    <mergeCell ref="D565:D575"/>
    <mergeCell ref="E565:E575"/>
    <mergeCell ref="F565:F575"/>
    <mergeCell ref="G565:G575"/>
    <mergeCell ref="H565:H575"/>
    <mergeCell ref="L565:L575"/>
    <mergeCell ref="M565:M575"/>
    <mergeCell ref="L555:L559"/>
    <mergeCell ref="M555:M559"/>
    <mergeCell ref="A560:A564"/>
    <mergeCell ref="B560:C564"/>
    <mergeCell ref="D560:D564"/>
    <mergeCell ref="E560:E564"/>
    <mergeCell ref="F560:F564"/>
    <mergeCell ref="G560:G564"/>
    <mergeCell ref="H560:H564"/>
    <mergeCell ref="L560:L564"/>
    <mergeCell ref="H551:H554"/>
    <mergeCell ref="L551:L554"/>
    <mergeCell ref="M551:M554"/>
    <mergeCell ref="A555:A559"/>
    <mergeCell ref="B555:C559"/>
    <mergeCell ref="D555:D559"/>
    <mergeCell ref="E555:E559"/>
    <mergeCell ref="F555:F559"/>
    <mergeCell ref="G555:G559"/>
    <mergeCell ref="H555:H559"/>
    <mergeCell ref="A551:A554"/>
    <mergeCell ref="B551:C554"/>
    <mergeCell ref="D551:D554"/>
    <mergeCell ref="E551:E554"/>
    <mergeCell ref="F551:F554"/>
    <mergeCell ref="G551:G554"/>
    <mergeCell ref="M546:M548"/>
    <mergeCell ref="A549:A550"/>
    <mergeCell ref="B549:C550"/>
    <mergeCell ref="D549:D550"/>
    <mergeCell ref="E549:E550"/>
    <mergeCell ref="F549:F550"/>
    <mergeCell ref="G549:G550"/>
    <mergeCell ref="H549:H550"/>
    <mergeCell ref="L549:L550"/>
    <mergeCell ref="M549:M550"/>
    <mergeCell ref="L536:L545"/>
    <mergeCell ref="M536:M545"/>
    <mergeCell ref="A546:A548"/>
    <mergeCell ref="B546:C548"/>
    <mergeCell ref="D546:D548"/>
    <mergeCell ref="E546:E548"/>
    <mergeCell ref="F546:F548"/>
    <mergeCell ref="G546:G548"/>
    <mergeCell ref="H546:H548"/>
    <mergeCell ref="L546:L548"/>
    <mergeCell ref="H526:H535"/>
    <mergeCell ref="L526:L535"/>
    <mergeCell ref="M526:M535"/>
    <mergeCell ref="A536:A545"/>
    <mergeCell ref="B536:C545"/>
    <mergeCell ref="D536:D545"/>
    <mergeCell ref="E536:E545"/>
    <mergeCell ref="F536:F545"/>
    <mergeCell ref="G536:G545"/>
    <mergeCell ref="H536:H545"/>
    <mergeCell ref="A526:A535"/>
    <mergeCell ref="B526:C535"/>
    <mergeCell ref="D526:D535"/>
    <mergeCell ref="E526:E535"/>
    <mergeCell ref="F526:F535"/>
    <mergeCell ref="G526:G535"/>
    <mergeCell ref="M512:M517"/>
    <mergeCell ref="A518:A525"/>
    <mergeCell ref="B518:C525"/>
    <mergeCell ref="D518:D525"/>
    <mergeCell ref="E518:E525"/>
    <mergeCell ref="F518:F525"/>
    <mergeCell ref="G518:G525"/>
    <mergeCell ref="H518:H525"/>
    <mergeCell ref="L518:L525"/>
    <mergeCell ref="M518:M525"/>
    <mergeCell ref="L509:L511"/>
    <mergeCell ref="M509:M511"/>
    <mergeCell ref="A512:A517"/>
    <mergeCell ref="B512:C517"/>
    <mergeCell ref="D512:D517"/>
    <mergeCell ref="E512:E517"/>
    <mergeCell ref="F512:F517"/>
    <mergeCell ref="G512:G517"/>
    <mergeCell ref="H512:H517"/>
    <mergeCell ref="L512:L517"/>
    <mergeCell ref="H502:H508"/>
    <mergeCell ref="L502:L508"/>
    <mergeCell ref="M502:M508"/>
    <mergeCell ref="A509:A511"/>
    <mergeCell ref="B509:C511"/>
    <mergeCell ref="D509:D511"/>
    <mergeCell ref="E509:E511"/>
    <mergeCell ref="F509:F511"/>
    <mergeCell ref="G509:G511"/>
    <mergeCell ref="H509:H511"/>
    <mergeCell ref="A502:A508"/>
    <mergeCell ref="B502:C508"/>
    <mergeCell ref="D502:D508"/>
    <mergeCell ref="E502:E508"/>
    <mergeCell ref="F502:F508"/>
    <mergeCell ref="G502:G508"/>
    <mergeCell ref="M493:M498"/>
    <mergeCell ref="A499:A501"/>
    <mergeCell ref="B499:C501"/>
    <mergeCell ref="D499:D501"/>
    <mergeCell ref="E499:E501"/>
    <mergeCell ref="F499:F501"/>
    <mergeCell ref="G499:G501"/>
    <mergeCell ref="H499:H501"/>
    <mergeCell ref="L499:L501"/>
    <mergeCell ref="M499:M501"/>
    <mergeCell ref="L489:L492"/>
    <mergeCell ref="M489:M492"/>
    <mergeCell ref="A493:A498"/>
    <mergeCell ref="B493:C498"/>
    <mergeCell ref="D493:D498"/>
    <mergeCell ref="E493:E498"/>
    <mergeCell ref="F493:F498"/>
    <mergeCell ref="G493:G498"/>
    <mergeCell ref="H493:H498"/>
    <mergeCell ref="L493:L498"/>
    <mergeCell ref="H483:H488"/>
    <mergeCell ref="L483:L488"/>
    <mergeCell ref="M483:M488"/>
    <mergeCell ref="A489:A492"/>
    <mergeCell ref="B489:C492"/>
    <mergeCell ref="D489:D492"/>
    <mergeCell ref="E489:E492"/>
    <mergeCell ref="F489:F492"/>
    <mergeCell ref="G489:G492"/>
    <mergeCell ref="H489:H492"/>
    <mergeCell ref="A483:A488"/>
    <mergeCell ref="B483:C488"/>
    <mergeCell ref="D483:D488"/>
    <mergeCell ref="E483:E488"/>
    <mergeCell ref="F483:F488"/>
    <mergeCell ref="G483:G488"/>
    <mergeCell ref="M470:M474"/>
    <mergeCell ref="A475:A482"/>
    <mergeCell ref="B475:C482"/>
    <mergeCell ref="D475:D482"/>
    <mergeCell ref="E475:E482"/>
    <mergeCell ref="F475:F482"/>
    <mergeCell ref="G475:G482"/>
    <mergeCell ref="H475:H482"/>
    <mergeCell ref="L475:L482"/>
    <mergeCell ref="M475:M482"/>
    <mergeCell ref="L467:L469"/>
    <mergeCell ref="M467:M469"/>
    <mergeCell ref="A470:A474"/>
    <mergeCell ref="B470:C474"/>
    <mergeCell ref="D470:D474"/>
    <mergeCell ref="E470:E474"/>
    <mergeCell ref="F470:F474"/>
    <mergeCell ref="G470:G474"/>
    <mergeCell ref="H470:H474"/>
    <mergeCell ref="L470:L474"/>
    <mergeCell ref="H461:H466"/>
    <mergeCell ref="L461:L466"/>
    <mergeCell ref="M461:M466"/>
    <mergeCell ref="A467:A469"/>
    <mergeCell ref="B467:C469"/>
    <mergeCell ref="D467:D469"/>
    <mergeCell ref="E467:E469"/>
    <mergeCell ref="F467:F469"/>
    <mergeCell ref="G467:G469"/>
    <mergeCell ref="H467:H469"/>
    <mergeCell ref="G455:G460"/>
    <mergeCell ref="H455:H460"/>
    <mergeCell ref="L455:L460"/>
    <mergeCell ref="M455:M460"/>
    <mergeCell ref="A461:A466"/>
    <mergeCell ref="B461:C466"/>
    <mergeCell ref="D461:D466"/>
    <mergeCell ref="E461:E466"/>
    <mergeCell ref="F461:F466"/>
    <mergeCell ref="G461:G466"/>
    <mergeCell ref="H444:H452"/>
    <mergeCell ref="L444:L452"/>
    <mergeCell ref="M444:M452"/>
    <mergeCell ref="B453:C453"/>
    <mergeCell ref="B454:C454"/>
    <mergeCell ref="A455:A460"/>
    <mergeCell ref="B455:C460"/>
    <mergeCell ref="D455:D460"/>
    <mergeCell ref="E455:E460"/>
    <mergeCell ref="F455:F460"/>
    <mergeCell ref="A444:A452"/>
    <mergeCell ref="B444:C452"/>
    <mergeCell ref="D444:D452"/>
    <mergeCell ref="E444:E452"/>
    <mergeCell ref="F444:F452"/>
    <mergeCell ref="G444:G452"/>
    <mergeCell ref="M426:M433"/>
    <mergeCell ref="A434:A443"/>
    <mergeCell ref="B434:C443"/>
    <mergeCell ref="D434:D443"/>
    <mergeCell ref="E434:E443"/>
    <mergeCell ref="F434:F443"/>
    <mergeCell ref="G434:G443"/>
    <mergeCell ref="H434:H443"/>
    <mergeCell ref="L434:L443"/>
    <mergeCell ref="M434:M443"/>
    <mergeCell ref="L419:L425"/>
    <mergeCell ref="M419:M425"/>
    <mergeCell ref="A426:A433"/>
    <mergeCell ref="B426:C433"/>
    <mergeCell ref="D426:D433"/>
    <mergeCell ref="E426:E433"/>
    <mergeCell ref="F426:F433"/>
    <mergeCell ref="G426:G433"/>
    <mergeCell ref="H426:H433"/>
    <mergeCell ref="L426:L433"/>
    <mergeCell ref="H411:H418"/>
    <mergeCell ref="L411:L418"/>
    <mergeCell ref="M411:M418"/>
    <mergeCell ref="A419:A425"/>
    <mergeCell ref="B419:C425"/>
    <mergeCell ref="D419:D425"/>
    <mergeCell ref="E419:E425"/>
    <mergeCell ref="F419:F425"/>
    <mergeCell ref="G419:G425"/>
    <mergeCell ref="H419:H425"/>
    <mergeCell ref="A411:A418"/>
    <mergeCell ref="B411:C418"/>
    <mergeCell ref="D411:D418"/>
    <mergeCell ref="E411:E418"/>
    <mergeCell ref="F411:F418"/>
    <mergeCell ref="G411:G418"/>
    <mergeCell ref="M399:M403"/>
    <mergeCell ref="A404:A410"/>
    <mergeCell ref="B404:C410"/>
    <mergeCell ref="D404:D410"/>
    <mergeCell ref="E404:E410"/>
    <mergeCell ref="F404:F410"/>
    <mergeCell ref="G404:G410"/>
    <mergeCell ref="H404:H410"/>
    <mergeCell ref="L404:L410"/>
    <mergeCell ref="M404:M410"/>
    <mergeCell ref="L396:L398"/>
    <mergeCell ref="M396:M398"/>
    <mergeCell ref="A399:A403"/>
    <mergeCell ref="B399:C403"/>
    <mergeCell ref="D399:D403"/>
    <mergeCell ref="E399:E403"/>
    <mergeCell ref="F399:F403"/>
    <mergeCell ref="G399:G403"/>
    <mergeCell ref="H399:H403"/>
    <mergeCell ref="L399:L403"/>
    <mergeCell ref="H391:H395"/>
    <mergeCell ref="L391:L395"/>
    <mergeCell ref="M391:M395"/>
    <mergeCell ref="A396:A398"/>
    <mergeCell ref="B396:C398"/>
    <mergeCell ref="D396:D398"/>
    <mergeCell ref="E396:E398"/>
    <mergeCell ref="F396:F398"/>
    <mergeCell ref="G396:G398"/>
    <mergeCell ref="H396:H398"/>
    <mergeCell ref="H385:H389"/>
    <mergeCell ref="L385:L389"/>
    <mergeCell ref="M385:M389"/>
    <mergeCell ref="B390:C390"/>
    <mergeCell ref="A391:A395"/>
    <mergeCell ref="B391:C395"/>
    <mergeCell ref="D391:D395"/>
    <mergeCell ref="E391:E395"/>
    <mergeCell ref="F391:F395"/>
    <mergeCell ref="G391:G395"/>
    <mergeCell ref="L377:L382"/>
    <mergeCell ref="M377:M382"/>
    <mergeCell ref="B383:C383"/>
    <mergeCell ref="B384:C384"/>
    <mergeCell ref="A385:A389"/>
    <mergeCell ref="B385:C389"/>
    <mergeCell ref="D385:D389"/>
    <mergeCell ref="E385:E389"/>
    <mergeCell ref="F385:F389"/>
    <mergeCell ref="G385:G389"/>
    <mergeCell ref="L372:L375"/>
    <mergeCell ref="M372:M375"/>
    <mergeCell ref="B376:C376"/>
    <mergeCell ref="A377:A382"/>
    <mergeCell ref="B377:C382"/>
    <mergeCell ref="D377:D382"/>
    <mergeCell ref="E377:E382"/>
    <mergeCell ref="F377:F382"/>
    <mergeCell ref="G377:G382"/>
    <mergeCell ref="H377:H382"/>
    <mergeCell ref="H368:H371"/>
    <mergeCell ref="L368:L371"/>
    <mergeCell ref="M368:M371"/>
    <mergeCell ref="A372:A375"/>
    <mergeCell ref="B372:C375"/>
    <mergeCell ref="D372:D375"/>
    <mergeCell ref="E372:E375"/>
    <mergeCell ref="F372:F375"/>
    <mergeCell ref="G372:G375"/>
    <mergeCell ref="H372:H375"/>
    <mergeCell ref="G365:G367"/>
    <mergeCell ref="H365:H367"/>
    <mergeCell ref="L365:L367"/>
    <mergeCell ref="M365:M367"/>
    <mergeCell ref="A368:A371"/>
    <mergeCell ref="B368:C371"/>
    <mergeCell ref="D368:D371"/>
    <mergeCell ref="E368:E371"/>
    <mergeCell ref="F368:F371"/>
    <mergeCell ref="G368:G371"/>
    <mergeCell ref="G359:G363"/>
    <mergeCell ref="H359:H363"/>
    <mergeCell ref="L359:L363"/>
    <mergeCell ref="M359:M363"/>
    <mergeCell ref="B364:C364"/>
    <mergeCell ref="A365:A367"/>
    <mergeCell ref="B365:C367"/>
    <mergeCell ref="D365:D367"/>
    <mergeCell ref="E365:E367"/>
    <mergeCell ref="F365:F367"/>
    <mergeCell ref="L347:L355"/>
    <mergeCell ref="M347:M355"/>
    <mergeCell ref="B356:C356"/>
    <mergeCell ref="B357:C357"/>
    <mergeCell ref="B358:C358"/>
    <mergeCell ref="A359:A363"/>
    <mergeCell ref="B359:C363"/>
    <mergeCell ref="D359:D363"/>
    <mergeCell ref="E359:E363"/>
    <mergeCell ref="F359:F363"/>
    <mergeCell ref="H344:H346"/>
    <mergeCell ref="L344:L346"/>
    <mergeCell ref="M344:M346"/>
    <mergeCell ref="A347:A355"/>
    <mergeCell ref="B347:C355"/>
    <mergeCell ref="D347:D355"/>
    <mergeCell ref="E347:E355"/>
    <mergeCell ref="F347:F355"/>
    <mergeCell ref="G347:G355"/>
    <mergeCell ref="H347:H355"/>
    <mergeCell ref="A344:A346"/>
    <mergeCell ref="B344:C346"/>
    <mergeCell ref="D344:D346"/>
    <mergeCell ref="E344:E346"/>
    <mergeCell ref="F344:F346"/>
    <mergeCell ref="G344:G346"/>
    <mergeCell ref="M335:M340"/>
    <mergeCell ref="A341:A343"/>
    <mergeCell ref="B341:C343"/>
    <mergeCell ref="D341:D343"/>
    <mergeCell ref="E341:E343"/>
    <mergeCell ref="F341:F343"/>
    <mergeCell ref="G341:G343"/>
    <mergeCell ref="H341:H343"/>
    <mergeCell ref="L341:L343"/>
    <mergeCell ref="M341:M343"/>
    <mergeCell ref="M331:M333"/>
    <mergeCell ref="B334:C334"/>
    <mergeCell ref="A335:A340"/>
    <mergeCell ref="B335:C340"/>
    <mergeCell ref="D335:D340"/>
    <mergeCell ref="E335:E340"/>
    <mergeCell ref="F335:F340"/>
    <mergeCell ref="G335:G340"/>
    <mergeCell ref="H335:H340"/>
    <mergeCell ref="L335:L340"/>
    <mergeCell ref="L327:L330"/>
    <mergeCell ref="M327:M330"/>
    <mergeCell ref="A331:A333"/>
    <mergeCell ref="B331:C333"/>
    <mergeCell ref="D331:D333"/>
    <mergeCell ref="E331:E333"/>
    <mergeCell ref="F331:F333"/>
    <mergeCell ref="G331:G333"/>
    <mergeCell ref="H331:H333"/>
    <mergeCell ref="L331:L333"/>
    <mergeCell ref="L321:L325"/>
    <mergeCell ref="M321:M325"/>
    <mergeCell ref="B326:C326"/>
    <mergeCell ref="A327:A330"/>
    <mergeCell ref="B327:C330"/>
    <mergeCell ref="D327:D330"/>
    <mergeCell ref="E327:E330"/>
    <mergeCell ref="F327:F330"/>
    <mergeCell ref="G327:G330"/>
    <mergeCell ref="H327:H330"/>
    <mergeCell ref="H315:H320"/>
    <mergeCell ref="L315:L320"/>
    <mergeCell ref="M315:M320"/>
    <mergeCell ref="A321:A325"/>
    <mergeCell ref="B321:C325"/>
    <mergeCell ref="D321:D325"/>
    <mergeCell ref="E321:E325"/>
    <mergeCell ref="F321:F325"/>
    <mergeCell ref="G321:G325"/>
    <mergeCell ref="H321:H325"/>
    <mergeCell ref="H311:H313"/>
    <mergeCell ref="L311:L313"/>
    <mergeCell ref="M311:M313"/>
    <mergeCell ref="B314:C314"/>
    <mergeCell ref="A315:A320"/>
    <mergeCell ref="B315:C320"/>
    <mergeCell ref="D315:D320"/>
    <mergeCell ref="E315:E320"/>
    <mergeCell ref="F315:F320"/>
    <mergeCell ref="G315:G320"/>
    <mergeCell ref="A311:A313"/>
    <mergeCell ref="B311:C313"/>
    <mergeCell ref="D311:D313"/>
    <mergeCell ref="E311:E313"/>
    <mergeCell ref="F311:F313"/>
    <mergeCell ref="G311:G313"/>
    <mergeCell ref="M303:M307"/>
    <mergeCell ref="A308:A310"/>
    <mergeCell ref="B308:C310"/>
    <mergeCell ref="D308:D310"/>
    <mergeCell ref="E308:E310"/>
    <mergeCell ref="F308:F310"/>
    <mergeCell ref="G308:G310"/>
    <mergeCell ref="H308:H310"/>
    <mergeCell ref="L308:L310"/>
    <mergeCell ref="M308:M310"/>
    <mergeCell ref="L299:L302"/>
    <mergeCell ref="M299:M302"/>
    <mergeCell ref="A303:A307"/>
    <mergeCell ref="B303:C307"/>
    <mergeCell ref="D303:D307"/>
    <mergeCell ref="E303:E307"/>
    <mergeCell ref="F303:F307"/>
    <mergeCell ref="G303:G307"/>
    <mergeCell ref="H303:H307"/>
    <mergeCell ref="L303:L307"/>
    <mergeCell ref="H294:H298"/>
    <mergeCell ref="L294:L298"/>
    <mergeCell ref="M294:M298"/>
    <mergeCell ref="A299:A302"/>
    <mergeCell ref="B299:C302"/>
    <mergeCell ref="D299:D302"/>
    <mergeCell ref="E299:E302"/>
    <mergeCell ref="F299:F302"/>
    <mergeCell ref="G299:G302"/>
    <mergeCell ref="H299:H302"/>
    <mergeCell ref="L289:L291"/>
    <mergeCell ref="M289:M291"/>
    <mergeCell ref="B292:C292"/>
    <mergeCell ref="B293:C293"/>
    <mergeCell ref="A294:A298"/>
    <mergeCell ref="B294:C298"/>
    <mergeCell ref="D294:D298"/>
    <mergeCell ref="E294:E298"/>
    <mergeCell ref="F294:F298"/>
    <mergeCell ref="G294:G298"/>
    <mergeCell ref="H286:H288"/>
    <mergeCell ref="L286:L288"/>
    <mergeCell ref="M286:M288"/>
    <mergeCell ref="A289:A291"/>
    <mergeCell ref="B289:C291"/>
    <mergeCell ref="D289:D291"/>
    <mergeCell ref="E289:E291"/>
    <mergeCell ref="F289:F291"/>
    <mergeCell ref="G289:G291"/>
    <mergeCell ref="H289:H291"/>
    <mergeCell ref="G283:G285"/>
    <mergeCell ref="H283:H285"/>
    <mergeCell ref="L283:L285"/>
    <mergeCell ref="M283:M285"/>
    <mergeCell ref="A286:A288"/>
    <mergeCell ref="B286:C288"/>
    <mergeCell ref="D286:D288"/>
    <mergeCell ref="E286:E288"/>
    <mergeCell ref="F286:F288"/>
    <mergeCell ref="G286:G288"/>
    <mergeCell ref="H279:H280"/>
    <mergeCell ref="L279:L280"/>
    <mergeCell ref="M279:M280"/>
    <mergeCell ref="B281:C281"/>
    <mergeCell ref="B282:C282"/>
    <mergeCell ref="A283:A285"/>
    <mergeCell ref="B283:C285"/>
    <mergeCell ref="D283:D285"/>
    <mergeCell ref="E283:E285"/>
    <mergeCell ref="F283:F285"/>
    <mergeCell ref="A279:A280"/>
    <mergeCell ref="B279:C280"/>
    <mergeCell ref="D279:D280"/>
    <mergeCell ref="E279:E280"/>
    <mergeCell ref="F279:F280"/>
    <mergeCell ref="G279:G280"/>
    <mergeCell ref="M273:M275"/>
    <mergeCell ref="A276:A278"/>
    <mergeCell ref="B276:C278"/>
    <mergeCell ref="D276:D278"/>
    <mergeCell ref="E276:E278"/>
    <mergeCell ref="F276:F278"/>
    <mergeCell ref="G276:G278"/>
    <mergeCell ref="H276:H278"/>
    <mergeCell ref="L276:L278"/>
    <mergeCell ref="M276:M278"/>
    <mergeCell ref="L270:L272"/>
    <mergeCell ref="M270:M272"/>
    <mergeCell ref="A273:A275"/>
    <mergeCell ref="B273:C275"/>
    <mergeCell ref="D273:D275"/>
    <mergeCell ref="E273:E275"/>
    <mergeCell ref="F273:F275"/>
    <mergeCell ref="G273:G275"/>
    <mergeCell ref="H273:H275"/>
    <mergeCell ref="L273:L275"/>
    <mergeCell ref="H268:H269"/>
    <mergeCell ref="L268:L269"/>
    <mergeCell ref="M268:M269"/>
    <mergeCell ref="A270:A272"/>
    <mergeCell ref="B270:C272"/>
    <mergeCell ref="D270:D272"/>
    <mergeCell ref="E270:E272"/>
    <mergeCell ref="F270:F272"/>
    <mergeCell ref="G270:G272"/>
    <mergeCell ref="H270:H272"/>
    <mergeCell ref="G266:G267"/>
    <mergeCell ref="H266:H267"/>
    <mergeCell ref="L266:L267"/>
    <mergeCell ref="M266:M267"/>
    <mergeCell ref="A268:A269"/>
    <mergeCell ref="B268:C269"/>
    <mergeCell ref="D268:D269"/>
    <mergeCell ref="E268:E269"/>
    <mergeCell ref="F268:F269"/>
    <mergeCell ref="G268:G269"/>
    <mergeCell ref="G261:G264"/>
    <mergeCell ref="H261:H264"/>
    <mergeCell ref="L261:L264"/>
    <mergeCell ref="M261:M264"/>
    <mergeCell ref="B265:C265"/>
    <mergeCell ref="A266:A267"/>
    <mergeCell ref="B266:C267"/>
    <mergeCell ref="D266:D267"/>
    <mergeCell ref="E266:E267"/>
    <mergeCell ref="F266:F267"/>
    <mergeCell ref="G257:G259"/>
    <mergeCell ref="H257:H259"/>
    <mergeCell ref="L257:L259"/>
    <mergeCell ref="M257:M259"/>
    <mergeCell ref="B260:C260"/>
    <mergeCell ref="A261:A264"/>
    <mergeCell ref="B261:C264"/>
    <mergeCell ref="D261:D264"/>
    <mergeCell ref="E261:E264"/>
    <mergeCell ref="F261:F264"/>
    <mergeCell ref="B256:C256"/>
    <mergeCell ref="A257:A259"/>
    <mergeCell ref="B257:C259"/>
    <mergeCell ref="D257:D259"/>
    <mergeCell ref="E257:E259"/>
    <mergeCell ref="F257:F259"/>
    <mergeCell ref="H249:H252"/>
    <mergeCell ref="L249:L252"/>
    <mergeCell ref="M249:M252"/>
    <mergeCell ref="B253:C253"/>
    <mergeCell ref="B254:C254"/>
    <mergeCell ref="B255:C255"/>
    <mergeCell ref="A249:A252"/>
    <mergeCell ref="B249:C252"/>
    <mergeCell ref="D249:D252"/>
    <mergeCell ref="E249:E252"/>
    <mergeCell ref="F249:F252"/>
    <mergeCell ref="G249:G252"/>
    <mergeCell ref="G243:G246"/>
    <mergeCell ref="H243:H246"/>
    <mergeCell ref="L243:L246"/>
    <mergeCell ref="M243:M246"/>
    <mergeCell ref="B247:C247"/>
    <mergeCell ref="B248:C248"/>
    <mergeCell ref="B242:C242"/>
    <mergeCell ref="A243:A246"/>
    <mergeCell ref="B243:C246"/>
    <mergeCell ref="D243:D246"/>
    <mergeCell ref="E243:E246"/>
    <mergeCell ref="F243:F246"/>
    <mergeCell ref="M235:M237"/>
    <mergeCell ref="A238:A241"/>
    <mergeCell ref="B238:C241"/>
    <mergeCell ref="D238:D241"/>
    <mergeCell ref="E238:E241"/>
    <mergeCell ref="F238:F241"/>
    <mergeCell ref="G238:G241"/>
    <mergeCell ref="H238:H241"/>
    <mergeCell ref="L238:L241"/>
    <mergeCell ref="M238:M241"/>
    <mergeCell ref="L232:L234"/>
    <mergeCell ref="M232:M234"/>
    <mergeCell ref="A235:A237"/>
    <mergeCell ref="B235:C237"/>
    <mergeCell ref="D235:D237"/>
    <mergeCell ref="E235:E237"/>
    <mergeCell ref="F235:F237"/>
    <mergeCell ref="G235:G237"/>
    <mergeCell ref="H235:H237"/>
    <mergeCell ref="L235:L237"/>
    <mergeCell ref="H227:H231"/>
    <mergeCell ref="L227:L231"/>
    <mergeCell ref="M227:M231"/>
    <mergeCell ref="A232:A234"/>
    <mergeCell ref="B232:C234"/>
    <mergeCell ref="D232:D234"/>
    <mergeCell ref="E232:E234"/>
    <mergeCell ref="F232:F234"/>
    <mergeCell ref="G232:G234"/>
    <mergeCell ref="H232:H234"/>
    <mergeCell ref="G222:G226"/>
    <mergeCell ref="H222:H226"/>
    <mergeCell ref="L222:L226"/>
    <mergeCell ref="M222:M226"/>
    <mergeCell ref="A227:A231"/>
    <mergeCell ref="B227:C231"/>
    <mergeCell ref="D227:D231"/>
    <mergeCell ref="E227:E231"/>
    <mergeCell ref="F227:F231"/>
    <mergeCell ref="G227:G231"/>
    <mergeCell ref="B221:C221"/>
    <mergeCell ref="A222:A226"/>
    <mergeCell ref="B222:C226"/>
    <mergeCell ref="D222:D226"/>
    <mergeCell ref="E222:E226"/>
    <mergeCell ref="F222:F226"/>
    <mergeCell ref="M215:M217"/>
    <mergeCell ref="A218:A220"/>
    <mergeCell ref="B218:C220"/>
    <mergeCell ref="D218:D220"/>
    <mergeCell ref="E218:E220"/>
    <mergeCell ref="F218:F220"/>
    <mergeCell ref="G218:G220"/>
    <mergeCell ref="H218:H220"/>
    <mergeCell ref="L218:L220"/>
    <mergeCell ref="M218:M220"/>
    <mergeCell ref="M211:M213"/>
    <mergeCell ref="B214:C214"/>
    <mergeCell ref="A215:A217"/>
    <mergeCell ref="B215:C217"/>
    <mergeCell ref="D215:D217"/>
    <mergeCell ref="E215:E217"/>
    <mergeCell ref="F215:F217"/>
    <mergeCell ref="G215:G217"/>
    <mergeCell ref="H215:H217"/>
    <mergeCell ref="L215:L217"/>
    <mergeCell ref="L207:L210"/>
    <mergeCell ref="M207:M210"/>
    <mergeCell ref="A211:A213"/>
    <mergeCell ref="B211:C213"/>
    <mergeCell ref="D211:D213"/>
    <mergeCell ref="E211:E213"/>
    <mergeCell ref="F211:F213"/>
    <mergeCell ref="G211:G213"/>
    <mergeCell ref="H211:H213"/>
    <mergeCell ref="L211:L213"/>
    <mergeCell ref="H203:H206"/>
    <mergeCell ref="L203:L206"/>
    <mergeCell ref="M203:M206"/>
    <mergeCell ref="A207:A210"/>
    <mergeCell ref="B207:C210"/>
    <mergeCell ref="D207:D210"/>
    <mergeCell ref="E207:E210"/>
    <mergeCell ref="F207:F210"/>
    <mergeCell ref="G207:G210"/>
    <mergeCell ref="H207:H210"/>
    <mergeCell ref="G197:G202"/>
    <mergeCell ref="H197:H202"/>
    <mergeCell ref="L197:L202"/>
    <mergeCell ref="M197:M202"/>
    <mergeCell ref="A203:A206"/>
    <mergeCell ref="B203:C206"/>
    <mergeCell ref="D203:D206"/>
    <mergeCell ref="E203:E206"/>
    <mergeCell ref="F203:F206"/>
    <mergeCell ref="G203:G206"/>
    <mergeCell ref="H192:H194"/>
    <mergeCell ref="L192:L194"/>
    <mergeCell ref="M192:M194"/>
    <mergeCell ref="B195:C195"/>
    <mergeCell ref="B196:C196"/>
    <mergeCell ref="A197:A202"/>
    <mergeCell ref="B197:C202"/>
    <mergeCell ref="D197:D202"/>
    <mergeCell ref="E197:E202"/>
    <mergeCell ref="F197:F202"/>
    <mergeCell ref="G189:G191"/>
    <mergeCell ref="H189:H191"/>
    <mergeCell ref="L189:L191"/>
    <mergeCell ref="M189:M191"/>
    <mergeCell ref="A192:A194"/>
    <mergeCell ref="B192:C194"/>
    <mergeCell ref="D192:D194"/>
    <mergeCell ref="E192:E194"/>
    <mergeCell ref="F192:F194"/>
    <mergeCell ref="G192:G194"/>
    <mergeCell ref="H183:H186"/>
    <mergeCell ref="L183:L186"/>
    <mergeCell ref="M183:M186"/>
    <mergeCell ref="B187:C187"/>
    <mergeCell ref="B188:C188"/>
    <mergeCell ref="A189:A191"/>
    <mergeCell ref="B189:C191"/>
    <mergeCell ref="D189:D191"/>
    <mergeCell ref="E189:E191"/>
    <mergeCell ref="F189:F191"/>
    <mergeCell ref="H176:H181"/>
    <mergeCell ref="L176:L181"/>
    <mergeCell ref="M176:M181"/>
    <mergeCell ref="B182:C182"/>
    <mergeCell ref="A183:A186"/>
    <mergeCell ref="B183:C186"/>
    <mergeCell ref="D183:D186"/>
    <mergeCell ref="E183:E186"/>
    <mergeCell ref="F183:F186"/>
    <mergeCell ref="G183:G186"/>
    <mergeCell ref="A176:A181"/>
    <mergeCell ref="B176:C181"/>
    <mergeCell ref="D176:D181"/>
    <mergeCell ref="E176:E181"/>
    <mergeCell ref="F176:F181"/>
    <mergeCell ref="G176:G181"/>
    <mergeCell ref="M167:M172"/>
    <mergeCell ref="A173:A175"/>
    <mergeCell ref="B173:C175"/>
    <mergeCell ref="D173:D175"/>
    <mergeCell ref="E173:E175"/>
    <mergeCell ref="F173:F175"/>
    <mergeCell ref="G173:G175"/>
    <mergeCell ref="H173:H175"/>
    <mergeCell ref="L173:L175"/>
    <mergeCell ref="M173:M175"/>
    <mergeCell ref="L162:L166"/>
    <mergeCell ref="M162:M166"/>
    <mergeCell ref="A167:A172"/>
    <mergeCell ref="B167:C172"/>
    <mergeCell ref="D167:D172"/>
    <mergeCell ref="E167:E172"/>
    <mergeCell ref="F167:F172"/>
    <mergeCell ref="G167:G172"/>
    <mergeCell ref="H167:H172"/>
    <mergeCell ref="L167:L172"/>
    <mergeCell ref="H157:H161"/>
    <mergeCell ref="L157:L161"/>
    <mergeCell ref="M157:M161"/>
    <mergeCell ref="A162:A166"/>
    <mergeCell ref="B162:C166"/>
    <mergeCell ref="D162:D166"/>
    <mergeCell ref="E162:E166"/>
    <mergeCell ref="F162:F166"/>
    <mergeCell ref="G162:G166"/>
    <mergeCell ref="H162:H166"/>
    <mergeCell ref="A157:A161"/>
    <mergeCell ref="B157:C161"/>
    <mergeCell ref="D157:D161"/>
    <mergeCell ref="E157:E161"/>
    <mergeCell ref="F157:F161"/>
    <mergeCell ref="G157:G161"/>
    <mergeCell ref="H148:H152"/>
    <mergeCell ref="L148:L152"/>
    <mergeCell ref="M148:M152"/>
    <mergeCell ref="A153:A156"/>
    <mergeCell ref="B153:C156"/>
    <mergeCell ref="F153:F156"/>
    <mergeCell ref="G153:G156"/>
    <mergeCell ref="H153:H156"/>
    <mergeCell ref="L153:L156"/>
    <mergeCell ref="M153:M156"/>
    <mergeCell ref="A148:A152"/>
    <mergeCell ref="B148:C152"/>
    <mergeCell ref="D148:D152"/>
    <mergeCell ref="E148:E152"/>
    <mergeCell ref="F148:F152"/>
    <mergeCell ref="G148:G152"/>
    <mergeCell ref="M138:M141"/>
    <mergeCell ref="A142:A147"/>
    <mergeCell ref="B142:C147"/>
    <mergeCell ref="D142:D147"/>
    <mergeCell ref="E142:E147"/>
    <mergeCell ref="F142:F147"/>
    <mergeCell ref="G142:G147"/>
    <mergeCell ref="H142:H147"/>
    <mergeCell ref="L142:L147"/>
    <mergeCell ref="M142:M147"/>
    <mergeCell ref="L132:L137"/>
    <mergeCell ref="M132:M137"/>
    <mergeCell ref="A138:A141"/>
    <mergeCell ref="B138:C141"/>
    <mergeCell ref="D138:D141"/>
    <mergeCell ref="E138:E141"/>
    <mergeCell ref="F138:F141"/>
    <mergeCell ref="G138:G141"/>
    <mergeCell ref="H138:H141"/>
    <mergeCell ref="L138:L141"/>
    <mergeCell ref="L126:L130"/>
    <mergeCell ref="M126:M130"/>
    <mergeCell ref="B131:C131"/>
    <mergeCell ref="A132:A137"/>
    <mergeCell ref="B132:C137"/>
    <mergeCell ref="D132:D137"/>
    <mergeCell ref="E132:E137"/>
    <mergeCell ref="F132:F137"/>
    <mergeCell ref="G132:G137"/>
    <mergeCell ref="H132:H137"/>
    <mergeCell ref="H115:H125"/>
    <mergeCell ref="L115:L125"/>
    <mergeCell ref="M115:M125"/>
    <mergeCell ref="A126:A130"/>
    <mergeCell ref="B126:C130"/>
    <mergeCell ref="D126:D130"/>
    <mergeCell ref="E126:E130"/>
    <mergeCell ref="F126:F130"/>
    <mergeCell ref="G126:G130"/>
    <mergeCell ref="H126:H130"/>
    <mergeCell ref="A115:A125"/>
    <mergeCell ref="B115:C125"/>
    <mergeCell ref="D115:D125"/>
    <mergeCell ref="E115:E125"/>
    <mergeCell ref="F115:F125"/>
    <mergeCell ref="G115:G125"/>
    <mergeCell ref="M99:M111"/>
    <mergeCell ref="A112:A114"/>
    <mergeCell ref="B112:C114"/>
    <mergeCell ref="D112:D114"/>
    <mergeCell ref="E112:E114"/>
    <mergeCell ref="F112:F114"/>
    <mergeCell ref="G112:G114"/>
    <mergeCell ref="H112:H114"/>
    <mergeCell ref="L112:L114"/>
    <mergeCell ref="M112:M114"/>
    <mergeCell ref="L93:L98"/>
    <mergeCell ref="M93:M98"/>
    <mergeCell ref="A99:A111"/>
    <mergeCell ref="B99:C111"/>
    <mergeCell ref="D99:D111"/>
    <mergeCell ref="E99:E111"/>
    <mergeCell ref="F99:F111"/>
    <mergeCell ref="G99:G111"/>
    <mergeCell ref="H99:H111"/>
    <mergeCell ref="L99:L111"/>
    <mergeCell ref="H90:H92"/>
    <mergeCell ref="L90:L92"/>
    <mergeCell ref="M90:M92"/>
    <mergeCell ref="A93:A98"/>
    <mergeCell ref="B93:C98"/>
    <mergeCell ref="D93:D98"/>
    <mergeCell ref="E93:E98"/>
    <mergeCell ref="F93:F98"/>
    <mergeCell ref="G93:G98"/>
    <mergeCell ref="H93:H98"/>
    <mergeCell ref="H86:H88"/>
    <mergeCell ref="L86:L88"/>
    <mergeCell ref="M86:M88"/>
    <mergeCell ref="B89:C89"/>
    <mergeCell ref="A90:A92"/>
    <mergeCell ref="B90:C92"/>
    <mergeCell ref="D90:D92"/>
    <mergeCell ref="E90:E92"/>
    <mergeCell ref="F90:F92"/>
    <mergeCell ref="G90:G92"/>
    <mergeCell ref="A86:A88"/>
    <mergeCell ref="B86:C88"/>
    <mergeCell ref="D86:D88"/>
    <mergeCell ref="E86:E88"/>
    <mergeCell ref="F86:F88"/>
    <mergeCell ref="G86:G88"/>
    <mergeCell ref="M73:M78"/>
    <mergeCell ref="A79:A85"/>
    <mergeCell ref="B79:C85"/>
    <mergeCell ref="D79:D85"/>
    <mergeCell ref="E79:E85"/>
    <mergeCell ref="F79:F85"/>
    <mergeCell ref="G79:G85"/>
    <mergeCell ref="H79:H85"/>
    <mergeCell ref="L79:L85"/>
    <mergeCell ref="M79:M85"/>
    <mergeCell ref="L68:L72"/>
    <mergeCell ref="M68:M72"/>
    <mergeCell ref="A73:A78"/>
    <mergeCell ref="B73:C78"/>
    <mergeCell ref="D73:D78"/>
    <mergeCell ref="E73:E78"/>
    <mergeCell ref="F73:F78"/>
    <mergeCell ref="G73:G78"/>
    <mergeCell ref="H73:H78"/>
    <mergeCell ref="L73:L78"/>
    <mergeCell ref="H65:H67"/>
    <mergeCell ref="L65:L67"/>
    <mergeCell ref="M65:M67"/>
    <mergeCell ref="A68:A72"/>
    <mergeCell ref="B68:C72"/>
    <mergeCell ref="D68:D72"/>
    <mergeCell ref="E68:E72"/>
    <mergeCell ref="F68:F72"/>
    <mergeCell ref="G68:G72"/>
    <mergeCell ref="H68:H72"/>
    <mergeCell ref="A65:A67"/>
    <mergeCell ref="B65:C67"/>
    <mergeCell ref="D65:D67"/>
    <mergeCell ref="E65:E67"/>
    <mergeCell ref="F65:F67"/>
    <mergeCell ref="G65:G67"/>
    <mergeCell ref="M49:M51"/>
    <mergeCell ref="A52:A64"/>
    <mergeCell ref="B52:C64"/>
    <mergeCell ref="D52:D64"/>
    <mergeCell ref="E52:E64"/>
    <mergeCell ref="F52:F64"/>
    <mergeCell ref="G52:G64"/>
    <mergeCell ref="H52:H64"/>
    <mergeCell ref="L52:L64"/>
    <mergeCell ref="M52:M64"/>
    <mergeCell ref="L46:L48"/>
    <mergeCell ref="M46:M48"/>
    <mergeCell ref="A49:A51"/>
    <mergeCell ref="B49:C51"/>
    <mergeCell ref="D49:D51"/>
    <mergeCell ref="E49:E51"/>
    <mergeCell ref="F49:F51"/>
    <mergeCell ref="G49:G51"/>
    <mergeCell ref="H49:H51"/>
    <mergeCell ref="L49:L51"/>
    <mergeCell ref="H40:H45"/>
    <mergeCell ref="L40:L45"/>
    <mergeCell ref="M40:M45"/>
    <mergeCell ref="A46:A48"/>
    <mergeCell ref="B46:C48"/>
    <mergeCell ref="D46:D48"/>
    <mergeCell ref="E46:E48"/>
    <mergeCell ref="F46:F48"/>
    <mergeCell ref="G46:G48"/>
    <mergeCell ref="H46:H48"/>
    <mergeCell ref="A40:A45"/>
    <mergeCell ref="B40:C45"/>
    <mergeCell ref="D40:D45"/>
    <mergeCell ref="E40:E45"/>
    <mergeCell ref="F40:F45"/>
    <mergeCell ref="G40:G45"/>
    <mergeCell ref="M31:M34"/>
    <mergeCell ref="A35:A39"/>
    <mergeCell ref="B35:C39"/>
    <mergeCell ref="D35:D39"/>
    <mergeCell ref="E35:E39"/>
    <mergeCell ref="F35:F39"/>
    <mergeCell ref="G35:G39"/>
    <mergeCell ref="H35:H39"/>
    <mergeCell ref="L35:L39"/>
    <mergeCell ref="M35:M39"/>
    <mergeCell ref="L26:L30"/>
    <mergeCell ref="M26:M30"/>
    <mergeCell ref="A31:A34"/>
    <mergeCell ref="B31:C34"/>
    <mergeCell ref="D31:D34"/>
    <mergeCell ref="E31:E34"/>
    <mergeCell ref="F31:F34"/>
    <mergeCell ref="G31:G34"/>
    <mergeCell ref="H31:H34"/>
    <mergeCell ref="L31:L34"/>
    <mergeCell ref="H21:H25"/>
    <mergeCell ref="L21:L25"/>
    <mergeCell ref="M21:M25"/>
    <mergeCell ref="A26:A30"/>
    <mergeCell ref="B26:C30"/>
    <mergeCell ref="D26:D30"/>
    <mergeCell ref="E26:E30"/>
    <mergeCell ref="F26:F30"/>
    <mergeCell ref="G26:G30"/>
    <mergeCell ref="H26:H30"/>
    <mergeCell ref="A21:A25"/>
    <mergeCell ref="B21:C25"/>
    <mergeCell ref="D21:D25"/>
    <mergeCell ref="E21:E25"/>
    <mergeCell ref="F21:F25"/>
    <mergeCell ref="G21:G25"/>
    <mergeCell ref="M6:M11"/>
    <mergeCell ref="A12:A20"/>
    <mergeCell ref="B12:C20"/>
    <mergeCell ref="D12:D20"/>
    <mergeCell ref="E12:E20"/>
    <mergeCell ref="F12:F20"/>
    <mergeCell ref="G12:G20"/>
    <mergeCell ref="H12:H20"/>
    <mergeCell ref="L12:L20"/>
    <mergeCell ref="M12:M20"/>
    <mergeCell ref="L4:L5"/>
    <mergeCell ref="M4:M5"/>
    <mergeCell ref="A6:A11"/>
    <mergeCell ref="B6:C11"/>
    <mergeCell ref="D6:D11"/>
    <mergeCell ref="E6:E11"/>
    <mergeCell ref="F6:F11"/>
    <mergeCell ref="G6:G11"/>
    <mergeCell ref="H6:H11"/>
    <mergeCell ref="L6:L11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L2:M2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2022-04-12T03:33:59Z</dcterms:created>
  <dcterms:modified xsi:type="dcterms:W3CDTF">2022-04-12T03:34:13Z</dcterms:modified>
</cp:coreProperties>
</file>