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1.4" sheetId="1" r:id="rId1"/>
    <sheet name="รายละเอียด 1.1.4" sheetId="2" r:id="rId2"/>
  </sheets>
  <externalReferences>
    <externalReference r:id="rId3"/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2" l="1"/>
  <c r="H112" i="2"/>
  <c r="F112" i="2"/>
  <c r="G112" i="2" s="1"/>
  <c r="F111" i="2"/>
  <c r="G111" i="2" s="1"/>
  <c r="H110" i="2"/>
  <c r="H113" i="2" s="1"/>
  <c r="I113" i="2" s="1"/>
  <c r="F110" i="2"/>
  <c r="F113" i="2" s="1"/>
  <c r="E108" i="2"/>
  <c r="G107" i="2"/>
  <c r="F107" i="2"/>
  <c r="H106" i="2"/>
  <c r="F106" i="2"/>
  <c r="G106" i="2" s="1"/>
  <c r="H105" i="2"/>
  <c r="F105" i="2"/>
  <c r="G105" i="2" s="1"/>
  <c r="G104" i="2"/>
  <c r="F104" i="2"/>
  <c r="H103" i="2"/>
  <c r="F103" i="2"/>
  <c r="G103" i="2" s="1"/>
  <c r="H102" i="2"/>
  <c r="H108" i="2" s="1"/>
  <c r="I108" i="2" s="1"/>
  <c r="F102" i="2"/>
  <c r="F108" i="2" s="1"/>
  <c r="E100" i="2"/>
  <c r="H99" i="2"/>
  <c r="F99" i="2"/>
  <c r="G99" i="2" s="1"/>
  <c r="G98" i="2"/>
  <c r="F98" i="2"/>
  <c r="H97" i="2"/>
  <c r="H100" i="2" s="1"/>
  <c r="I100" i="2" s="1"/>
  <c r="G97" i="2"/>
  <c r="F97" i="2"/>
  <c r="G96" i="2"/>
  <c r="F96" i="2"/>
  <c r="F100" i="2" s="1"/>
  <c r="H94" i="2"/>
  <c r="I94" i="2" s="1"/>
  <c r="E94" i="2"/>
  <c r="F93" i="2"/>
  <c r="F94" i="2" s="1"/>
  <c r="G94" i="2" s="1"/>
  <c r="E91" i="2"/>
  <c r="F90" i="2"/>
  <c r="G90" i="2" s="1"/>
  <c r="H89" i="2"/>
  <c r="F89" i="2"/>
  <c r="G89" i="2" s="1"/>
  <c r="H88" i="2"/>
  <c r="H91" i="2" s="1"/>
  <c r="I91" i="2" s="1"/>
  <c r="F88" i="2"/>
  <c r="F91" i="2" s="1"/>
  <c r="H86" i="2"/>
  <c r="I86" i="2" s="1"/>
  <c r="E86" i="2"/>
  <c r="G85" i="2"/>
  <c r="F85" i="2"/>
  <c r="F84" i="2"/>
  <c r="G84" i="2" s="1"/>
  <c r="F83" i="2"/>
  <c r="G83" i="2" s="1"/>
  <c r="E83" i="2"/>
  <c r="F82" i="2"/>
  <c r="F86" i="2" s="1"/>
  <c r="H80" i="2"/>
  <c r="I80" i="2" s="1"/>
  <c r="E80" i="2"/>
  <c r="F79" i="2"/>
  <c r="F80" i="2" s="1"/>
  <c r="E77" i="2"/>
  <c r="G76" i="2"/>
  <c r="F76" i="2"/>
  <c r="F75" i="2"/>
  <c r="G75" i="2" s="1"/>
  <c r="H74" i="2"/>
  <c r="F74" i="2"/>
  <c r="G74" i="2" s="1"/>
  <c r="H73" i="2"/>
  <c r="G73" i="2"/>
  <c r="F73" i="2"/>
  <c r="H72" i="2"/>
  <c r="H77" i="2" s="1"/>
  <c r="I77" i="2" s="1"/>
  <c r="G72" i="2"/>
  <c r="F72" i="2"/>
  <c r="F77" i="2" s="1"/>
  <c r="H70" i="2"/>
  <c r="I70" i="2" s="1"/>
  <c r="E70" i="2"/>
  <c r="F69" i="2"/>
  <c r="G69" i="2" s="1"/>
  <c r="G68" i="2"/>
  <c r="F68" i="2"/>
  <c r="G67" i="2"/>
  <c r="F67" i="2"/>
  <c r="G66" i="2"/>
  <c r="F66" i="2"/>
  <c r="F65" i="2"/>
  <c r="F70" i="2" s="1"/>
  <c r="E65" i="2"/>
  <c r="F64" i="2"/>
  <c r="G64" i="2" s="1"/>
  <c r="H62" i="2"/>
  <c r="I62" i="2" s="1"/>
  <c r="E62" i="2"/>
  <c r="G61" i="2"/>
  <c r="F61" i="2"/>
  <c r="G60" i="2"/>
  <c r="F60" i="2"/>
  <c r="G59" i="2"/>
  <c r="F59" i="2"/>
  <c r="F58" i="2"/>
  <c r="G58" i="2" s="1"/>
  <c r="G57" i="2"/>
  <c r="F57" i="2"/>
  <c r="G56" i="2"/>
  <c r="F56" i="2"/>
  <c r="G55" i="2"/>
  <c r="F55" i="2"/>
  <c r="F54" i="2"/>
  <c r="F62" i="2" s="1"/>
  <c r="G53" i="2"/>
  <c r="F53" i="2"/>
  <c r="G52" i="2"/>
  <c r="F52" i="2"/>
  <c r="I50" i="2"/>
  <c r="H50" i="2"/>
  <c r="F50" i="2"/>
  <c r="E50" i="2"/>
  <c r="F49" i="2"/>
  <c r="G49" i="2" s="1"/>
  <c r="F48" i="2"/>
  <c r="G48" i="2" s="1"/>
  <c r="F47" i="2"/>
  <c r="G47" i="2" s="1"/>
  <c r="G46" i="2"/>
  <c r="F46" i="2"/>
  <c r="F45" i="2"/>
  <c r="G45" i="2" s="1"/>
  <c r="F44" i="2"/>
  <c r="G44" i="2" s="1"/>
  <c r="F43" i="2"/>
  <c r="G43" i="2" s="1"/>
  <c r="G42" i="2"/>
  <c r="F42" i="2"/>
  <c r="F41" i="2"/>
  <c r="G41" i="2" s="1"/>
  <c r="H39" i="2"/>
  <c r="I39" i="2" s="1"/>
  <c r="E39" i="2"/>
  <c r="F38" i="2"/>
  <c r="G38" i="2" s="1"/>
  <c r="F37" i="2"/>
  <c r="G37" i="2" s="1"/>
  <c r="G36" i="2"/>
  <c r="F36" i="2"/>
  <c r="F35" i="2"/>
  <c r="F39" i="2" s="1"/>
  <c r="F34" i="2"/>
  <c r="G34" i="2" s="1"/>
  <c r="F33" i="2"/>
  <c r="G33" i="2" s="1"/>
  <c r="G32" i="2"/>
  <c r="F32" i="2"/>
  <c r="H30" i="2"/>
  <c r="I30" i="2" s="1"/>
  <c r="E30" i="2"/>
  <c r="E114" i="2" s="1"/>
  <c r="H29" i="2"/>
  <c r="G29" i="2"/>
  <c r="F29" i="2"/>
  <c r="F28" i="2"/>
  <c r="G28" i="2" s="1"/>
  <c r="F27" i="2"/>
  <c r="G27" i="2" s="1"/>
  <c r="G26" i="2"/>
  <c r="F26" i="2"/>
  <c r="H25" i="2"/>
  <c r="F25" i="2"/>
  <c r="G25" i="2" s="1"/>
  <c r="G24" i="2"/>
  <c r="F24" i="2"/>
  <c r="F23" i="2"/>
  <c r="G23" i="2" s="1"/>
  <c r="H22" i="2"/>
  <c r="G22" i="2"/>
  <c r="F21" i="2"/>
  <c r="G21" i="2" s="1"/>
  <c r="G20" i="2"/>
  <c r="F20" i="2"/>
  <c r="F19" i="2"/>
  <c r="G19" i="2" s="1"/>
  <c r="G18" i="2"/>
  <c r="G17" i="2"/>
  <c r="F17" i="2"/>
  <c r="F16" i="2"/>
  <c r="G16" i="2" s="1"/>
  <c r="H15" i="2"/>
  <c r="F15" i="2"/>
  <c r="F30" i="2" s="1"/>
  <c r="H13" i="2"/>
  <c r="I12" i="2"/>
  <c r="G12" i="2"/>
  <c r="F12" i="2"/>
  <c r="F11" i="2"/>
  <c r="G11" i="2" s="1"/>
  <c r="I11" i="2" s="1"/>
  <c r="F10" i="2"/>
  <c r="F13" i="2" s="1"/>
  <c r="F9" i="2"/>
  <c r="G9" i="2" s="1"/>
  <c r="I9" i="2" s="1"/>
  <c r="G8" i="2"/>
  <c r="I8" i="2" s="1"/>
  <c r="F8" i="2"/>
  <c r="G7" i="2"/>
  <c r="I7" i="2" s="1"/>
  <c r="F7" i="2"/>
  <c r="F6" i="2"/>
  <c r="G6" i="2" s="1"/>
  <c r="D41" i="1"/>
  <c r="C41" i="1"/>
  <c r="A41" i="1"/>
  <c r="D40" i="1"/>
  <c r="C40" i="1"/>
  <c r="A40" i="1"/>
  <c r="D39" i="1"/>
  <c r="C39" i="1"/>
  <c r="A39" i="1"/>
  <c r="E38" i="1"/>
  <c r="D38" i="1"/>
  <c r="C38" i="1"/>
  <c r="A38" i="1"/>
  <c r="D37" i="1"/>
  <c r="C37" i="1"/>
  <c r="A37" i="1"/>
  <c r="E36" i="1"/>
  <c r="D36" i="1"/>
  <c r="C36" i="1"/>
  <c r="A36" i="1"/>
  <c r="D35" i="1"/>
  <c r="C35" i="1"/>
  <c r="A35" i="1"/>
  <c r="D34" i="1"/>
  <c r="C34" i="1"/>
  <c r="A34" i="1"/>
  <c r="D33" i="1"/>
  <c r="C33" i="1"/>
  <c r="A33" i="1"/>
  <c r="D32" i="1"/>
  <c r="C32" i="1"/>
  <c r="A32" i="1"/>
  <c r="D31" i="1"/>
  <c r="C31" i="1"/>
  <c r="A31" i="1"/>
  <c r="E30" i="1"/>
  <c r="D30" i="1"/>
  <c r="C30" i="1"/>
  <c r="A30" i="1"/>
  <c r="D29" i="1"/>
  <c r="C29" i="1"/>
  <c r="A29" i="1"/>
  <c r="E28" i="1"/>
  <c r="D28" i="1"/>
  <c r="C28" i="1"/>
  <c r="A28" i="1"/>
  <c r="D27" i="1"/>
  <c r="C27" i="1"/>
  <c r="A27" i="1"/>
  <c r="D26" i="1"/>
  <c r="C26" i="1"/>
  <c r="B26" i="1"/>
  <c r="A26" i="1"/>
  <c r="H22" i="1"/>
  <c r="E18" i="1"/>
  <c r="E40" i="1" s="1"/>
  <c r="E17" i="1"/>
  <c r="E39" i="1" s="1"/>
  <c r="E16" i="1"/>
  <c r="F16" i="1" s="1"/>
  <c r="E15" i="1"/>
  <c r="E37" i="1" s="1"/>
  <c r="E14" i="1"/>
  <c r="F14" i="1" s="1"/>
  <c r="E13" i="1"/>
  <c r="E35" i="1" s="1"/>
  <c r="E12" i="1"/>
  <c r="E34" i="1" s="1"/>
  <c r="E11" i="1"/>
  <c r="E33" i="1" s="1"/>
  <c r="E10" i="1"/>
  <c r="E32" i="1" s="1"/>
  <c r="E9" i="1"/>
  <c r="E31" i="1" s="1"/>
  <c r="E8" i="1"/>
  <c r="F8" i="1" s="1"/>
  <c r="E7" i="1"/>
  <c r="E29" i="1" s="1"/>
  <c r="E6" i="1"/>
  <c r="F6" i="1" s="1"/>
  <c r="E5" i="1"/>
  <c r="E27" i="1" s="1"/>
  <c r="G14" i="1" l="1"/>
  <c r="H14" i="1" s="1"/>
  <c r="F36" i="1"/>
  <c r="G16" i="1"/>
  <c r="H16" i="1" s="1"/>
  <c r="F38" i="1"/>
  <c r="I6" i="2"/>
  <c r="G13" i="2"/>
  <c r="G50" i="2"/>
  <c r="G77" i="2"/>
  <c r="F114" i="2"/>
  <c r="G8" i="1"/>
  <c r="H8" i="1" s="1"/>
  <c r="F30" i="1"/>
  <c r="G100" i="2"/>
  <c r="G6" i="1"/>
  <c r="H6" i="1" s="1"/>
  <c r="F28" i="1"/>
  <c r="H114" i="2"/>
  <c r="I114" i="2" s="1"/>
  <c r="F5" i="1"/>
  <c r="F7" i="1"/>
  <c r="F9" i="1"/>
  <c r="F11" i="1"/>
  <c r="F13" i="1"/>
  <c r="F15" i="1"/>
  <c r="F17" i="1"/>
  <c r="G10" i="2"/>
  <c r="I10" i="2" s="1"/>
  <c r="G35" i="2"/>
  <c r="G39" i="2" s="1"/>
  <c r="G54" i="2"/>
  <c r="G62" i="2" s="1"/>
  <c r="G65" i="2"/>
  <c r="G70" i="2" s="1"/>
  <c r="G82" i="2"/>
  <c r="G86" i="2" s="1"/>
  <c r="G79" i="2"/>
  <c r="G80" i="2" s="1"/>
  <c r="G102" i="2"/>
  <c r="G108" i="2" s="1"/>
  <c r="E19" i="1"/>
  <c r="I13" i="2"/>
  <c r="G93" i="2"/>
  <c r="F10" i="1"/>
  <c r="F12" i="1"/>
  <c r="F18" i="1"/>
  <c r="G15" i="2"/>
  <c r="G30" i="2" s="1"/>
  <c r="G88" i="2"/>
  <c r="G91" i="2" s="1"/>
  <c r="G110" i="2"/>
  <c r="G113" i="2" s="1"/>
  <c r="F37" i="1" l="1"/>
  <c r="G15" i="1"/>
  <c r="H15" i="1" s="1"/>
  <c r="G114" i="2"/>
  <c r="F35" i="1"/>
  <c r="G13" i="1"/>
  <c r="H13" i="1" s="1"/>
  <c r="F40" i="1"/>
  <c r="G18" i="1"/>
  <c r="H18" i="1" s="1"/>
  <c r="F33" i="1"/>
  <c r="G11" i="1"/>
  <c r="H11" i="1" s="1"/>
  <c r="G17" i="1"/>
  <c r="H17" i="1" s="1"/>
  <c r="F39" i="1"/>
  <c r="G9" i="1"/>
  <c r="H9" i="1" s="1"/>
  <c r="F31" i="1"/>
  <c r="E41" i="1"/>
  <c r="F19" i="1"/>
  <c r="G12" i="1"/>
  <c r="H12" i="1" s="1"/>
  <c r="F34" i="1"/>
  <c r="F32" i="1"/>
  <c r="G10" i="1"/>
  <c r="H10" i="1" s="1"/>
  <c r="F27" i="1"/>
  <c r="G5" i="1"/>
  <c r="H5" i="1" s="1"/>
  <c r="F29" i="1"/>
  <c r="G7" i="1"/>
  <c r="H7" i="1" s="1"/>
  <c r="F41" i="1" l="1"/>
  <c r="G19" i="1"/>
  <c r="H19" i="1" s="1"/>
</calcChain>
</file>

<file path=xl/comments1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1"/>
            <color theme="1"/>
            <rFont val="Tahoma"/>
            <family val="2"/>
          </rPr>
          <t>======
ID#AAAANwPrZ8M
plans    (2021-08-23 12:53:39)
นักศึกษาแรกเข้าปีการศึกษา 2560 คณะครุศาสตร์+วิทยาลัยสถาปัตยกรรมศาสตร์ และนักศึกษาแรกเข้าปีการศึกษา 2561 หน่วยงานจัดการศึกษาอื่นๆ</t>
        </r>
      </text>
    </comment>
  </commentList>
</comments>
</file>

<file path=xl/sharedStrings.xml><?xml version="1.0" encoding="utf-8"?>
<sst xmlns="http://schemas.openxmlformats.org/spreadsheetml/2006/main" count="315" uniqueCount="207">
  <si>
    <t>ตัวชี้วัด</t>
  </si>
  <si>
    <t>1.1.4 จำนวนผู้เรียนสาขาวิชาที่เป็นความต้องการของประเทศ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</si>
  <si>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</si>
  <si>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</si>
  <si>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</si>
  <si>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</si>
  <si>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</si>
  <si>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</si>
  <si>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</si>
  <si>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</si>
  <si>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</si>
  <si>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</si>
  <si>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</si>
  <si>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</si>
  <si>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นักศึกษาที่จะสำเร็จการศึกษา 
ปีการศึกษา 2564</t>
  </si>
  <si>
    <t>ร้อยละการบรรลุเป้าหมายตัวชี้วัด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</si>
  <si>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</si>
  <si>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</si>
  <si>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</si>
  <si>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</si>
  <si>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ระดับมหาวิทยาลัย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</si>
  <si>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</si>
  <si>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</si>
  <si>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</si>
  <si>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</si>
  <si>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</si>
  <si>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</si>
  <si>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</si>
  <si>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</si>
  <si>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</si>
  <si>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</si>
  <si>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</si>
  <si>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ในระบบ smart student มีนักศึกษาสาขาการจัดการอุตสาหกรรมจบการศึกษา 1 สาขา จำนวน 2 คน</t>
  </si>
  <si>
    <t>6) คณะศิลปกรรมศาสตร์</t>
  </si>
  <si>
    <t>N/A</t>
  </si>
  <si>
    <t>ระดับหน่วยงาน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</si>
  <si>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</si>
  <si>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</si>
  <si>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</si>
  <si>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</si>
  <si>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</si>
  <si>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</si>
  <si>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</si>
  <si>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</si>
  <si>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</si>
  <si>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</si>
  <si>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1.1.4 (S) ระดับความสำเร็จของการดำเนินการตามแนวทางตามตัวชี้วัด จำนวนผู้เรียนสาขาวิชาที่เป็นความต้องการของประเทศ</t>
  </si>
  <si>
    <t>คะแนน</t>
  </si>
  <si>
    <t>ไม่พบหลักฐานในการดำเนินการ</t>
  </si>
  <si>
    <t>ห้ามลบ สรุปกราฟ</t>
  </si>
  <si>
    <t>จำนวนนักศึกษาที่จะสำเร็จการศึกษา 
ปีการศึกษา 2564</t>
  </si>
  <si>
    <t>ร้อยละการบรรลุเป้าหมาย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</si>
  <si>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</si>
  <si>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</si>
  <si>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</si>
  <si>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</si>
  <si>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</si>
  <si>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</si>
  <si>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</si>
  <si>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</si>
  <si>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</si>
  <si>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</si>
  <si>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</si>
  <si>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</si>
  <si>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</si>
  <si>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</si>
  <si>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</si>
  <si>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</si>
  <si>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</si>
  <si>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</si>
  <si>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จำนวนนักศึกษาแรกเข้าทั้งหมด</t>
  </si>
  <si>
    <t>จำนวนนักศึกษาที่คาดว่าจะสำเร็จการศึกษา(ไม่นับพ้นสภาพ ลาออก เกรดเฉลี่ยไม่ถึง)</t>
  </si>
  <si>
    <t>เป้าหมายนักศึกษาที่คาดว่าจะสำเร็จการศึกษา</t>
  </si>
  <si>
    <t>จำนวนนักศึกษาที่สำเร็จการศึกษาจริง</t>
  </si>
  <si>
    <t>คิดเป็นร้อยละ</t>
  </si>
  <si>
    <t>1. คณะครุศาสตร์</t>
  </si>
  <si>
    <t>ครุศาสตรบัณฑิต 4 ปี</t>
  </si>
  <si>
    <t>ภาษาไทย</t>
  </si>
  <si>
    <t>หลักสูตรปรับปรุง พ.ศ. 2560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</si>
  <si>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</si>
  <si>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</si>
  <si>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</si>
  <si>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</si>
  <si>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</t>
  </si>
  <si>
    <t>สังคมศึกษา</t>
  </si>
  <si>
    <t>หลักสูตรปรับปรุง พ.ศ. 2559</t>
  </si>
  <si>
    <t xml:space="preserve">รวม </t>
  </si>
  <si>
    <t>2. คณะวิทยาศาสตร์และเทคโนโลยี</t>
  </si>
  <si>
    <t>วิทยาศาสตรบัณฑิต</t>
  </si>
  <si>
    <t>วิทยาศาสตร์สิ่งแวดล้อม</t>
  </si>
  <si>
    <t>หลักสูตรปรับปรุง พ.ศ.2559</t>
  </si>
  <si>
    <t>จุลชีววิทยาอุตสาหกรรม</t>
  </si>
  <si>
    <t>หลักสูตรปรับปรุง พ.ศ.2558</t>
  </si>
  <si>
    <t>เคมี</t>
  </si>
  <si>
    <t>คณิตศาสตร์สารสนเทศ</t>
  </si>
  <si>
    <t>เทคโนโลยีชีวภาพ</t>
  </si>
  <si>
    <t>สถิติประยุกต์</t>
  </si>
  <si>
    <t>ชีววิทยา</t>
  </si>
  <si>
    <t>ฟิสิกส์ประยุกต์</t>
  </si>
  <si>
    <t xml:space="preserve">วิทยาการคอมพิวเตอร์ </t>
  </si>
  <si>
    <t>สารสนเทศศาสตร์</t>
  </si>
  <si>
    <t>หลักสูตรปรับปรุง พ.ศ.2560</t>
  </si>
  <si>
    <t xml:space="preserve">เทคโนโลยีสารสนเทศ  </t>
  </si>
  <si>
    <t xml:space="preserve">วิทยาศาสตร์และเทคโนโลยีการอาหาร </t>
  </si>
  <si>
    <t>คหกรรมศาสตร์</t>
  </si>
  <si>
    <t>นิติวิทยาศาสตร์</t>
  </si>
  <si>
    <t>หลักสูตรใหม่ พ.ศ. 2559</t>
  </si>
  <si>
    <t>วิทยาศาสตร์การกีฬาและสุขภาพ</t>
  </si>
  <si>
    <t>รวม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</si>
  <si>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</si>
  <si>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</si>
  <si>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</si>
  <si>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</si>
  <si>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</si>
  <si>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</si>
  <si>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</si>
  <si>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</si>
  <si>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</si>
  <si>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</si>
  <si>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</si>
  <si>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</si>
  <si>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</si>
  <si>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</si>
  <si>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</si>
  <si>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</si>
  <si>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</si>
  <si>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มาจากนวัตกรรม 31</t>
  </si>
  <si>
    <t>การเงินการธนาคาร</t>
  </si>
  <si>
    <t>ธุรกิจระหว่างประเทศ</t>
  </si>
  <si>
    <t>การบริหารทรัพยากรมนุษย์</t>
  </si>
  <si>
    <t>การประกอบการธุรกิจ</t>
  </si>
  <si>
    <t>การจัดการธุรกิจบริการ</t>
  </si>
  <si>
    <t>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</si>
  <si>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</si>
  <si>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</si>
  <si>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2558</t>
  </si>
  <si>
    <t>การจัดการอุตสาหกรรม</t>
  </si>
  <si>
    <t>เทคโนโลยีคอมพิวเตอร์เพื่องานสถาปัตยกรรม</t>
  </si>
  <si>
    <t>การบริหารทรัพยากรอาคาร</t>
  </si>
  <si>
    <t>อุตสาหกรรมการพิมพ์</t>
  </si>
  <si>
    <t>วิศวกรรมศาสตรบัณฑิต</t>
  </si>
  <si>
    <t>วิศวกรรมคอมพิวเตอร์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</si>
  <si>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</si>
  <si>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</si>
  <si>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</si>
  <si>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</si>
  <si>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</si>
  <si>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</si>
  <si>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</si>
  <si>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</si>
  <si>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</si>
  <si>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</si>
  <si>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</si>
  <si>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</si>
  <si>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</si>
  <si>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บริหารธุรกิจบัณฑิต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</si>
  <si>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</si>
  <si>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</si>
  <si>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</si>
  <si>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นวัตกรรมการค้าระหว่างประเทศ(หลักสูตรนานาชาติ)</t>
  </si>
  <si>
    <t>หลักสูตรใหม่ พ.ศ. 2561</t>
  </si>
  <si>
    <t>คอมพิวเตอร์ธุรกิจ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</si>
  <si>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</si>
  <si>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</si>
  <si>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</si>
  <si>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</si>
  <si>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</si>
  <si>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</si>
  <si>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</si>
  <si>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วิทยาศาสตร์สุขภาพ</t>
  </si>
  <si>
    <t>เลขานุการการแพทย์และสาธารณสุข</t>
  </si>
  <si>
    <t>การแพทย์แผนไทยประยุกต์บัณฑิต</t>
  </si>
  <si>
    <t>การแพทย์แผนไทยประยุกต์</t>
  </si>
  <si>
    <t>10. วิทยาลัยโลจิสติกส์และซัพพลายเชน</t>
  </si>
  <si>
    <t xml:space="preserve">การจัดการโลจิสติกส์ </t>
  </si>
  <si>
    <t>การจัดการซัพพลายเชนธุรกิจ</t>
  </si>
  <si>
    <t>การจัดการโลจิสติกส์ (หลักสูตรนานาชาติ)</t>
  </si>
  <si>
    <t>11. วิทยาลัยสถาปัตยกรรมศาสตร์</t>
  </si>
  <si>
    <t>สถาปัตยกรรมบัณฑิต</t>
  </si>
  <si>
    <t>สถาปัตยกรรม</t>
  </si>
  <si>
    <t>หลักสูตรใหม่ พ.ศ.2557</t>
  </si>
  <si>
    <t>12. วิทยาลัยการเมืองและการปกครอง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</si>
  <si>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</si>
  <si>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</si>
  <si>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</si>
  <si>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</si>
  <si>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</si>
  <si>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รัฐศาสตรบัณฑิต</t>
  </si>
  <si>
    <t>รัฐศาสตร์</t>
  </si>
  <si>
    <t>หลักสูตรปรับปรุง พ.ศ.2561</t>
  </si>
  <si>
    <t>มาจากนวัตกรรม 201</t>
  </si>
  <si>
    <t>13. วิทยาลัยการจัดการอุตสาหกรรมบริการ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</si>
  <si>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</si>
  <si>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</si>
  <si>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ธุรกิจการบิน (หลักสูตรนานาชาติ)</t>
  </si>
  <si>
    <t>การจัดการท่องเที่ยว (หลักสูตรนานาชาติ)</t>
  </si>
  <si>
    <t>การโรงแรม</t>
  </si>
  <si>
    <t>บริหารธุรกิจระหว่างประเทศ (หลักสูตรนานาชาติ)</t>
  </si>
  <si>
    <t>14. วิทยาลัยนิเทศศาสตร์</t>
  </si>
  <si>
    <t>นิเทศศาสตรบัณฑิต</t>
  </si>
  <si>
    <t>ศิลปบัณฑิต</t>
  </si>
  <si>
    <t>ศิลปภาพยนตร์</t>
  </si>
  <si>
    <t>หลักสูตรใหม่ พ.ศ.2555</t>
  </si>
  <si>
    <t>การสร้างสรรค์และสื่อดิจิทัล</t>
  </si>
  <si>
    <t>หลักสูตรใหม่ พ.ศ.2556</t>
  </si>
  <si>
    <t>รวมทั้งหมด</t>
  </si>
  <si>
    <t xml:space="preserve">หมายเหตุ ใช้จำนวนนักศึกษาที่คาดว่าจะสำเร็จการศึกษา 70% -ของนักศึกษาแรกเข้าทั้งหมดเป็นตัวหารเพื่อหาร้อยละ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</si>
</sst>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00B0F0"/>
        <bgColor rgb="FFB4C6E7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FEF2CB"/>
      </patternFill>
    </fill>
    <fill>
      <patternFill patternType="solid">
        <fgColor theme="7"/>
        <bgColor rgb="FFB4C6E7"/>
      </patternFill>
    </fill>
    <fill>
      <patternFill patternType="solid">
        <fgColor rgb="FFF088C6"/>
        <bgColor rgb="FFB4C6E7"/>
      </patternFill>
    </fill>
    <fill>
      <patternFill patternType="solid">
        <fgColor theme="5" tint="0.39997558519241921"/>
        <bgColor rgb="FFB4C6E7"/>
      </patternFill>
    </fill>
    <fill>
      <patternFill patternType="solid">
        <fgColor theme="5" tint="-0.249977111117893"/>
        <bgColor rgb="FFB4C6E7"/>
      </patternFill>
    </fill>
    <fill>
      <patternFill patternType="solid">
        <fgColor rgb="FFFFC000"/>
        <bgColor rgb="FFC5E0B3"/>
      </patternFill>
    </fill>
    <fill>
      <patternFill patternType="solid">
        <fgColor rgb="FFC5E0B3"/>
        <bgColor rgb="FFC5E0B3"/>
      </patternFill>
    </fill>
    <fill>
      <patternFill patternType="solid">
        <fgColor theme="9" tint="0.39997558519241921"/>
        <bgColor rgb="FFB4C6E7"/>
      </patternFill>
    </fill>
    <fill>
      <patternFill patternType="solid">
        <fgColor theme="5" tint="0.79998168889431442"/>
        <bgColor rgb="FFB4C6E7"/>
      </patternFill>
    </fill>
    <fill>
      <patternFill patternType="solid">
        <fgColor theme="4" tint="-0.249977111117893"/>
        <bgColor rgb="FFB4C6E7"/>
      </patternFill>
    </fill>
    <fill>
      <patternFill patternType="solid">
        <fgColor theme="0"/>
        <bgColor rgb="FFAEABAB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2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Alignment="1">
      <alignment horizontal="left" vertical="top"/>
    </xf>
    <xf numFmtId="0" fontId="4" fillId="7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8" borderId="4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9" borderId="0" xfId="0" applyFont="1" applyFill="1" applyBorder="1" applyAlignment="1">
      <alignment horizontal="center" vertical="top"/>
    </xf>
    <xf numFmtId="0" fontId="7" fillId="10" borderId="6" xfId="0" applyFont="1" applyFill="1" applyBorder="1"/>
    <xf numFmtId="0" fontId="7" fillId="0" borderId="0" xfId="0" applyFont="1" applyFill="1" applyBorder="1"/>
    <xf numFmtId="0" fontId="4" fillId="7" borderId="2" xfId="0" applyFont="1" applyFill="1" applyBorder="1" applyAlignment="1">
      <alignment horizontal="left" vertical="top"/>
    </xf>
    <xf numFmtId="0" fontId="8" fillId="11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7" borderId="12" xfId="0" applyNumberFormat="1" applyFont="1" applyFill="1" applyBorder="1" applyAlignment="1">
      <alignment horizontal="center" vertical="top" wrapText="1"/>
    </xf>
    <xf numFmtId="1" fontId="4" fillId="7" borderId="10" xfId="0" applyNumberFormat="1" applyFont="1" applyFill="1" applyBorder="1" applyAlignment="1">
      <alignment horizontal="center" vertical="top" wrapText="1"/>
    </xf>
    <xf numFmtId="2" fontId="4" fillId="7" borderId="10" xfId="0" applyNumberFormat="1" applyFont="1" applyFill="1" applyBorder="1" applyAlignment="1">
      <alignment horizontal="center" vertical="top" wrapText="1"/>
    </xf>
    <xf numFmtId="188" fontId="4" fillId="7" borderId="10" xfId="0" applyNumberFormat="1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horizontal="center" vertical="top" wrapText="1"/>
    </xf>
    <xf numFmtId="2" fontId="4" fillId="7" borderId="13" xfId="0" applyNumberFormat="1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1" fontId="4" fillId="7" borderId="0" xfId="0" applyNumberFormat="1" applyFont="1" applyFill="1" applyBorder="1" applyAlignment="1">
      <alignment horizontal="left" vertical="top"/>
    </xf>
    <xf numFmtId="2" fontId="4" fillId="7" borderId="0" xfId="0" applyNumberFormat="1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/>
    </xf>
    <xf numFmtId="0" fontId="4" fillId="7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10" fillId="7" borderId="17" xfId="0" applyNumberFormat="1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top" wrapText="1"/>
    </xf>
    <xf numFmtId="2" fontId="4" fillId="7" borderId="7" xfId="0" applyNumberFormat="1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12" fillId="13" borderId="16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" fontId="4" fillId="7" borderId="14" xfId="0" applyNumberFormat="1" applyFont="1" applyFill="1" applyBorder="1" applyAlignment="1">
      <alignment horizontal="center" vertical="top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1" fontId="13" fillId="3" borderId="14" xfId="0" applyNumberFormat="1" applyFont="1" applyFill="1" applyBorder="1" applyAlignment="1">
      <alignment horizontal="center" vertical="top" wrapText="1"/>
    </xf>
    <xf numFmtId="2" fontId="8" fillId="11" borderId="10" xfId="0" applyNumberFormat="1" applyFont="1" applyFill="1" applyBorder="1" applyAlignment="1">
      <alignment horizontal="center" vertical="top" wrapText="1"/>
    </xf>
    <xf numFmtId="188" fontId="8" fillId="11" borderId="10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5" fillId="6" borderId="0" xfId="0" applyFont="1" applyFill="1" applyAlignment="1"/>
    <xf numFmtId="0" fontId="1" fillId="14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left" vertical="top" wrapText="1"/>
    </xf>
    <xf numFmtId="0" fontId="16" fillId="14" borderId="14" xfId="0" applyFont="1" applyFill="1" applyBorder="1" applyAlignment="1">
      <alignment horizontal="center" vertical="center"/>
    </xf>
    <xf numFmtId="0" fontId="17" fillId="16" borderId="7" xfId="0" applyFont="1" applyFill="1" applyBorder="1" applyAlignment="1">
      <alignment horizontal="center" vertical="center" wrapText="1"/>
    </xf>
    <xf numFmtId="0" fontId="17" fillId="16" borderId="7" xfId="0" applyFont="1" applyFill="1" applyBorder="1" applyAlignment="1">
      <alignment horizontal="center" vertical="center"/>
    </xf>
    <xf numFmtId="0" fontId="5" fillId="6" borderId="0" xfId="0" applyFont="1" applyFill="1" applyAlignment="1"/>
    <xf numFmtId="0" fontId="4" fillId="7" borderId="14" xfId="0" applyFont="1" applyFill="1" applyBorder="1" applyAlignment="1">
      <alignment horizontal="center" vertical="center"/>
    </xf>
    <xf numFmtId="188" fontId="4" fillId="7" borderId="14" xfId="0" applyNumberFormat="1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top"/>
    </xf>
    <xf numFmtId="0" fontId="18" fillId="17" borderId="0" xfId="0" applyFont="1" applyFill="1" applyAlignment="1"/>
    <xf numFmtId="0" fontId="19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7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7" borderId="0" xfId="1" applyFont="1" applyFill="1" applyAlignment="1">
      <alignment horizontal="left" vertical="top"/>
    </xf>
    <xf numFmtId="0" fontId="1" fillId="2" borderId="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vertical="top"/>
    </xf>
    <xf numFmtId="0" fontId="2" fillId="3" borderId="2" xfId="1" applyFont="1" applyFill="1" applyBorder="1" applyAlignment="1">
      <alignment vertical="top" wrapText="1"/>
    </xf>
    <xf numFmtId="0" fontId="5" fillId="4" borderId="2" xfId="1" applyFont="1" applyFill="1" applyBorder="1"/>
    <xf numFmtId="0" fontId="1" fillId="2" borderId="3" xfId="1" applyFont="1" applyFill="1" applyBorder="1" applyAlignment="1">
      <alignment horizontal="center" vertical="top"/>
    </xf>
    <xf numFmtId="0" fontId="5" fillId="0" borderId="0" xfId="1" applyFont="1"/>
    <xf numFmtId="0" fontId="1" fillId="8" borderId="4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5" fillId="4" borderId="5" xfId="1" applyFont="1" applyFill="1" applyBorder="1"/>
    <xf numFmtId="0" fontId="1" fillId="9" borderId="11" xfId="0" applyFont="1" applyFill="1" applyBorder="1" applyAlignment="1">
      <alignment horizontal="center" vertical="top"/>
    </xf>
    <xf numFmtId="0" fontId="15" fillId="7" borderId="0" xfId="1" applyFont="1" applyFill="1" applyAlignment="1">
      <alignment horizontal="left" vertical="top"/>
    </xf>
    <xf numFmtId="0" fontId="21" fillId="7" borderId="5" xfId="1" applyFont="1" applyFill="1" applyBorder="1" applyAlignment="1">
      <alignment vertical="top"/>
    </xf>
    <xf numFmtId="0" fontId="4" fillId="7" borderId="5" xfId="1" applyFont="1" applyFill="1" applyBorder="1" applyAlignment="1">
      <alignment horizontal="left" vertical="top"/>
    </xf>
    <xf numFmtId="0" fontId="21" fillId="7" borderId="5" xfId="1" applyFont="1" applyFill="1" applyBorder="1" applyAlignment="1">
      <alignment horizontal="right" vertical="top"/>
    </xf>
    <xf numFmtId="0" fontId="15" fillId="7" borderId="5" xfId="1" applyFont="1" applyFill="1" applyBorder="1" applyAlignment="1">
      <alignment horizontal="left" vertical="top"/>
    </xf>
    <xf numFmtId="0" fontId="8" fillId="7" borderId="14" xfId="1" applyFont="1" applyFill="1" applyBorder="1" applyAlignment="1">
      <alignment horizontal="center" vertical="center"/>
    </xf>
    <xf numFmtId="0" fontId="22" fillId="15" borderId="14" xfId="1" applyFont="1" applyFill="1" applyBorder="1" applyAlignment="1">
      <alignment horizontal="center" vertical="center" wrapText="1"/>
    </xf>
    <xf numFmtId="0" fontId="22" fillId="15" borderId="15" xfId="1" applyFont="1" applyFill="1" applyBorder="1" applyAlignment="1">
      <alignment horizontal="center" vertical="center" wrapText="1"/>
    </xf>
    <xf numFmtId="3" fontId="23" fillId="19" borderId="15" xfId="1" applyNumberFormat="1" applyFont="1" applyFill="1" applyBorder="1" applyAlignment="1">
      <alignment horizontal="center" vertical="center" wrapText="1"/>
    </xf>
    <xf numFmtId="0" fontId="5" fillId="7" borderId="0" xfId="1" applyFont="1" applyFill="1"/>
    <xf numFmtId="0" fontId="8" fillId="20" borderId="19" xfId="1" applyFont="1" applyFill="1" applyBorder="1" applyAlignment="1">
      <alignment horizontal="center" vertical="center"/>
    </xf>
    <xf numFmtId="0" fontId="8" fillId="20" borderId="20" xfId="1" applyFont="1" applyFill="1" applyBorder="1" applyAlignment="1">
      <alignment horizontal="left" vertical="center"/>
    </xf>
    <xf numFmtId="0" fontId="3" fillId="0" borderId="21" xfId="1" applyFont="1" applyBorder="1"/>
    <xf numFmtId="0" fontId="8" fillId="20" borderId="6" xfId="1" applyFont="1" applyFill="1" applyBorder="1" applyAlignment="1">
      <alignment vertical="center"/>
    </xf>
    <xf numFmtId="0" fontId="4" fillId="20" borderId="19" xfId="1" applyFont="1" applyFill="1" applyBorder="1" applyAlignment="1">
      <alignment horizontal="center"/>
    </xf>
    <xf numFmtId="0" fontId="4" fillId="20" borderId="1" xfId="1" applyFont="1" applyFill="1" applyBorder="1" applyAlignment="1">
      <alignment horizontal="center"/>
    </xf>
    <xf numFmtId="0" fontId="4" fillId="20" borderId="22" xfId="1" applyFont="1" applyFill="1" applyBorder="1" applyAlignment="1">
      <alignment horizontal="center"/>
    </xf>
    <xf numFmtId="0" fontId="4" fillId="20" borderId="23" xfId="1" applyFont="1" applyFill="1" applyBorder="1" applyAlignment="1">
      <alignment horizont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3" xfId="1" applyFont="1" applyBorder="1" applyAlignment="1">
      <alignment horizontal="center"/>
    </xf>
    <xf numFmtId="1" fontId="4" fillId="0" borderId="25" xfId="1" applyNumberFormat="1" applyFont="1" applyBorder="1" applyAlignment="1">
      <alignment horizontal="center"/>
    </xf>
    <xf numFmtId="2" fontId="4" fillId="21" borderId="23" xfId="2" applyNumberFormat="1" applyFont="1" applyFill="1" applyBorder="1" applyAlignment="1">
      <alignment horizontal="center"/>
    </xf>
    <xf numFmtId="0" fontId="4" fillId="0" borderId="23" xfId="1" applyFont="1" applyBorder="1" applyAlignment="1">
      <alignment horizontal="center" vertical="center"/>
    </xf>
    <xf numFmtId="0" fontId="4" fillId="0" borderId="26" xfId="1" applyFont="1" applyBorder="1" applyAlignment="1">
      <alignment vertical="center" wrapText="1"/>
    </xf>
    <xf numFmtId="0" fontId="8" fillId="22" borderId="26" xfId="1" applyFont="1" applyFill="1" applyBorder="1" applyAlignment="1">
      <alignment vertical="center"/>
    </xf>
    <xf numFmtId="0" fontId="8" fillId="22" borderId="27" xfId="1" applyFont="1" applyFill="1" applyBorder="1" applyAlignment="1">
      <alignment vertical="center"/>
    </xf>
    <xf numFmtId="0" fontId="8" fillId="22" borderId="23" xfId="1" applyFont="1" applyFill="1" applyBorder="1" applyAlignment="1">
      <alignment horizontal="center"/>
    </xf>
    <xf numFmtId="1" fontId="8" fillId="22" borderId="23" xfId="1" applyNumberFormat="1" applyFont="1" applyFill="1" applyBorder="1" applyAlignment="1">
      <alignment horizontal="center"/>
    </xf>
    <xf numFmtId="2" fontId="8" fillId="23" borderId="23" xfId="1" applyNumberFormat="1" applyFont="1" applyFill="1" applyBorder="1" applyAlignment="1">
      <alignment horizontal="center"/>
    </xf>
    <xf numFmtId="0" fontId="4" fillId="20" borderId="23" xfId="1" applyFont="1" applyFill="1" applyBorder="1" applyAlignment="1">
      <alignment horizontal="center" vertical="center"/>
    </xf>
    <xf numFmtId="0" fontId="8" fillId="20" borderId="25" xfId="1" applyFont="1" applyFill="1" applyBorder="1" applyAlignment="1">
      <alignment horizontal="left" vertical="center"/>
    </xf>
    <xf numFmtId="0" fontId="3" fillId="0" borderId="26" xfId="1" applyFont="1" applyBorder="1"/>
    <xf numFmtId="0" fontId="4" fillId="20" borderId="27" xfId="1" applyFont="1" applyFill="1" applyBorder="1" applyAlignment="1">
      <alignment horizontal="left" vertical="center"/>
    </xf>
    <xf numFmtId="0" fontId="4" fillId="20" borderId="25" xfId="1" applyFont="1" applyFill="1" applyBorder="1" applyAlignment="1">
      <alignment horizontal="center"/>
    </xf>
    <xf numFmtId="0" fontId="4" fillId="24" borderId="0" xfId="1" applyFont="1" applyFill="1" applyAlignment="1">
      <alignment horizontal="left" vertical="center" wrapText="1"/>
    </xf>
    <xf numFmtId="0" fontId="4" fillId="24" borderId="27" xfId="1" applyFont="1" applyFill="1" applyBorder="1" applyAlignment="1">
      <alignment vertical="center" wrapText="1"/>
    </xf>
    <xf numFmtId="0" fontId="8" fillId="24" borderId="23" xfId="1" applyFont="1" applyFill="1" applyBorder="1" applyAlignment="1">
      <alignment horizontal="center"/>
    </xf>
    <xf numFmtId="1" fontId="8" fillId="24" borderId="23" xfId="1" applyNumberFormat="1" applyFont="1" applyFill="1" applyBorder="1" applyAlignment="1">
      <alignment horizontal="center"/>
    </xf>
    <xf numFmtId="1" fontId="8" fillId="24" borderId="23" xfId="2" applyNumberFormat="1" applyFont="1" applyFill="1" applyBorder="1" applyAlignment="1">
      <alignment horizontal="center"/>
    </xf>
    <xf numFmtId="2" fontId="8" fillId="21" borderId="23" xfId="1" applyNumberFormat="1" applyFont="1" applyFill="1" applyBorder="1" applyAlignment="1">
      <alignment horizontal="center"/>
    </xf>
    <xf numFmtId="0" fontId="4" fillId="24" borderId="26" xfId="1" applyFont="1" applyFill="1" applyBorder="1" applyAlignment="1">
      <alignment horizontal="left" vertical="center" wrapText="1"/>
    </xf>
    <xf numFmtId="0" fontId="8" fillId="24" borderId="24" xfId="1" applyFont="1" applyFill="1" applyBorder="1" applyAlignment="1">
      <alignment horizontal="center"/>
    </xf>
    <xf numFmtId="1" fontId="8" fillId="24" borderId="25" xfId="1" applyNumberFormat="1" applyFont="1" applyFill="1" applyBorder="1" applyAlignment="1">
      <alignment horizontal="center"/>
    </xf>
    <xf numFmtId="1" fontId="8" fillId="24" borderId="25" xfId="2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center"/>
    </xf>
    <xf numFmtId="1" fontId="4" fillId="0" borderId="25" xfId="2" applyNumberFormat="1" applyFont="1" applyBorder="1" applyAlignment="1">
      <alignment horizontal="center"/>
    </xf>
    <xf numFmtId="2" fontId="4" fillId="21" borderId="23" xfId="1" applyNumberFormat="1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1" fontId="4" fillId="0" borderId="29" xfId="2" applyNumberFormat="1" applyFont="1" applyBorder="1" applyAlignment="1">
      <alignment horizontal="center"/>
    </xf>
    <xf numFmtId="0" fontId="4" fillId="0" borderId="27" xfId="1" applyFont="1" applyBorder="1" applyAlignment="1">
      <alignment vertical="center" wrapText="1"/>
    </xf>
    <xf numFmtId="1" fontId="4" fillId="0" borderId="30" xfId="1" applyNumberFormat="1" applyFont="1" applyBorder="1" applyAlignment="1">
      <alignment horizontal="center"/>
    </xf>
    <xf numFmtId="1" fontId="4" fillId="0" borderId="30" xfId="2" applyNumberFormat="1" applyFont="1" applyBorder="1" applyAlignment="1">
      <alignment horizontal="center"/>
    </xf>
    <xf numFmtId="0" fontId="8" fillId="25" borderId="26" xfId="1" applyFont="1" applyFill="1" applyBorder="1" applyAlignment="1">
      <alignment vertical="center"/>
    </xf>
    <xf numFmtId="0" fontId="8" fillId="25" borderId="27" xfId="1" applyFont="1" applyFill="1" applyBorder="1" applyAlignment="1">
      <alignment vertical="center"/>
    </xf>
    <xf numFmtId="0" fontId="8" fillId="25" borderId="23" xfId="1" applyFont="1" applyFill="1" applyBorder="1" applyAlignment="1">
      <alignment horizontal="center"/>
    </xf>
    <xf numFmtId="1" fontId="8" fillId="25" borderId="23" xfId="1" applyNumberFormat="1" applyFont="1" applyFill="1" applyBorder="1" applyAlignment="1">
      <alignment horizontal="center"/>
    </xf>
    <xf numFmtId="0" fontId="4" fillId="20" borderId="27" xfId="1" applyFont="1" applyFill="1" applyBorder="1" applyAlignment="1">
      <alignment vertical="center"/>
    </xf>
    <xf numFmtId="1" fontId="4" fillId="24" borderId="25" xfId="1" applyNumberFormat="1" applyFont="1" applyFill="1" applyBorder="1" applyAlignment="1">
      <alignment horizontal="center"/>
    </xf>
    <xf numFmtId="0" fontId="4" fillId="24" borderId="26" xfId="1" applyFont="1" applyFill="1" applyBorder="1" applyAlignment="1">
      <alignment vertical="center"/>
    </xf>
    <xf numFmtId="1" fontId="8" fillId="0" borderId="23" xfId="1" applyNumberFormat="1" applyFont="1" applyBorder="1" applyAlignment="1">
      <alignment horizontal="center"/>
    </xf>
    <xf numFmtId="0" fontId="8" fillId="26" borderId="26" xfId="1" applyFont="1" applyFill="1" applyBorder="1" applyAlignment="1">
      <alignment horizontal="left" vertical="center" wrapText="1"/>
    </xf>
    <xf numFmtId="49" fontId="8" fillId="26" borderId="26" xfId="1" applyNumberFormat="1" applyFont="1" applyFill="1" applyBorder="1" applyAlignment="1">
      <alignment vertical="center" wrapText="1"/>
    </xf>
    <xf numFmtId="0" fontId="4" fillId="26" borderId="27" xfId="1" applyFont="1" applyFill="1" applyBorder="1" applyAlignment="1">
      <alignment vertical="center" wrapText="1"/>
    </xf>
    <xf numFmtId="0" fontId="8" fillId="26" borderId="28" xfId="1" applyFont="1" applyFill="1" applyBorder="1" applyAlignment="1">
      <alignment horizontal="center"/>
    </xf>
    <xf numFmtId="1" fontId="8" fillId="26" borderId="28" xfId="1" applyNumberFormat="1" applyFont="1" applyFill="1" applyBorder="1" applyAlignment="1">
      <alignment horizontal="center"/>
    </xf>
    <xf numFmtId="0" fontId="4" fillId="20" borderId="27" xfId="1" applyFont="1" applyFill="1" applyBorder="1" applyAlignment="1">
      <alignment vertical="center" wrapText="1"/>
    </xf>
    <xf numFmtId="0" fontId="8" fillId="0" borderId="23" xfId="1" applyFont="1" applyBorder="1" applyAlignment="1">
      <alignment horizontal="center"/>
    </xf>
    <xf numFmtId="1" fontId="8" fillId="0" borderId="25" xfId="1" applyNumberFormat="1" applyFont="1" applyBorder="1" applyAlignment="1">
      <alignment horizontal="center"/>
    </xf>
    <xf numFmtId="0" fontId="15" fillId="0" borderId="26" xfId="1" applyFont="1" applyBorder="1" applyAlignment="1">
      <alignment horizontal="left" vertical="center" wrapText="1"/>
    </xf>
    <xf numFmtId="0" fontId="4" fillId="24" borderId="23" xfId="1" applyFont="1" applyFill="1" applyBorder="1" applyAlignment="1">
      <alignment horizontal="center"/>
    </xf>
    <xf numFmtId="0" fontId="8" fillId="27" borderId="26" xfId="1" applyFont="1" applyFill="1" applyBorder="1" applyAlignment="1">
      <alignment vertical="center"/>
    </xf>
    <xf numFmtId="0" fontId="8" fillId="27" borderId="27" xfId="1" applyFont="1" applyFill="1" applyBorder="1" applyAlignment="1">
      <alignment vertical="center"/>
    </xf>
    <xf numFmtId="0" fontId="8" fillId="27" borderId="23" xfId="1" applyFont="1" applyFill="1" applyBorder="1" applyAlignment="1">
      <alignment horizontal="center"/>
    </xf>
    <xf numFmtId="1" fontId="8" fillId="27" borderId="23" xfId="1" applyNumberFormat="1" applyFont="1" applyFill="1" applyBorder="1" applyAlignment="1">
      <alignment horizontal="center"/>
    </xf>
    <xf numFmtId="0" fontId="8" fillId="20" borderId="25" xfId="1" applyFont="1" applyFill="1" applyBorder="1" applyAlignment="1">
      <alignment horizontal="left" vertical="center" wrapText="1"/>
    </xf>
    <xf numFmtId="0" fontId="8" fillId="0" borderId="26" xfId="1" applyFont="1" applyBorder="1" applyAlignment="1">
      <alignment vertical="center"/>
    </xf>
    <xf numFmtId="0" fontId="4" fillId="24" borderId="26" xfId="1" applyFont="1" applyFill="1" applyBorder="1" applyAlignment="1">
      <alignment vertical="center" wrapText="1"/>
    </xf>
    <xf numFmtId="0" fontId="8" fillId="28" borderId="26" xfId="1" applyFont="1" applyFill="1" applyBorder="1" applyAlignment="1">
      <alignment vertical="center"/>
    </xf>
    <xf numFmtId="0" fontId="8" fillId="28" borderId="27" xfId="1" applyFont="1" applyFill="1" applyBorder="1" applyAlignment="1">
      <alignment vertical="center"/>
    </xf>
    <xf numFmtId="0" fontId="8" fillId="28" borderId="23" xfId="1" applyFont="1" applyFill="1" applyBorder="1" applyAlignment="1">
      <alignment horizontal="center"/>
    </xf>
    <xf numFmtId="1" fontId="8" fillId="28" borderId="23" xfId="1" applyNumberFormat="1" applyFont="1" applyFill="1" applyBorder="1" applyAlignment="1">
      <alignment horizontal="center"/>
    </xf>
    <xf numFmtId="0" fontId="4" fillId="24" borderId="26" xfId="1" applyFont="1" applyFill="1" applyBorder="1" applyAlignment="1">
      <alignment horizontal="left" vertical="center"/>
    </xf>
    <xf numFmtId="0" fontId="8" fillId="29" borderId="26" xfId="1" applyFont="1" applyFill="1" applyBorder="1" applyAlignment="1">
      <alignment vertical="center"/>
    </xf>
    <xf numFmtId="0" fontId="8" fillId="29" borderId="27" xfId="1" applyFont="1" applyFill="1" applyBorder="1" applyAlignment="1">
      <alignment vertical="center"/>
    </xf>
    <xf numFmtId="0" fontId="8" fillId="29" borderId="23" xfId="1" applyFont="1" applyFill="1" applyBorder="1" applyAlignment="1">
      <alignment horizontal="center"/>
    </xf>
    <xf numFmtId="1" fontId="8" fillId="29" borderId="23" xfId="1" applyNumberFormat="1" applyFont="1" applyFill="1" applyBorder="1" applyAlignment="1">
      <alignment horizontal="center"/>
    </xf>
    <xf numFmtId="2" fontId="4" fillId="30" borderId="23" xfId="1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/>
    </xf>
    <xf numFmtId="0" fontId="8" fillId="23" borderId="26" xfId="1" applyFont="1" applyFill="1" applyBorder="1" applyAlignment="1">
      <alignment vertical="center"/>
    </xf>
    <xf numFmtId="0" fontId="8" fillId="23" borderId="27" xfId="1" applyFont="1" applyFill="1" applyBorder="1" applyAlignment="1">
      <alignment vertical="center"/>
    </xf>
    <xf numFmtId="0" fontId="8" fillId="23" borderId="23" xfId="1" applyFont="1" applyFill="1" applyBorder="1" applyAlignment="1">
      <alignment horizontal="center"/>
    </xf>
    <xf numFmtId="1" fontId="8" fillId="23" borderId="25" xfId="1" applyNumberFormat="1" applyFont="1" applyFill="1" applyBorder="1" applyAlignment="1">
      <alignment horizontal="center"/>
    </xf>
    <xf numFmtId="0" fontId="8" fillId="31" borderId="26" xfId="1" applyFont="1" applyFill="1" applyBorder="1" applyAlignment="1">
      <alignment vertical="center"/>
    </xf>
    <xf numFmtId="0" fontId="8" fillId="31" borderId="27" xfId="1" applyFont="1" applyFill="1" applyBorder="1" applyAlignment="1">
      <alignment vertical="center"/>
    </xf>
    <xf numFmtId="1" fontId="8" fillId="31" borderId="23" xfId="1" applyNumberFormat="1" applyFont="1" applyFill="1" applyBorder="1" applyAlignment="1">
      <alignment horizontal="center"/>
    </xf>
    <xf numFmtId="2" fontId="4" fillId="0" borderId="23" xfId="1" applyNumberFormat="1" applyFont="1" applyBorder="1" applyAlignment="1">
      <alignment horizontal="center"/>
    </xf>
    <xf numFmtId="0" fontId="8" fillId="32" borderId="26" xfId="1" applyFont="1" applyFill="1" applyBorder="1" applyAlignment="1">
      <alignment vertical="center"/>
    </xf>
    <xf numFmtId="0" fontId="8" fillId="32" borderId="27" xfId="1" applyFont="1" applyFill="1" applyBorder="1" applyAlignment="1">
      <alignment vertical="center"/>
    </xf>
    <xf numFmtId="0" fontId="8" fillId="32" borderId="23" xfId="1" applyFont="1" applyFill="1" applyBorder="1" applyAlignment="1">
      <alignment horizontal="center"/>
    </xf>
    <xf numFmtId="1" fontId="8" fillId="32" borderId="23" xfId="1" applyNumberFormat="1" applyFont="1" applyFill="1" applyBorder="1" applyAlignment="1">
      <alignment horizontal="center"/>
    </xf>
    <xf numFmtId="0" fontId="4" fillId="20" borderId="28" xfId="1" applyFont="1" applyFill="1" applyBorder="1" applyAlignment="1">
      <alignment horizontal="center"/>
    </xf>
    <xf numFmtId="0" fontId="4" fillId="20" borderId="29" xfId="1" applyFont="1" applyFill="1" applyBorder="1" applyAlignment="1">
      <alignment horizontal="center"/>
    </xf>
    <xf numFmtId="0" fontId="4" fillId="0" borderId="28" xfId="1" applyFont="1" applyBorder="1" applyAlignment="1">
      <alignment horizontal="center" vertical="center"/>
    </xf>
    <xf numFmtId="0" fontId="4" fillId="0" borderId="31" xfId="1" applyFont="1" applyBorder="1" applyAlignment="1">
      <alignment vertical="center" wrapText="1"/>
    </xf>
    <xf numFmtId="0" fontId="4" fillId="0" borderId="32" xfId="1" applyFont="1" applyBorder="1" applyAlignment="1">
      <alignment horizontal="center" vertical="center"/>
    </xf>
    <xf numFmtId="1" fontId="4" fillId="0" borderId="33" xfId="1" applyNumberFormat="1" applyFont="1" applyBorder="1" applyAlignment="1">
      <alignment horizontal="center"/>
    </xf>
    <xf numFmtId="0" fontId="4" fillId="0" borderId="30" xfId="1" applyFont="1" applyBorder="1" applyAlignment="1">
      <alignment horizontal="center" vertical="center"/>
    </xf>
    <xf numFmtId="0" fontId="8" fillId="28" borderId="15" xfId="1" applyFont="1" applyFill="1" applyBorder="1" applyAlignment="1">
      <alignment horizontal="left" vertical="center"/>
    </xf>
    <xf numFmtId="0" fontId="3" fillId="10" borderId="18" xfId="1" applyFont="1" applyFill="1" applyBorder="1"/>
    <xf numFmtId="0" fontId="3" fillId="10" borderId="16" xfId="1" applyFont="1" applyFill="1" applyBorder="1"/>
    <xf numFmtId="0" fontId="8" fillId="28" borderId="14" xfId="1" applyFont="1" applyFill="1" applyBorder="1" applyAlignment="1">
      <alignment horizontal="center"/>
    </xf>
    <xf numFmtId="1" fontId="8" fillId="28" borderId="15" xfId="1" applyNumberFormat="1" applyFont="1" applyFill="1" applyBorder="1" applyAlignment="1">
      <alignment horizontal="center"/>
    </xf>
    <xf numFmtId="1" fontId="4" fillId="10" borderId="29" xfId="1" applyNumberFormat="1" applyFont="1" applyFill="1" applyBorder="1" applyAlignment="1">
      <alignment horizontal="center"/>
    </xf>
    <xf numFmtId="1" fontId="8" fillId="28" borderId="22" xfId="1" applyNumberFormat="1" applyFont="1" applyFill="1" applyBorder="1" applyAlignment="1">
      <alignment horizontal="center"/>
    </xf>
    <xf numFmtId="1" fontId="8" fillId="0" borderId="25" xfId="2" applyNumberFormat="1" applyFont="1" applyBorder="1" applyAlignment="1">
      <alignment horizontal="center"/>
    </xf>
    <xf numFmtId="0" fontId="4" fillId="6" borderId="26" xfId="1" applyFont="1" applyFill="1" applyBorder="1" applyAlignment="1">
      <alignment vertical="center" wrapText="1"/>
    </xf>
    <xf numFmtId="0" fontId="24" fillId="7" borderId="0" xfId="2" applyFont="1" applyFill="1"/>
    <xf numFmtId="0" fontId="8" fillId="27" borderId="24" xfId="1" applyFont="1" applyFill="1" applyBorder="1" applyAlignment="1">
      <alignment horizontal="center"/>
    </xf>
    <xf numFmtId="1" fontId="8" fillId="27" borderId="24" xfId="1" applyNumberFormat="1" applyFont="1" applyFill="1" applyBorder="1" applyAlignment="1">
      <alignment horizontal="center"/>
    </xf>
    <xf numFmtId="1" fontId="4" fillId="20" borderId="25" xfId="1" applyNumberFormat="1" applyFont="1" applyFill="1" applyBorder="1" applyAlignment="1">
      <alignment horizontal="center"/>
    </xf>
    <xf numFmtId="1" fontId="4" fillId="20" borderId="23" xfId="1" applyNumberFormat="1" applyFont="1" applyFill="1" applyBorder="1" applyAlignment="1">
      <alignment horizontal="center"/>
    </xf>
    <xf numFmtId="0" fontId="8" fillId="33" borderId="26" xfId="1" applyFont="1" applyFill="1" applyBorder="1" applyAlignment="1">
      <alignment vertical="center"/>
    </xf>
    <xf numFmtId="0" fontId="8" fillId="33" borderId="27" xfId="1" applyFont="1" applyFill="1" applyBorder="1" applyAlignment="1">
      <alignment vertical="center"/>
    </xf>
    <xf numFmtId="0" fontId="8" fillId="33" borderId="23" xfId="1" applyFont="1" applyFill="1" applyBorder="1" applyAlignment="1">
      <alignment horizontal="center"/>
    </xf>
    <xf numFmtId="1" fontId="8" fillId="33" borderId="23" xfId="1" applyNumberFormat="1" applyFont="1" applyFill="1" applyBorder="1" applyAlignment="1">
      <alignment horizontal="center"/>
    </xf>
    <xf numFmtId="2" fontId="4" fillId="23" borderId="23" xfId="1" applyNumberFormat="1" applyFont="1" applyFill="1" applyBorder="1" applyAlignment="1">
      <alignment horizontal="center"/>
    </xf>
    <xf numFmtId="0" fontId="4" fillId="34" borderId="23" xfId="1" applyFont="1" applyFill="1" applyBorder="1" applyAlignment="1">
      <alignment horizontal="center" vertical="center"/>
    </xf>
    <xf numFmtId="0" fontId="4" fillId="34" borderId="23" xfId="1" applyFont="1" applyFill="1" applyBorder="1" applyAlignment="1">
      <alignment horizontal="center"/>
    </xf>
    <xf numFmtId="0" fontId="4" fillId="34" borderId="25" xfId="1" applyFont="1" applyFill="1" applyBorder="1" applyAlignment="1">
      <alignment horizontal="center"/>
    </xf>
    <xf numFmtId="1" fontId="4" fillId="34" borderId="25" xfId="1" applyNumberFormat="1" applyFont="1" applyFill="1" applyBorder="1" applyAlignment="1">
      <alignment horizontal="center"/>
    </xf>
    <xf numFmtId="0" fontId="4" fillId="34" borderId="25" xfId="2" applyFont="1" applyFill="1" applyBorder="1" applyAlignment="1">
      <alignment horizontal="center"/>
    </xf>
    <xf numFmtId="1" fontId="8" fillId="27" borderId="28" xfId="1" applyNumberFormat="1" applyFont="1" applyFill="1" applyBorder="1" applyAlignment="1">
      <alignment horizontal="center"/>
    </xf>
    <xf numFmtId="1" fontId="8" fillId="27" borderId="32" xfId="1" applyNumberFormat="1" applyFont="1" applyFill="1" applyBorder="1" applyAlignment="1">
      <alignment horizontal="center"/>
    </xf>
    <xf numFmtId="2" fontId="8" fillId="23" borderId="32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35" borderId="34" xfId="1" applyFont="1" applyFill="1" applyBorder="1" applyAlignment="1">
      <alignment horizontal="center" vertical="center"/>
    </xf>
    <xf numFmtId="0" fontId="3" fillId="0" borderId="35" xfId="1" applyFont="1" applyBorder="1"/>
    <xf numFmtId="0" fontId="3" fillId="0" borderId="36" xfId="1" applyFont="1" applyBorder="1"/>
    <xf numFmtId="1" fontId="8" fillId="35" borderId="37" xfId="1" applyNumberFormat="1" applyFont="1" applyFill="1" applyBorder="1" applyAlignment="1">
      <alignment horizontal="center"/>
    </xf>
    <xf numFmtId="1" fontId="8" fillId="35" borderId="38" xfId="1" applyNumberFormat="1" applyFont="1" applyFill="1" applyBorder="1" applyAlignment="1">
      <alignment horizontal="center"/>
    </xf>
    <xf numFmtId="2" fontId="8" fillId="35" borderId="38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36" borderId="0" xfId="2" applyFont="1" applyFill="1"/>
    <xf numFmtId="0" fontId="24" fillId="36" borderId="0" xfId="2" applyFont="1" applyFill="1"/>
    <xf numFmtId="0" fontId="25" fillId="0" borderId="0" xfId="1" applyFont="1"/>
  </cellXfs>
  <cellStyles count="3">
    <cellStyle name="Normal" xfId="0" builtinId="0"/>
    <cellStyle name="Normal 4 2" xfId="1"/>
    <cellStyle name="Normal 4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6%20&#3648;&#3604;&#3639;&#3629;&#3609;/&#3648;&#3592;&#3657;&#3634;&#3616;&#3634;&#3614;/&#3585;&#3629;&#3591;&#3610;&#3619;&#3636;&#3585;&#3634;&#3619;&#3585;&#3634;&#3619;&#3624;&#3638;&#3585;&#3625;&#3634;/&#3649;&#3610;&#3610;&#3648;&#3585;&#3655;&#3610;&#3618;&#3640;&#3607;&#3608;&#3624;&#3634;&#3626;&#3605;&#3619;&#3660;&#3607;&#3637;&#3656;%201%20&#3611;&#3637;%202565%20&#3648;&#3604;&#3639;&#3629;&#3609;&#3617;&#3637;&#3609;&#3634;&#3588;&#36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2"/>
      <sheetName val="รายละเอียด 1.2.2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7"/>
      <sheetName val="รายละเอียด 1.4.7"/>
      <sheetName val="1.4.8"/>
      <sheetName val="รายละเอียด 1.4.8"/>
      <sheetName val="1.8.4"/>
      <sheetName val="รายละเอียด 1.8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H13">
            <v>315</v>
          </cell>
        </row>
        <row r="30">
          <cell r="H30">
            <v>63</v>
          </cell>
        </row>
        <row r="39">
          <cell r="H39">
            <v>149</v>
          </cell>
        </row>
        <row r="50">
          <cell r="H50">
            <v>31</v>
          </cell>
        </row>
        <row r="62">
          <cell r="H62">
            <v>2</v>
          </cell>
        </row>
        <row r="70">
          <cell r="H70">
            <v>0</v>
          </cell>
        </row>
        <row r="77">
          <cell r="H77">
            <v>78</v>
          </cell>
        </row>
        <row r="80">
          <cell r="H80">
            <v>0</v>
          </cell>
        </row>
        <row r="86">
          <cell r="H86">
            <v>0</v>
          </cell>
        </row>
        <row r="91">
          <cell r="H91">
            <v>591</v>
          </cell>
        </row>
        <row r="94">
          <cell r="H94">
            <v>0</v>
          </cell>
        </row>
        <row r="100">
          <cell r="H100">
            <v>409</v>
          </cell>
        </row>
        <row r="108">
          <cell r="H108">
            <v>25</v>
          </cell>
        </row>
        <row r="113">
          <cell r="H113">
            <v>421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K999"/>
  <sheetViews>
    <sheetView tabSelected="1" zoomScale="70" zoomScaleNormal="70" workbookViewId="0">
      <pane xSplit="3" ySplit="4" topLeftCell="D14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12.625" defaultRowHeight="15" customHeight="1" x14ac:dyDescent="0.4"/>
  <cols>
    <col min="1" max="1" width="9.75" style="10" customWidth="1"/>
    <col min="2" max="2" width="13.75" style="10" customWidth="1"/>
    <col min="3" max="3" width="22.875" style="10" customWidth="1"/>
    <col min="4" max="4" width="11.5" style="10" customWidth="1"/>
    <col min="5" max="5" width="30.375" style="10" customWidth="1"/>
    <col min="6" max="6" width="16" style="10" customWidth="1"/>
    <col min="7" max="7" width="17.125" style="10" customWidth="1"/>
    <col min="8" max="8" width="16.375" style="10" bestFit="1" customWidth="1"/>
    <col min="9" max="9" width="26.125" style="10" customWidth="1"/>
    <col min="10" max="10" width="45.375" style="10" customWidth="1"/>
    <col min="11" max="11" width="17" style="10" customWidth="1"/>
    <col min="12" max="36" width="9" style="10" customWidth="1"/>
    <col min="37" max="16384" width="12.625" style="10"/>
  </cols>
  <sheetData>
    <row r="1" spans="1:36" ht="26.25" customHeight="1" x14ac:dyDescent="0.4">
      <c r="A1" s="1" t="s">
        <v>0</v>
      </c>
      <c r="B1" s="2"/>
      <c r="C1" s="3" t="s">
        <v>1</v>
      </c>
      <c r="D1" s="4"/>
      <c r="E1" s="4"/>
      <c r="F1" s="5"/>
      <c r="G1" s="2" t="s">
        <v>2</v>
      </c>
      <c r="H1" s="6"/>
      <c r="I1" s="7"/>
      <c r="J1" s="7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24" customHeight="1" x14ac:dyDescent="0.4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18"/>
      <c r="J2" s="18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48" x14ac:dyDescent="0.55000000000000004">
      <c r="A4" s="21" t="s">
        <v>11</v>
      </c>
      <c r="B4" s="22" t="s">
        <v>12</v>
      </c>
      <c r="C4" s="23"/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5" t="s">
        <v>18</v>
      </c>
      <c r="J4" s="25" t="s">
        <v>19</v>
      </c>
      <c r="K4" s="9"/>
      <c r="L4" s="26" t="s">
        <v>20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23.25" customHeight="1" x14ac:dyDescent="0.4">
      <c r="A5" s="27">
        <v>1</v>
      </c>
      <c r="B5" s="28" t="s">
        <v>21</v>
      </c>
      <c r="C5" s="29"/>
      <c r="D5" s="30">
        <v>250</v>
      </c>
      <c r="E5" s="31">
        <f>'[1]รายละเอียด 1.1.4'!H13</f>
        <v>315</v>
      </c>
      <c r="F5" s="32">
        <f>IFERROR(ROUND((E5/D5)*100,2),0)</f>
        <v>126</v>
      </c>
      <c r="G5" s="33">
        <f>IF(F5=0,0,IF(F5="N/A",1,IF(F5&lt;=L$13,1,IF(F5=M$13,2,IF(F5&lt;M$13,(((F5-L$13)/O$11)+1),IF(F5=N$13,3,IF(F5&lt;N$13,(((F5-M$13)/O$11)+2),IF(F5=O$13,4,IF(F5&lt;O$13,(((F5-N$13)/O$11)+3),IF(F5&gt;=P$13,5,IF(F5&lt;P$13,(((F5-O$13)/O$11)+4),0)))))))))))</f>
        <v>5</v>
      </c>
      <c r="H5" s="34" t="str">
        <f>IF(G5=5,"ü","û")</f>
        <v>ü</v>
      </c>
      <c r="I5" s="35">
        <v>100</v>
      </c>
      <c r="J5" s="36"/>
      <c r="K5" s="9"/>
      <c r="L5" s="9" t="s">
        <v>22</v>
      </c>
      <c r="M5" s="9"/>
      <c r="N5" s="9"/>
      <c r="O5" s="37">
        <v>100</v>
      </c>
      <c r="P5" s="9"/>
      <c r="Q5" s="9"/>
      <c r="R5" s="3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23.25" customHeight="1" x14ac:dyDescent="0.55000000000000004">
      <c r="A6" s="39">
        <v>2</v>
      </c>
      <c r="B6" s="40" t="s">
        <v>23</v>
      </c>
      <c r="C6" s="41"/>
      <c r="D6" s="42">
        <v>380</v>
      </c>
      <c r="E6" s="31">
        <f>'[1]รายละเอียด 1.1.4'!H30</f>
        <v>63</v>
      </c>
      <c r="F6" s="32">
        <f t="shared" ref="F6:F18" si="0">IFERROR(ROUND((E6/D6)*100,2),0)</f>
        <v>16.579999999999998</v>
      </c>
      <c r="G6" s="33">
        <f t="shared" ref="G6:G19" si="1">IF(F6=0,0,IF(F6="N/A",1,IF(F6&lt;=L$13,1,IF(F6=M$13,2,IF(F6&lt;M$13,(((F6-L$13)/O$11)+1),IF(F6=N$13,3,IF(F6&lt;N$13,(((F6-M$13)/O$11)+2),IF(F6=O$13,4,IF(F6&lt;O$13,(((F6-N$13)/O$11)+3),IF(F6&gt;=P$13,5,IF(F6&lt;P$13,(((F6-O$13)/O$11)+4),0)))))))))))</f>
        <v>1</v>
      </c>
      <c r="H6" s="43" t="str">
        <f t="shared" ref="H6:H19" si="2">IF(G6=5,"ü","û")</f>
        <v>û</v>
      </c>
      <c r="I6" s="44">
        <v>16.579999999999998</v>
      </c>
      <c r="J6" s="45"/>
      <c r="K6" s="46"/>
      <c r="L6" s="47" t="s">
        <v>24</v>
      </c>
      <c r="M6" s="48" t="s">
        <v>25</v>
      </c>
      <c r="N6" s="48" t="s">
        <v>26</v>
      </c>
      <c r="O6" s="48" t="s">
        <v>27</v>
      </c>
      <c r="P6" s="48" t="s">
        <v>28</v>
      </c>
      <c r="Q6" s="9"/>
      <c r="R6" s="3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4" x14ac:dyDescent="0.4">
      <c r="A7" s="49">
        <v>3</v>
      </c>
      <c r="B7" s="40" t="s">
        <v>29</v>
      </c>
      <c r="C7" s="41"/>
      <c r="D7" s="42">
        <v>420</v>
      </c>
      <c r="E7" s="50">
        <f>'[1]รายละเอียด 1.1.4'!H39</f>
        <v>149</v>
      </c>
      <c r="F7" s="32">
        <f>IFERROR(ROUND((E7/D7)*100,2),0)</f>
        <v>35.479999999999997</v>
      </c>
      <c r="G7" s="33">
        <f t="shared" si="1"/>
        <v>1.7739999999999998</v>
      </c>
      <c r="H7" s="43" t="str">
        <f t="shared" si="2"/>
        <v>û</v>
      </c>
      <c r="I7" s="44">
        <v>35</v>
      </c>
      <c r="J7" s="45"/>
      <c r="K7" s="46"/>
      <c r="L7" s="51">
        <v>3900</v>
      </c>
      <c r="M7" s="52">
        <v>4000</v>
      </c>
      <c r="N7" s="52">
        <v>4100</v>
      </c>
      <c r="O7" s="52">
        <v>4200</v>
      </c>
      <c r="P7" s="52">
        <v>4300</v>
      </c>
      <c r="Q7" s="9"/>
      <c r="R7" s="3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23.25" customHeight="1" x14ac:dyDescent="0.55000000000000004">
      <c r="A8" s="39">
        <v>4</v>
      </c>
      <c r="B8" s="53" t="s">
        <v>30</v>
      </c>
      <c r="C8" s="41"/>
      <c r="D8" s="42">
        <v>733</v>
      </c>
      <c r="E8" s="50">
        <f>'[1]รายละเอียด 1.1.4'!H50</f>
        <v>31</v>
      </c>
      <c r="F8" s="32">
        <f>IFERROR(ROUND((E8/D8)*100,2),0)</f>
        <v>4.2300000000000004</v>
      </c>
      <c r="G8" s="33">
        <f t="shared" si="1"/>
        <v>1</v>
      </c>
      <c r="H8" s="43" t="str">
        <f t="shared" si="2"/>
        <v>û</v>
      </c>
      <c r="I8" s="44">
        <v>4.2300000000000004</v>
      </c>
      <c r="J8" s="45"/>
      <c r="K8" s="9"/>
      <c r="L8" s="9"/>
      <c r="M8" s="9"/>
      <c r="N8" s="9"/>
      <c r="O8" s="9"/>
      <c r="P8" s="9"/>
      <c r="Q8" s="9"/>
      <c r="R8" s="3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48" x14ac:dyDescent="0.4">
      <c r="A9" s="49">
        <v>5</v>
      </c>
      <c r="B9" s="53" t="s">
        <v>31</v>
      </c>
      <c r="C9" s="41"/>
      <c r="D9" s="42">
        <v>195</v>
      </c>
      <c r="E9" s="50">
        <f>'[1]รายละเอียด 1.1.4'!H62</f>
        <v>2</v>
      </c>
      <c r="F9" s="32">
        <f t="shared" si="0"/>
        <v>1.03</v>
      </c>
      <c r="G9" s="33">
        <f t="shared" si="1"/>
        <v>1</v>
      </c>
      <c r="H9" s="43" t="str">
        <f t="shared" si="2"/>
        <v>û</v>
      </c>
      <c r="I9" s="44">
        <v>1.03</v>
      </c>
      <c r="J9" s="45" t="s">
        <v>32</v>
      </c>
      <c r="K9" s="9"/>
      <c r="L9" s="9"/>
      <c r="M9" s="9"/>
      <c r="N9" s="9"/>
      <c r="O9" s="9"/>
      <c r="P9" s="9"/>
      <c r="Q9" s="9"/>
      <c r="R9" s="3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23.25" customHeight="1" x14ac:dyDescent="0.55000000000000004">
      <c r="A10" s="39">
        <v>6</v>
      </c>
      <c r="B10" s="53" t="s">
        <v>33</v>
      </c>
      <c r="C10" s="41"/>
      <c r="D10" s="42">
        <v>210</v>
      </c>
      <c r="E10" s="50">
        <f>'[1]รายละเอียด 1.1.4'!H70</f>
        <v>0</v>
      </c>
      <c r="F10" s="32">
        <f t="shared" si="0"/>
        <v>0</v>
      </c>
      <c r="G10" s="33">
        <f t="shared" si="1"/>
        <v>0</v>
      </c>
      <c r="H10" s="43" t="str">
        <f t="shared" si="2"/>
        <v>û</v>
      </c>
      <c r="I10" s="44" t="s">
        <v>34</v>
      </c>
      <c r="J10" s="45"/>
      <c r="K10" s="9"/>
      <c r="L10" s="26" t="s">
        <v>35</v>
      </c>
      <c r="M10" s="9"/>
      <c r="N10" s="9"/>
      <c r="O10" s="9"/>
      <c r="P10" s="9"/>
      <c r="Q10" s="9"/>
      <c r="R10" s="3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24" x14ac:dyDescent="0.4">
      <c r="A11" s="49">
        <v>7</v>
      </c>
      <c r="B11" s="53" t="s">
        <v>36</v>
      </c>
      <c r="C11" s="41"/>
      <c r="D11" s="42">
        <v>123</v>
      </c>
      <c r="E11" s="50">
        <f>'[1]รายละเอียด 1.1.4'!H77</f>
        <v>78</v>
      </c>
      <c r="F11" s="32">
        <f>IFERROR(ROUND((E11/D11)*100,2),0)</f>
        <v>63.41</v>
      </c>
      <c r="G11" s="33">
        <f t="shared" si="1"/>
        <v>3.1704999999999997</v>
      </c>
      <c r="H11" s="43" t="str">
        <f t="shared" si="2"/>
        <v>û</v>
      </c>
      <c r="I11" s="44">
        <v>63.41</v>
      </c>
      <c r="J11" s="45"/>
      <c r="K11" s="9"/>
      <c r="L11" s="9" t="s">
        <v>22</v>
      </c>
      <c r="M11" s="9"/>
      <c r="N11" s="9"/>
      <c r="O11" s="38">
        <v>20</v>
      </c>
      <c r="P11" s="9"/>
      <c r="Q11" s="9"/>
      <c r="R11" s="3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23.25" customHeight="1" x14ac:dyDescent="0.55000000000000004">
      <c r="A12" s="39">
        <v>8</v>
      </c>
      <c r="B12" s="53" t="s">
        <v>37</v>
      </c>
      <c r="C12" s="41"/>
      <c r="D12" s="42">
        <v>85</v>
      </c>
      <c r="E12" s="50">
        <f>'[1]รายละเอียด 1.1.4'!H80</f>
        <v>0</v>
      </c>
      <c r="F12" s="32">
        <f t="shared" si="0"/>
        <v>0</v>
      </c>
      <c r="G12" s="33">
        <f t="shared" si="1"/>
        <v>0</v>
      </c>
      <c r="H12" s="43" t="str">
        <f t="shared" si="2"/>
        <v>û</v>
      </c>
      <c r="I12" s="44">
        <v>0</v>
      </c>
      <c r="J12" s="45"/>
      <c r="K12" s="9"/>
      <c r="L12" s="48" t="s">
        <v>24</v>
      </c>
      <c r="M12" s="48" t="s">
        <v>25</v>
      </c>
      <c r="N12" s="48" t="s">
        <v>26</v>
      </c>
      <c r="O12" s="48" t="s">
        <v>27</v>
      </c>
      <c r="P12" s="48" t="s">
        <v>28</v>
      </c>
      <c r="Q12" s="9"/>
      <c r="R12" s="3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23.25" customHeight="1" x14ac:dyDescent="0.4">
      <c r="A13" s="49">
        <v>9</v>
      </c>
      <c r="B13" s="53" t="s">
        <v>38</v>
      </c>
      <c r="C13" s="41"/>
      <c r="D13" s="42">
        <v>105</v>
      </c>
      <c r="E13" s="50">
        <f>'[1]รายละเอียด 1.1.4'!H86</f>
        <v>0</v>
      </c>
      <c r="F13" s="32">
        <f t="shared" si="0"/>
        <v>0</v>
      </c>
      <c r="G13" s="33">
        <f t="shared" si="1"/>
        <v>0</v>
      </c>
      <c r="H13" s="43" t="str">
        <f t="shared" si="2"/>
        <v>û</v>
      </c>
      <c r="I13" s="44">
        <v>0</v>
      </c>
      <c r="J13" s="45"/>
      <c r="K13" s="9"/>
      <c r="L13" s="54">
        <v>20</v>
      </c>
      <c r="M13" s="54">
        <v>40</v>
      </c>
      <c r="N13" s="54">
        <v>60</v>
      </c>
      <c r="O13" s="54">
        <v>80</v>
      </c>
      <c r="P13" s="54">
        <v>100</v>
      </c>
      <c r="Q13" s="9"/>
      <c r="R13" s="3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23.25" customHeight="1" x14ac:dyDescent="0.55000000000000004">
      <c r="A14" s="39">
        <v>10</v>
      </c>
      <c r="B14" s="53" t="s">
        <v>39</v>
      </c>
      <c r="C14" s="41"/>
      <c r="D14" s="42">
        <v>460</v>
      </c>
      <c r="E14" s="50">
        <f>'[1]รายละเอียด 1.1.4'!H91</f>
        <v>591</v>
      </c>
      <c r="F14" s="32">
        <f t="shared" si="0"/>
        <v>128.47999999999999</v>
      </c>
      <c r="G14" s="33">
        <f t="shared" si="1"/>
        <v>5</v>
      </c>
      <c r="H14" s="43" t="str">
        <f t="shared" si="2"/>
        <v>ü</v>
      </c>
      <c r="I14" s="44">
        <v>128</v>
      </c>
      <c r="J14" s="45"/>
      <c r="K14" s="9"/>
      <c r="L14" s="9"/>
      <c r="M14" s="9"/>
      <c r="N14" s="9"/>
      <c r="O14" s="9"/>
      <c r="P14" s="9"/>
      <c r="Q14" s="9"/>
      <c r="R14" s="3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23.25" customHeight="1" x14ac:dyDescent="0.4">
      <c r="A15" s="49">
        <v>11</v>
      </c>
      <c r="B15" s="53" t="s">
        <v>40</v>
      </c>
      <c r="C15" s="41"/>
      <c r="D15" s="42">
        <v>39</v>
      </c>
      <c r="E15" s="50">
        <f>'[1]รายละเอียด 1.1.4'!H94</f>
        <v>0</v>
      </c>
      <c r="F15" s="32">
        <f t="shared" si="0"/>
        <v>0</v>
      </c>
      <c r="G15" s="33">
        <f t="shared" si="1"/>
        <v>0</v>
      </c>
      <c r="H15" s="43" t="str">
        <f t="shared" si="2"/>
        <v>û</v>
      </c>
      <c r="I15" s="44">
        <v>0</v>
      </c>
      <c r="J15" s="45"/>
      <c r="K15" s="9"/>
      <c r="L15" s="9"/>
      <c r="M15" s="9"/>
      <c r="N15" s="9"/>
      <c r="O15" s="9"/>
      <c r="P15" s="9"/>
      <c r="Q15" s="9"/>
      <c r="R15" s="3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23.25" customHeight="1" x14ac:dyDescent="0.55000000000000004">
      <c r="A16" s="39">
        <v>12</v>
      </c>
      <c r="B16" s="53" t="s">
        <v>41</v>
      </c>
      <c r="C16" s="41"/>
      <c r="D16" s="42">
        <v>433</v>
      </c>
      <c r="E16" s="50">
        <f>'[1]รายละเอียด 1.1.4'!H100</f>
        <v>409</v>
      </c>
      <c r="F16" s="32">
        <f>IFERROR(ROUND((E16/D16)*100,2),0)</f>
        <v>94.46</v>
      </c>
      <c r="G16" s="33">
        <f t="shared" si="1"/>
        <v>4.7229999999999999</v>
      </c>
      <c r="H16" s="43" t="str">
        <f t="shared" si="2"/>
        <v>û</v>
      </c>
      <c r="I16" s="44">
        <v>94.46</v>
      </c>
      <c r="J16" s="45"/>
      <c r="K16" s="9"/>
      <c r="L16" s="9"/>
      <c r="M16" s="9"/>
      <c r="N16" s="9"/>
      <c r="O16" s="9"/>
      <c r="P16" s="9"/>
      <c r="Q16" s="9"/>
      <c r="R16" s="3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7" ht="23.25" customHeight="1" x14ac:dyDescent="0.4">
      <c r="A17" s="49">
        <v>13</v>
      </c>
      <c r="B17" s="53" t="s">
        <v>42</v>
      </c>
      <c r="C17" s="41"/>
      <c r="D17" s="42">
        <v>427</v>
      </c>
      <c r="E17" s="50">
        <f>'[1]รายละเอียด 1.1.4'!H108</f>
        <v>25</v>
      </c>
      <c r="F17" s="32">
        <f>IFERROR(ROUND((E17/D17)*100,2),0)</f>
        <v>5.85</v>
      </c>
      <c r="G17" s="33">
        <f t="shared" si="1"/>
        <v>1</v>
      </c>
      <c r="H17" s="43" t="str">
        <f t="shared" si="2"/>
        <v>û</v>
      </c>
      <c r="I17" s="44">
        <v>5.85</v>
      </c>
      <c r="J17" s="45"/>
      <c r="K17" s="9"/>
      <c r="L17" s="9"/>
      <c r="M17" s="9"/>
      <c r="N17" s="9"/>
      <c r="O17" s="9"/>
      <c r="P17" s="9"/>
      <c r="Q17" s="9"/>
      <c r="R17" s="3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7" ht="23.25" customHeight="1" x14ac:dyDescent="0.55000000000000004">
      <c r="A18" s="39">
        <v>14</v>
      </c>
      <c r="B18" s="53" t="s">
        <v>43</v>
      </c>
      <c r="C18" s="41"/>
      <c r="D18" s="42">
        <v>440</v>
      </c>
      <c r="E18" s="50">
        <f>'[1]รายละเอียด 1.1.4'!H113</f>
        <v>421</v>
      </c>
      <c r="F18" s="32">
        <f t="shared" si="0"/>
        <v>95.68</v>
      </c>
      <c r="G18" s="33">
        <f t="shared" si="1"/>
        <v>4.7840000000000007</v>
      </c>
      <c r="H18" s="43" t="str">
        <f t="shared" si="2"/>
        <v>û</v>
      </c>
      <c r="I18" s="44" t="s">
        <v>34</v>
      </c>
      <c r="J18" s="45"/>
      <c r="K18" s="9"/>
      <c r="L18" s="9"/>
      <c r="M18" s="9"/>
      <c r="N18" s="9"/>
      <c r="O18" s="9"/>
      <c r="P18" s="9"/>
      <c r="Q18" s="9"/>
      <c r="R18" s="3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7" ht="24" customHeight="1" x14ac:dyDescent="0.4">
      <c r="A19" s="55" t="s">
        <v>20</v>
      </c>
      <c r="B19" s="56"/>
      <c r="C19" s="57"/>
      <c r="D19" s="58">
        <v>4300</v>
      </c>
      <c r="E19" s="59">
        <f>SUM(E5:E18)</f>
        <v>2084</v>
      </c>
      <c r="F19" s="60">
        <f>IFERROR(ROUND((E19/D19)*100,2),0)</f>
        <v>48.47</v>
      </c>
      <c r="G19" s="61">
        <f t="shared" si="1"/>
        <v>2.4234999999999998</v>
      </c>
      <c r="H19" s="62" t="str">
        <f t="shared" si="2"/>
        <v>û</v>
      </c>
      <c r="I19" s="63"/>
      <c r="J19" s="6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7" ht="24" customHeight="1" x14ac:dyDescent="0.55000000000000004">
      <c r="A20" s="64" t="s">
        <v>44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7" ht="39.75" customHeight="1" x14ac:dyDescent="0.4">
      <c r="A21" s="65" t="s">
        <v>45</v>
      </c>
      <c r="B21" s="65"/>
      <c r="C21" s="66" t="s">
        <v>46</v>
      </c>
      <c r="D21" s="66"/>
      <c r="E21" s="66"/>
      <c r="F21" s="67" t="s">
        <v>2</v>
      </c>
      <c r="G21" s="67" t="s">
        <v>47</v>
      </c>
      <c r="H21" s="67" t="s">
        <v>17</v>
      </c>
      <c r="I21" s="68" t="s">
        <v>18</v>
      </c>
      <c r="J21" s="69" t="s">
        <v>19</v>
      </c>
      <c r="K21" s="7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7" ht="37.5" customHeight="1" x14ac:dyDescent="0.4">
      <c r="A22" s="65"/>
      <c r="B22" s="65"/>
      <c r="C22" s="66"/>
      <c r="D22" s="66"/>
      <c r="E22" s="66"/>
      <c r="F22" s="71">
        <v>2</v>
      </c>
      <c r="G22" s="72">
        <v>2</v>
      </c>
      <c r="H22" s="73" t="str">
        <f>IF(G22=5,"ü","û")</f>
        <v>û</v>
      </c>
      <c r="I22" s="74">
        <v>2</v>
      </c>
      <c r="J22" s="75" t="s">
        <v>48</v>
      </c>
      <c r="K22" s="7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7" ht="24" customHeight="1" x14ac:dyDescent="0.4">
      <c r="A23" s="7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7" ht="24" customHeight="1" x14ac:dyDescent="0.4">
      <c r="A24" s="7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7" s="78" customFormat="1" ht="24" customHeight="1" x14ac:dyDescent="0.75">
      <c r="A25" s="76" t="s">
        <v>49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</row>
    <row r="26" spans="1:37" ht="24" customHeight="1" x14ac:dyDescent="0.4">
      <c r="A26" s="70" t="str">
        <f>A4</f>
        <v>ลำดับ</v>
      </c>
      <c r="B26" s="9" t="str">
        <f>B4</f>
        <v>หน่วยงาน</v>
      </c>
      <c r="C26" s="9" t="e">
        <f>#REF!</f>
        <v>#REF!</v>
      </c>
      <c r="D26" s="9" t="str">
        <f>D4</f>
        <v>เป้าหมาย</v>
      </c>
      <c r="E26" s="79" t="s">
        <v>50</v>
      </c>
      <c r="F26" s="9" t="s">
        <v>51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7" ht="24" customHeight="1" x14ac:dyDescent="0.4">
      <c r="A27" s="70">
        <f t="shared" ref="A27:F41" si="3">A5</f>
        <v>1</v>
      </c>
      <c r="B27" s="9" t="s">
        <v>52</v>
      </c>
      <c r="C27" s="9">
        <f t="shared" si="3"/>
        <v>0</v>
      </c>
      <c r="D27" s="9">
        <f t="shared" si="3"/>
        <v>250</v>
      </c>
      <c r="E27" s="9">
        <f t="shared" si="3"/>
        <v>315</v>
      </c>
      <c r="F27" s="9">
        <f t="shared" si="3"/>
        <v>126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7" ht="24" customHeight="1" x14ac:dyDescent="0.4">
      <c r="A28" s="70">
        <f t="shared" si="3"/>
        <v>2</v>
      </c>
      <c r="B28" s="9" t="s">
        <v>53</v>
      </c>
      <c r="C28" s="9">
        <f t="shared" si="3"/>
        <v>0</v>
      </c>
      <c r="D28" s="9">
        <f t="shared" si="3"/>
        <v>380</v>
      </c>
      <c r="E28" s="9">
        <f t="shared" si="3"/>
        <v>63</v>
      </c>
      <c r="F28" s="9">
        <f t="shared" si="3"/>
        <v>16.579999999999998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7" ht="24" customHeight="1" x14ac:dyDescent="0.4">
      <c r="A29" s="70">
        <f t="shared" si="3"/>
        <v>3</v>
      </c>
      <c r="B29" s="9" t="s">
        <v>54</v>
      </c>
      <c r="C29" s="9">
        <f t="shared" si="3"/>
        <v>0</v>
      </c>
      <c r="D29" s="9">
        <f t="shared" si="3"/>
        <v>420</v>
      </c>
      <c r="E29" s="9">
        <f t="shared" si="3"/>
        <v>149</v>
      </c>
      <c r="F29" s="9">
        <f t="shared" si="3"/>
        <v>35.479999999999997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7" ht="24" customHeight="1" x14ac:dyDescent="0.4">
      <c r="A30" s="70">
        <f t="shared" si="3"/>
        <v>4</v>
      </c>
      <c r="B30" s="9" t="s">
        <v>55</v>
      </c>
      <c r="C30" s="9">
        <f t="shared" si="3"/>
        <v>0</v>
      </c>
      <c r="D30" s="9">
        <f t="shared" si="3"/>
        <v>733</v>
      </c>
      <c r="E30" s="9">
        <f t="shared" si="3"/>
        <v>31</v>
      </c>
      <c r="F30" s="9">
        <f t="shared" si="3"/>
        <v>4.2300000000000004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7" ht="24" customHeight="1" x14ac:dyDescent="0.4">
      <c r="A31" s="70">
        <f t="shared" si="3"/>
        <v>5</v>
      </c>
      <c r="B31" s="9" t="s">
        <v>56</v>
      </c>
      <c r="C31" s="9">
        <f t="shared" si="3"/>
        <v>0</v>
      </c>
      <c r="D31" s="9">
        <f t="shared" si="3"/>
        <v>195</v>
      </c>
      <c r="E31" s="9">
        <f t="shared" si="3"/>
        <v>2</v>
      </c>
      <c r="F31" s="9">
        <f t="shared" si="3"/>
        <v>1.03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7" ht="24" customHeight="1" x14ac:dyDescent="0.4">
      <c r="A32" s="70">
        <f t="shared" si="3"/>
        <v>6</v>
      </c>
      <c r="B32" s="9" t="s">
        <v>57</v>
      </c>
      <c r="C32" s="9">
        <f t="shared" si="3"/>
        <v>0</v>
      </c>
      <c r="D32" s="9">
        <f t="shared" si="3"/>
        <v>210</v>
      </c>
      <c r="E32" s="9">
        <f t="shared" si="3"/>
        <v>0</v>
      </c>
      <c r="F32" s="9">
        <f t="shared" si="3"/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24" customHeight="1" x14ac:dyDescent="0.4">
      <c r="A33" s="70">
        <f t="shared" si="3"/>
        <v>7</v>
      </c>
      <c r="B33" s="9" t="s">
        <v>58</v>
      </c>
      <c r="C33" s="9">
        <f t="shared" si="3"/>
        <v>0</v>
      </c>
      <c r="D33" s="9">
        <f t="shared" si="3"/>
        <v>123</v>
      </c>
      <c r="E33" s="9">
        <f t="shared" si="3"/>
        <v>78</v>
      </c>
      <c r="F33" s="9">
        <f t="shared" si="3"/>
        <v>63.41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24" customHeight="1" x14ac:dyDescent="0.4">
      <c r="A34" s="70">
        <f t="shared" si="3"/>
        <v>8</v>
      </c>
      <c r="B34" s="9" t="s">
        <v>59</v>
      </c>
      <c r="C34" s="9">
        <f t="shared" si="3"/>
        <v>0</v>
      </c>
      <c r="D34" s="9">
        <f t="shared" si="3"/>
        <v>85</v>
      </c>
      <c r="E34" s="9">
        <f t="shared" si="3"/>
        <v>0</v>
      </c>
      <c r="F34" s="9">
        <f t="shared" si="3"/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24" customHeight="1" x14ac:dyDescent="0.4">
      <c r="A35" s="70">
        <f t="shared" si="3"/>
        <v>9</v>
      </c>
      <c r="B35" s="9" t="s">
        <v>60</v>
      </c>
      <c r="C35" s="9">
        <f t="shared" si="3"/>
        <v>0</v>
      </c>
      <c r="D35" s="9">
        <f t="shared" si="3"/>
        <v>105</v>
      </c>
      <c r="E35" s="9">
        <f t="shared" si="3"/>
        <v>0</v>
      </c>
      <c r="F35" s="9">
        <f t="shared" si="3"/>
        <v>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24" customHeight="1" x14ac:dyDescent="0.4">
      <c r="A36" s="70">
        <f t="shared" si="3"/>
        <v>10</v>
      </c>
      <c r="B36" s="9" t="s">
        <v>61</v>
      </c>
      <c r="C36" s="9">
        <f t="shared" si="3"/>
        <v>0</v>
      </c>
      <c r="D36" s="9">
        <f t="shared" si="3"/>
        <v>460</v>
      </c>
      <c r="E36" s="9">
        <f t="shared" si="3"/>
        <v>591</v>
      </c>
      <c r="F36" s="9">
        <f t="shared" si="3"/>
        <v>128.47999999999999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24" customHeight="1" x14ac:dyDescent="0.4">
      <c r="A37" s="70">
        <f t="shared" si="3"/>
        <v>11</v>
      </c>
      <c r="B37" s="9" t="s">
        <v>62</v>
      </c>
      <c r="C37" s="9">
        <f t="shared" si="3"/>
        <v>0</v>
      </c>
      <c r="D37" s="9">
        <f t="shared" si="3"/>
        <v>39</v>
      </c>
      <c r="E37" s="9">
        <f t="shared" si="3"/>
        <v>0</v>
      </c>
      <c r="F37" s="9">
        <f t="shared" si="3"/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24" customHeight="1" x14ac:dyDescent="0.4">
      <c r="A38" s="70">
        <f t="shared" si="3"/>
        <v>12</v>
      </c>
      <c r="B38" s="9" t="s">
        <v>63</v>
      </c>
      <c r="C38" s="9">
        <f t="shared" si="3"/>
        <v>0</v>
      </c>
      <c r="D38" s="9">
        <f t="shared" si="3"/>
        <v>433</v>
      </c>
      <c r="E38" s="9">
        <f t="shared" si="3"/>
        <v>409</v>
      </c>
      <c r="F38" s="9">
        <f t="shared" si="3"/>
        <v>94.46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24" customHeight="1" x14ac:dyDescent="0.4">
      <c r="A39" s="70">
        <f t="shared" si="3"/>
        <v>13</v>
      </c>
      <c r="B39" s="9" t="s">
        <v>64</v>
      </c>
      <c r="C39" s="9">
        <f t="shared" si="3"/>
        <v>0</v>
      </c>
      <c r="D39" s="9">
        <f t="shared" si="3"/>
        <v>427</v>
      </c>
      <c r="E39" s="9">
        <f t="shared" si="3"/>
        <v>25</v>
      </c>
      <c r="F39" s="9">
        <f t="shared" si="3"/>
        <v>5.85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24" customHeight="1" x14ac:dyDescent="0.4">
      <c r="A40" s="70">
        <f t="shared" si="3"/>
        <v>14</v>
      </c>
      <c r="B40" s="9" t="s">
        <v>65</v>
      </c>
      <c r="C40" s="9">
        <f t="shared" si="3"/>
        <v>0</v>
      </c>
      <c r="D40" s="9">
        <f t="shared" si="3"/>
        <v>440</v>
      </c>
      <c r="E40" s="9">
        <f t="shared" si="3"/>
        <v>421</v>
      </c>
      <c r="F40" s="9">
        <f t="shared" si="3"/>
        <v>95.68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24" customHeight="1" x14ac:dyDescent="0.4">
      <c r="A41" s="70" t="str">
        <f t="shared" si="3"/>
        <v>ระดับมหาวิทยาลัย</v>
      </c>
      <c r="B41" s="9" t="s">
        <v>66</v>
      </c>
      <c r="C41" s="9">
        <f t="shared" si="3"/>
        <v>0</v>
      </c>
      <c r="D41" s="9">
        <f t="shared" si="3"/>
        <v>4300</v>
      </c>
      <c r="E41" s="9">
        <f t="shared" si="3"/>
        <v>2084</v>
      </c>
      <c r="F41" s="9">
        <f t="shared" si="3"/>
        <v>48.47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24" customHeight="1" x14ac:dyDescent="0.4">
      <c r="A42" s="7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24" customHeight="1" x14ac:dyDescent="0.4">
      <c r="A43" s="7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24" customHeight="1" x14ac:dyDescent="0.4">
      <c r="A44" s="7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24" customHeight="1" x14ac:dyDescent="0.4">
      <c r="A45" s="7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24" customHeight="1" x14ac:dyDescent="0.4">
      <c r="A46" s="7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24" customHeight="1" x14ac:dyDescent="0.4">
      <c r="A47" s="7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24" customHeight="1" x14ac:dyDescent="0.4">
      <c r="A48" s="7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24" customHeight="1" x14ac:dyDescent="0.4">
      <c r="A49" s="7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24" customHeight="1" x14ac:dyDescent="0.4">
      <c r="A50" s="7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24" customHeight="1" x14ac:dyDescent="0.4">
      <c r="A51" s="7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24" customHeight="1" x14ac:dyDescent="0.4">
      <c r="A52" s="7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24" customHeight="1" x14ac:dyDescent="0.4">
      <c r="A53" s="7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24" customHeight="1" x14ac:dyDescent="0.4">
      <c r="A54" s="7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24" customHeight="1" x14ac:dyDescent="0.4">
      <c r="A55" s="7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24" customHeight="1" x14ac:dyDescent="0.4">
      <c r="A56" s="7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24" customHeight="1" x14ac:dyDescent="0.4">
      <c r="A57" s="7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24" customHeight="1" x14ac:dyDescent="0.4">
      <c r="A58" s="7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24" customHeight="1" x14ac:dyDescent="0.4">
      <c r="A59" s="7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24" customHeight="1" x14ac:dyDescent="0.4">
      <c r="A60" s="7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24" customHeight="1" x14ac:dyDescent="0.4">
      <c r="A61" s="7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24" customHeight="1" x14ac:dyDescent="0.4">
      <c r="A62" s="7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24" customHeight="1" x14ac:dyDescent="0.4">
      <c r="A63" s="7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24" customHeight="1" x14ac:dyDescent="0.4">
      <c r="A64" s="7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24" customHeight="1" x14ac:dyDescent="0.4">
      <c r="A65" s="7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24" customHeight="1" x14ac:dyDescent="0.4">
      <c r="A66" s="7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24" customHeight="1" x14ac:dyDescent="0.4">
      <c r="A67" s="7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24" customHeight="1" x14ac:dyDescent="0.4">
      <c r="A68" s="7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24" customHeight="1" x14ac:dyDescent="0.4">
      <c r="A69" s="7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24" customHeight="1" x14ac:dyDescent="0.4">
      <c r="A70" s="7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24" customHeight="1" x14ac:dyDescent="0.4">
      <c r="A71" s="7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24" customHeight="1" x14ac:dyDescent="0.4">
      <c r="A72" s="7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24" customHeight="1" x14ac:dyDescent="0.4">
      <c r="A73" s="70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24" customHeight="1" x14ac:dyDescent="0.4">
      <c r="A74" s="70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24" customHeight="1" x14ac:dyDescent="0.4">
      <c r="A75" s="70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24" customHeight="1" x14ac:dyDescent="0.4">
      <c r="A76" s="7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24" customHeight="1" x14ac:dyDescent="0.4">
      <c r="A77" s="7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24" customHeight="1" x14ac:dyDescent="0.4">
      <c r="A78" s="7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24" customHeight="1" x14ac:dyDescent="0.4">
      <c r="A79" s="7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24" customHeight="1" x14ac:dyDescent="0.4">
      <c r="A80" s="7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24" customHeight="1" x14ac:dyDescent="0.4">
      <c r="A81" s="7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24" customHeight="1" x14ac:dyDescent="0.4">
      <c r="A82" s="7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24" customHeight="1" x14ac:dyDescent="0.4">
      <c r="A83" s="7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24" customHeight="1" x14ac:dyDescent="0.4">
      <c r="A84" s="7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24" customHeight="1" x14ac:dyDescent="0.4">
      <c r="A85" s="7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24" customHeight="1" x14ac:dyDescent="0.4">
      <c r="A86" s="7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24" customHeight="1" x14ac:dyDescent="0.4">
      <c r="A87" s="7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24" customHeight="1" x14ac:dyDescent="0.4">
      <c r="A88" s="7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24" customHeight="1" x14ac:dyDescent="0.4">
      <c r="A89" s="7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24" customHeight="1" x14ac:dyDescent="0.4">
      <c r="A90" s="7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24" customHeight="1" x14ac:dyDescent="0.4">
      <c r="A91" s="7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24" customHeight="1" x14ac:dyDescent="0.4">
      <c r="A92" s="7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ht="24" customHeight="1" x14ac:dyDescent="0.4">
      <c r="A93" s="7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24" customHeight="1" x14ac:dyDescent="0.4">
      <c r="A94" s="7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ht="24" customHeight="1" x14ac:dyDescent="0.4">
      <c r="A95" s="70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24" customHeight="1" x14ac:dyDescent="0.4">
      <c r="A96" s="7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24" customHeight="1" x14ac:dyDescent="0.4">
      <c r="A97" s="7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24" customHeight="1" x14ac:dyDescent="0.4">
      <c r="A98" s="7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24" customHeight="1" x14ac:dyDescent="0.4">
      <c r="A99" s="70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24" customHeight="1" x14ac:dyDescent="0.4">
      <c r="A100" s="7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24" customHeight="1" x14ac:dyDescent="0.4">
      <c r="A101" s="7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24" customHeight="1" x14ac:dyDescent="0.4">
      <c r="A102" s="7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24" customHeight="1" x14ac:dyDescent="0.4">
      <c r="A103" s="7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24" customHeight="1" x14ac:dyDescent="0.4">
      <c r="A104" s="7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24" customHeight="1" x14ac:dyDescent="0.4">
      <c r="A105" s="7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24" customHeight="1" x14ac:dyDescent="0.4">
      <c r="A106" s="7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24" customHeight="1" x14ac:dyDescent="0.4">
      <c r="A107" s="7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24" customHeight="1" x14ac:dyDescent="0.4">
      <c r="A108" s="7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24" customHeight="1" x14ac:dyDescent="0.4">
      <c r="A109" s="7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24" customHeight="1" x14ac:dyDescent="0.4">
      <c r="A110" s="7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ht="24" customHeight="1" x14ac:dyDescent="0.4">
      <c r="A111" s="7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ht="24" customHeight="1" x14ac:dyDescent="0.4">
      <c r="A112" s="7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ht="24" customHeight="1" x14ac:dyDescent="0.4">
      <c r="A113" s="7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ht="24" customHeight="1" x14ac:dyDescent="0.4">
      <c r="A114" s="7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 ht="24" customHeight="1" x14ac:dyDescent="0.4">
      <c r="A115" s="70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ht="24" customHeight="1" x14ac:dyDescent="0.4">
      <c r="A116" s="70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ht="24" customHeight="1" x14ac:dyDescent="0.4">
      <c r="A117" s="70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ht="24" customHeight="1" x14ac:dyDescent="0.4">
      <c r="A118" s="70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24" customHeight="1" x14ac:dyDescent="0.4">
      <c r="A119" s="70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24" customHeight="1" x14ac:dyDescent="0.4">
      <c r="A120" s="70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24" customHeight="1" x14ac:dyDescent="0.4">
      <c r="A121" s="70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24" customHeight="1" x14ac:dyDescent="0.4">
      <c r="A122" s="70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ht="24" customHeight="1" x14ac:dyDescent="0.4">
      <c r="A123" s="70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ht="24" customHeight="1" x14ac:dyDescent="0.4">
      <c r="A124" s="70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ht="24" customHeight="1" x14ac:dyDescent="0.4">
      <c r="A125" s="70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ht="24" customHeight="1" x14ac:dyDescent="0.4">
      <c r="A126" s="70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24" customHeight="1" x14ac:dyDescent="0.4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ht="24" customHeight="1" x14ac:dyDescent="0.4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2:36" ht="24" customHeight="1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2:36" ht="24" customHeight="1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2:36" ht="24" customHeight="1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2:36" ht="24" customHeight="1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2:36" ht="24" customHeight="1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2:36" ht="24" customHeight="1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2:36" ht="24" customHeight="1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2:36" ht="24" customHeight="1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2:36" ht="24" customHeight="1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2:36" ht="24" customHeight="1" x14ac:dyDescent="0.2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2:36" ht="24" customHeight="1" x14ac:dyDescent="0.2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2:36" ht="24" customHeight="1" x14ac:dyDescent="0.2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2:36" ht="24" customHeight="1" x14ac:dyDescent="0.2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2:36" ht="24" customHeight="1" x14ac:dyDescent="0.2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2:36" ht="24" customHeight="1" x14ac:dyDescent="0.2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2:36" ht="24" customHeight="1" x14ac:dyDescent="0.2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2:36" ht="24" customHeight="1" x14ac:dyDescent="0.2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2:36" ht="24" customHeight="1" x14ac:dyDescent="0.2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2:36" ht="24" customHeight="1" x14ac:dyDescent="0.2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2:36" ht="24" customHeight="1" x14ac:dyDescent="0.2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2:36" ht="24" customHeight="1" x14ac:dyDescent="0.2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2:36" ht="24" customHeight="1" x14ac:dyDescent="0.2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2:36" ht="24" customHeight="1" x14ac:dyDescent="0.2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2:36" ht="24" customHeight="1" x14ac:dyDescent="0.2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2:36" ht="24" customHeight="1" x14ac:dyDescent="0.2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2:36" ht="24" customHeight="1" x14ac:dyDescent="0.2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2:36" ht="24" customHeight="1" x14ac:dyDescent="0.2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2:36" ht="24" customHeight="1" x14ac:dyDescent="0.2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2:36" ht="24" customHeight="1" x14ac:dyDescent="0.2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2:36" ht="24" customHeight="1" x14ac:dyDescent="0.2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2:36" ht="24" customHeight="1" x14ac:dyDescent="0.2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2:36" ht="24" customHeight="1" x14ac:dyDescent="0.2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2:36" ht="24" customHeight="1" x14ac:dyDescent="0.2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ht="24" customHeight="1" x14ac:dyDescent="0.2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ht="24" customHeight="1" x14ac:dyDescent="0.2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ht="24" customHeight="1" x14ac:dyDescent="0.2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ht="24" customHeight="1" x14ac:dyDescent="0.2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ht="24" customHeight="1" x14ac:dyDescent="0.2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2:36" ht="24" customHeight="1" x14ac:dyDescent="0.2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2:36" ht="24" customHeight="1" x14ac:dyDescent="0.2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2:36" ht="24" customHeight="1" x14ac:dyDescent="0.2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2:36" ht="24" customHeight="1" x14ac:dyDescent="0.2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ht="24" customHeight="1" x14ac:dyDescent="0.2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ht="24" customHeight="1" x14ac:dyDescent="0.2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2:36" ht="24" customHeight="1" x14ac:dyDescent="0.2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2:36" ht="24" customHeight="1" x14ac:dyDescent="0.2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2:36" ht="24" customHeight="1" x14ac:dyDescent="0.2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2:36" ht="24" customHeight="1" x14ac:dyDescent="0.2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2:36" ht="24" customHeight="1" x14ac:dyDescent="0.2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2:36" ht="24" customHeight="1" x14ac:dyDescent="0.2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2:36" ht="24" customHeight="1" x14ac:dyDescent="0.2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2:36" ht="24" customHeight="1" x14ac:dyDescent="0.2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2:36" ht="24" customHeight="1" x14ac:dyDescent="0.2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2:36" ht="24" customHeight="1" x14ac:dyDescent="0.2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2:36" ht="24" customHeight="1" x14ac:dyDescent="0.2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2:36" ht="24" customHeight="1" x14ac:dyDescent="0.2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2:36" ht="24" customHeight="1" x14ac:dyDescent="0.2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2:36" ht="24" customHeight="1" x14ac:dyDescent="0.2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2:36" ht="24" customHeight="1" x14ac:dyDescent="0.2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2:36" ht="24" customHeight="1" x14ac:dyDescent="0.2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2:36" ht="24" customHeight="1" x14ac:dyDescent="0.2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2:36" ht="24" customHeight="1" x14ac:dyDescent="0.2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2:36" ht="24" customHeight="1" x14ac:dyDescent="0.2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2:36" ht="24" customHeight="1" x14ac:dyDescent="0.2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2:36" ht="24" customHeight="1" x14ac:dyDescent="0.2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2:36" ht="24" customHeight="1" x14ac:dyDescent="0.2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2:36" ht="24" customHeight="1" x14ac:dyDescent="0.2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2:36" ht="24" customHeight="1" x14ac:dyDescent="0.2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2:36" ht="24" customHeight="1" x14ac:dyDescent="0.2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2:36" ht="24" customHeight="1" x14ac:dyDescent="0.2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2:36" ht="24" customHeight="1" x14ac:dyDescent="0.2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2:36" ht="24" customHeight="1" x14ac:dyDescent="0.2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2:36" ht="24" customHeight="1" x14ac:dyDescent="0.2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2:36" ht="24" customHeight="1" x14ac:dyDescent="0.2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2:36" ht="24" customHeight="1" x14ac:dyDescent="0.2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2:36" ht="24" customHeight="1" x14ac:dyDescent="0.2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2:36" ht="24" customHeight="1" x14ac:dyDescent="0.2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2:36" ht="24" customHeight="1" x14ac:dyDescent="0.2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2:36" ht="24" customHeight="1" x14ac:dyDescent="0.2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2:36" ht="24" customHeight="1" x14ac:dyDescent="0.2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2:36" ht="24" customHeight="1" x14ac:dyDescent="0.2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2:36" ht="24" customHeight="1" x14ac:dyDescent="0.2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2:36" ht="24" customHeight="1" x14ac:dyDescent="0.2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2:36" ht="24" customHeight="1" x14ac:dyDescent="0.2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2:36" ht="24" customHeight="1" x14ac:dyDescent="0.2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2:36" ht="24" customHeight="1" x14ac:dyDescent="0.2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2:36" ht="24" customHeight="1" x14ac:dyDescent="0.2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2:36" ht="24" customHeight="1" x14ac:dyDescent="0.2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2:36" ht="24" customHeight="1" x14ac:dyDescent="0.2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2:36" ht="24" customHeight="1" x14ac:dyDescent="0.2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2:36" ht="24" customHeight="1" x14ac:dyDescent="0.2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2:36" ht="24" customHeight="1" x14ac:dyDescent="0.2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2:36" ht="24" customHeight="1" x14ac:dyDescent="0.2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2:36" ht="24" customHeight="1" x14ac:dyDescent="0.2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2:36" ht="24" customHeight="1" x14ac:dyDescent="0.2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2:36" ht="24" customHeight="1" x14ac:dyDescent="0.2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2:36" ht="24" customHeight="1" x14ac:dyDescent="0.2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2:36" ht="24" customHeight="1" x14ac:dyDescent="0.2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2:36" ht="24" customHeight="1" x14ac:dyDescent="0.2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2:36" ht="24" customHeight="1" x14ac:dyDescent="0.2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2:36" ht="24" customHeight="1" x14ac:dyDescent="0.2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2:36" ht="24" customHeight="1" x14ac:dyDescent="0.2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2:36" ht="24" customHeight="1" x14ac:dyDescent="0.2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2:36" ht="24" customHeight="1" x14ac:dyDescent="0.2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2:36" ht="24" customHeight="1" x14ac:dyDescent="0.2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2:36" ht="24" customHeight="1" x14ac:dyDescent="0.2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2:36" ht="24" customHeight="1" x14ac:dyDescent="0.2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2:36" ht="24" customHeight="1" x14ac:dyDescent="0.2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2:36" ht="24" customHeight="1" x14ac:dyDescent="0.2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2:36" ht="24" customHeight="1" x14ac:dyDescent="0.2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2:36" ht="24" customHeight="1" x14ac:dyDescent="0.2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2:36" ht="24" customHeight="1" x14ac:dyDescent="0.2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2:36" ht="24" customHeight="1" x14ac:dyDescent="0.2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2:36" ht="24" customHeight="1" x14ac:dyDescent="0.2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2:36" ht="24" customHeight="1" x14ac:dyDescent="0.2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</row>
    <row r="244" spans="2:36" ht="24" customHeight="1" x14ac:dyDescent="0.2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</row>
    <row r="245" spans="2:36" ht="24" customHeight="1" x14ac:dyDescent="0.2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</row>
    <row r="246" spans="2:36" ht="24" customHeight="1" x14ac:dyDescent="0.2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</row>
    <row r="247" spans="2:36" ht="24" customHeight="1" x14ac:dyDescent="0.2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2:36" ht="24" customHeight="1" x14ac:dyDescent="0.2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</row>
    <row r="249" spans="2:36" ht="24" customHeight="1" x14ac:dyDescent="0.2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2:36" ht="24" customHeight="1" x14ac:dyDescent="0.2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</row>
    <row r="251" spans="2:36" ht="24" customHeight="1" x14ac:dyDescent="0.2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</row>
    <row r="252" spans="2:36" ht="24" customHeight="1" x14ac:dyDescent="0.2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</row>
    <row r="253" spans="2:36" ht="24" customHeight="1" x14ac:dyDescent="0.2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2:36" ht="24" customHeight="1" x14ac:dyDescent="0.2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2:36" ht="24" customHeight="1" x14ac:dyDescent="0.2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2:36" ht="24" customHeight="1" x14ac:dyDescent="0.2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2:36" ht="24" customHeight="1" x14ac:dyDescent="0.2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</row>
    <row r="258" spans="2:36" ht="24" customHeight="1" x14ac:dyDescent="0.2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</row>
    <row r="259" spans="2:36" ht="24" customHeight="1" x14ac:dyDescent="0.2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2:36" ht="24" customHeight="1" x14ac:dyDescent="0.2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2:36" ht="24" customHeight="1" x14ac:dyDescent="0.2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2:36" ht="24" customHeight="1" x14ac:dyDescent="0.2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2:36" ht="24" customHeight="1" x14ac:dyDescent="0.2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</row>
    <row r="264" spans="2:36" ht="24" customHeight="1" x14ac:dyDescent="0.2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2:36" ht="24" customHeight="1" x14ac:dyDescent="0.2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2:36" ht="24" customHeight="1" x14ac:dyDescent="0.2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2:36" ht="24" customHeight="1" x14ac:dyDescent="0.2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</row>
    <row r="268" spans="2:36" ht="24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2:36" ht="24" customHeight="1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2:36" ht="24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2:36" ht="24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2:36" ht="24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2:36" ht="24" customHeight="1" x14ac:dyDescent="0.2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</row>
    <row r="274" spans="2:36" ht="24" customHeight="1" x14ac:dyDescent="0.2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2:36" ht="24" customHeight="1" x14ac:dyDescent="0.2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2:36" ht="24" customHeight="1" x14ac:dyDescent="0.2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2:36" ht="24" customHeight="1" x14ac:dyDescent="0.2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2:36" ht="24" customHeight="1" x14ac:dyDescent="0.2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</row>
    <row r="279" spans="2:36" ht="24" customHeight="1" x14ac:dyDescent="0.2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</row>
    <row r="280" spans="2:36" ht="24" customHeight="1" x14ac:dyDescent="0.2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</row>
    <row r="281" spans="2:36" ht="24" customHeight="1" x14ac:dyDescent="0.2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</row>
    <row r="282" spans="2:36" ht="24" customHeight="1" x14ac:dyDescent="0.2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</row>
    <row r="283" spans="2:36" ht="24" customHeight="1" x14ac:dyDescent="0.2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</row>
    <row r="284" spans="2:36" ht="24" customHeight="1" x14ac:dyDescent="0.2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</row>
    <row r="285" spans="2:36" ht="24" customHeight="1" x14ac:dyDescent="0.2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</row>
    <row r="286" spans="2:36" ht="24" customHeight="1" x14ac:dyDescent="0.2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</row>
    <row r="287" spans="2:36" ht="24" customHeight="1" x14ac:dyDescent="0.2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</row>
    <row r="288" spans="2:36" ht="24" customHeight="1" x14ac:dyDescent="0.2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</row>
    <row r="289" spans="2:36" ht="24" customHeight="1" x14ac:dyDescent="0.2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</row>
    <row r="290" spans="2:36" ht="24" customHeight="1" x14ac:dyDescent="0.2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</row>
    <row r="291" spans="2:36" ht="24" customHeight="1" x14ac:dyDescent="0.2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</row>
    <row r="292" spans="2:36" ht="24" customHeight="1" x14ac:dyDescent="0.2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</row>
    <row r="293" spans="2:36" ht="24" customHeight="1" x14ac:dyDescent="0.2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</row>
    <row r="294" spans="2:36" ht="24" customHeight="1" x14ac:dyDescent="0.2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</row>
    <row r="295" spans="2:36" ht="24" customHeight="1" x14ac:dyDescent="0.2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2:36" ht="24" customHeight="1" x14ac:dyDescent="0.2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</row>
    <row r="297" spans="2:36" ht="24" customHeight="1" x14ac:dyDescent="0.2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2:36" ht="24" customHeight="1" x14ac:dyDescent="0.2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</row>
    <row r="299" spans="2:36" ht="24" customHeight="1" x14ac:dyDescent="0.2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2:36" ht="24" customHeight="1" x14ac:dyDescent="0.2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</row>
    <row r="301" spans="2:36" ht="24" customHeight="1" x14ac:dyDescent="0.2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</row>
    <row r="302" spans="2:36" ht="24" customHeight="1" x14ac:dyDescent="0.2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</row>
    <row r="303" spans="2:36" ht="24" customHeight="1" x14ac:dyDescent="0.2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2:36" ht="24" customHeight="1" x14ac:dyDescent="0.2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2:36" ht="24" customHeight="1" x14ac:dyDescent="0.2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2:36" ht="24" customHeight="1" x14ac:dyDescent="0.2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</row>
    <row r="307" spans="2:36" ht="24" customHeight="1" x14ac:dyDescent="0.2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2:36" ht="24" customHeight="1" x14ac:dyDescent="0.2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</row>
    <row r="309" spans="2:36" ht="24" customHeight="1" x14ac:dyDescent="0.2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</row>
    <row r="310" spans="2:36" ht="24" customHeight="1" x14ac:dyDescent="0.2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</row>
    <row r="311" spans="2:36" ht="24" customHeight="1" x14ac:dyDescent="0.2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2:36" ht="24" customHeight="1" x14ac:dyDescent="0.2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</row>
    <row r="313" spans="2:36" ht="24" customHeight="1" x14ac:dyDescent="0.2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</row>
    <row r="314" spans="2:36" ht="24" customHeight="1" x14ac:dyDescent="0.2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</row>
    <row r="315" spans="2:36" ht="24" customHeight="1" x14ac:dyDescent="0.2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</row>
    <row r="316" spans="2:36" ht="24" customHeight="1" x14ac:dyDescent="0.2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</row>
    <row r="317" spans="2:36" ht="24" customHeight="1" x14ac:dyDescent="0.2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</row>
    <row r="318" spans="2:36" ht="24" customHeight="1" x14ac:dyDescent="0.2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</row>
    <row r="319" spans="2:36" ht="24" customHeight="1" x14ac:dyDescent="0.2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spans="2:36" ht="24" customHeight="1" x14ac:dyDescent="0.2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</row>
    <row r="321" spans="2:36" ht="24" customHeight="1" x14ac:dyDescent="0.2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</row>
    <row r="322" spans="2:36" ht="24" customHeight="1" x14ac:dyDescent="0.2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</row>
    <row r="323" spans="2:36" ht="24" customHeight="1" x14ac:dyDescent="0.2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</row>
    <row r="324" spans="2:36" ht="24" customHeight="1" x14ac:dyDescent="0.2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</row>
    <row r="325" spans="2:36" ht="24" customHeight="1" x14ac:dyDescent="0.2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</row>
    <row r="326" spans="2:36" ht="24" customHeight="1" x14ac:dyDescent="0.2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</row>
    <row r="327" spans="2:36" ht="24" customHeight="1" x14ac:dyDescent="0.2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</row>
    <row r="328" spans="2:36" ht="24" customHeight="1" x14ac:dyDescent="0.2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</row>
    <row r="329" spans="2:36" ht="24" customHeight="1" x14ac:dyDescent="0.2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</row>
    <row r="330" spans="2:36" ht="24" customHeight="1" x14ac:dyDescent="0.2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</row>
    <row r="331" spans="2:36" ht="24" customHeight="1" x14ac:dyDescent="0.2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</row>
    <row r="332" spans="2:36" ht="24" customHeight="1" x14ac:dyDescent="0.2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</row>
    <row r="333" spans="2:36" ht="24" customHeight="1" x14ac:dyDescent="0.2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</row>
    <row r="334" spans="2:36" ht="24" customHeight="1" x14ac:dyDescent="0.2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</row>
    <row r="335" spans="2:36" ht="24" customHeight="1" x14ac:dyDescent="0.2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</row>
    <row r="336" spans="2:36" ht="24" customHeight="1" x14ac:dyDescent="0.2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</row>
    <row r="337" spans="2:36" ht="24" customHeight="1" x14ac:dyDescent="0.2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</row>
    <row r="338" spans="2:36" ht="24" customHeight="1" x14ac:dyDescent="0.2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</row>
    <row r="339" spans="2:36" ht="24" customHeight="1" x14ac:dyDescent="0.2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</row>
    <row r="340" spans="2:36" ht="24" customHeight="1" x14ac:dyDescent="0.2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</row>
    <row r="341" spans="2:36" ht="24" customHeight="1" x14ac:dyDescent="0.2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2:36" ht="24" customHeight="1" x14ac:dyDescent="0.2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</row>
    <row r="343" spans="2:36" ht="24" customHeight="1" x14ac:dyDescent="0.2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2:36" ht="24" customHeight="1" x14ac:dyDescent="0.2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</row>
    <row r="345" spans="2:36" ht="24" customHeight="1" x14ac:dyDescent="0.2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2:36" ht="24" customHeight="1" x14ac:dyDescent="0.2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</row>
    <row r="347" spans="2:36" ht="24" customHeight="1" x14ac:dyDescent="0.2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2:36" ht="24" customHeight="1" x14ac:dyDescent="0.2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</row>
    <row r="349" spans="2:36" ht="24" customHeight="1" x14ac:dyDescent="0.2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2:36" ht="24" customHeight="1" x14ac:dyDescent="0.2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2:36" ht="24" customHeight="1" x14ac:dyDescent="0.2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2:36" ht="24" customHeight="1" x14ac:dyDescent="0.2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</row>
    <row r="353" spans="2:36" ht="24" customHeight="1" x14ac:dyDescent="0.2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2:36" ht="24" customHeight="1" x14ac:dyDescent="0.2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</row>
    <row r="355" spans="2:36" ht="24" customHeight="1" x14ac:dyDescent="0.2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2:36" ht="24" customHeight="1" x14ac:dyDescent="0.2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</row>
    <row r="357" spans="2:36" ht="24" customHeight="1" x14ac:dyDescent="0.2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</row>
    <row r="358" spans="2:36" ht="24" customHeight="1" x14ac:dyDescent="0.2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</row>
    <row r="359" spans="2:36" ht="24" customHeight="1" x14ac:dyDescent="0.2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</row>
    <row r="360" spans="2:36" ht="24" customHeight="1" x14ac:dyDescent="0.2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</row>
    <row r="361" spans="2:36" ht="24" customHeight="1" x14ac:dyDescent="0.2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2:36" ht="24" customHeight="1" x14ac:dyDescent="0.2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</row>
    <row r="363" spans="2:36" ht="24" customHeight="1" x14ac:dyDescent="0.2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2:36" ht="24" customHeight="1" x14ac:dyDescent="0.2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2:36" ht="24" customHeight="1" x14ac:dyDescent="0.2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2:36" ht="24" customHeight="1" x14ac:dyDescent="0.2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</row>
    <row r="367" spans="2:36" ht="24" customHeight="1" x14ac:dyDescent="0.2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</row>
    <row r="368" spans="2:36" ht="24" customHeight="1" x14ac:dyDescent="0.2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</row>
    <row r="369" spans="2:36" ht="24" customHeight="1" x14ac:dyDescent="0.2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2:36" ht="24" customHeight="1" x14ac:dyDescent="0.2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2:36" ht="24" customHeight="1" x14ac:dyDescent="0.2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</row>
    <row r="372" spans="2:36" ht="24" customHeight="1" x14ac:dyDescent="0.2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2:36" ht="24" customHeight="1" x14ac:dyDescent="0.2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</row>
    <row r="374" spans="2:36" ht="24" customHeight="1" x14ac:dyDescent="0.2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</row>
    <row r="375" spans="2:36" ht="24" customHeight="1" x14ac:dyDescent="0.2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</row>
    <row r="376" spans="2:36" ht="24" customHeight="1" x14ac:dyDescent="0.2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</row>
    <row r="377" spans="2:36" ht="24" customHeight="1" x14ac:dyDescent="0.2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</row>
    <row r="378" spans="2:36" ht="24" customHeight="1" x14ac:dyDescent="0.2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</row>
    <row r="379" spans="2:36" ht="24" customHeight="1" x14ac:dyDescent="0.2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</row>
    <row r="380" spans="2:36" ht="24" customHeight="1" x14ac:dyDescent="0.2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</row>
    <row r="381" spans="2:36" ht="24" customHeight="1" x14ac:dyDescent="0.2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</row>
    <row r="382" spans="2:36" ht="24" customHeight="1" x14ac:dyDescent="0.2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</row>
    <row r="383" spans="2:36" ht="24" customHeight="1" x14ac:dyDescent="0.2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</row>
    <row r="384" spans="2:36" ht="24" customHeight="1" x14ac:dyDescent="0.2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</row>
    <row r="385" spans="2:36" ht="24" customHeight="1" x14ac:dyDescent="0.2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</row>
    <row r="386" spans="2:36" ht="24" customHeight="1" x14ac:dyDescent="0.2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</row>
    <row r="387" spans="2:36" ht="24" customHeight="1" x14ac:dyDescent="0.2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</row>
    <row r="388" spans="2:36" ht="24" customHeight="1" x14ac:dyDescent="0.2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</row>
    <row r="389" spans="2:36" ht="24" customHeight="1" x14ac:dyDescent="0.2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</row>
    <row r="390" spans="2:36" ht="24" customHeight="1" x14ac:dyDescent="0.2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</row>
    <row r="391" spans="2:36" ht="24" customHeight="1" x14ac:dyDescent="0.2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</row>
    <row r="392" spans="2:36" ht="24" customHeight="1" x14ac:dyDescent="0.2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</row>
    <row r="393" spans="2:36" ht="24" customHeight="1" x14ac:dyDescent="0.2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</row>
    <row r="394" spans="2:36" ht="24" customHeight="1" x14ac:dyDescent="0.2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</row>
    <row r="395" spans="2:36" ht="24" customHeight="1" x14ac:dyDescent="0.2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</row>
    <row r="396" spans="2:36" ht="24" customHeight="1" x14ac:dyDescent="0.2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</row>
    <row r="397" spans="2:36" ht="24" customHeight="1" x14ac:dyDescent="0.2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</row>
    <row r="398" spans="2:36" ht="24" customHeight="1" x14ac:dyDescent="0.2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</row>
    <row r="399" spans="2:36" ht="24" customHeight="1" x14ac:dyDescent="0.2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</row>
    <row r="400" spans="2:36" ht="24" customHeight="1" x14ac:dyDescent="0.2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</row>
    <row r="401" spans="2:36" ht="24" customHeight="1" x14ac:dyDescent="0.2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</row>
    <row r="402" spans="2:36" ht="24" customHeight="1" x14ac:dyDescent="0.2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</row>
    <row r="403" spans="2:36" ht="24" customHeight="1" x14ac:dyDescent="0.2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</row>
    <row r="404" spans="2:36" ht="24" customHeight="1" x14ac:dyDescent="0.2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</row>
    <row r="405" spans="2:36" ht="24" customHeight="1" x14ac:dyDescent="0.2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</row>
    <row r="406" spans="2:36" ht="24" customHeight="1" x14ac:dyDescent="0.2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</row>
    <row r="407" spans="2:36" ht="24" customHeight="1" x14ac:dyDescent="0.2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</row>
    <row r="408" spans="2:36" ht="24" customHeight="1" x14ac:dyDescent="0.2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</row>
    <row r="409" spans="2:36" ht="24" customHeight="1" x14ac:dyDescent="0.2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2:36" ht="24" customHeight="1" x14ac:dyDescent="0.2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</row>
    <row r="411" spans="2:36" ht="24" customHeight="1" x14ac:dyDescent="0.2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</row>
    <row r="412" spans="2:36" ht="24" customHeight="1" x14ac:dyDescent="0.2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</row>
    <row r="413" spans="2:36" ht="24" customHeight="1" x14ac:dyDescent="0.2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2:36" ht="24" customHeight="1" x14ac:dyDescent="0.2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</row>
    <row r="415" spans="2:36" ht="24" customHeight="1" x14ac:dyDescent="0.2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</row>
    <row r="416" spans="2:36" ht="24" customHeight="1" x14ac:dyDescent="0.2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</row>
    <row r="417" spans="2:36" ht="24" customHeight="1" x14ac:dyDescent="0.2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2:36" ht="24" customHeight="1" x14ac:dyDescent="0.2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</row>
    <row r="419" spans="2:36" ht="24" customHeight="1" x14ac:dyDescent="0.2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</row>
    <row r="420" spans="2:36" ht="24" customHeight="1" x14ac:dyDescent="0.2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</row>
    <row r="421" spans="2:36" ht="24" customHeight="1" x14ac:dyDescent="0.2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2:36" ht="24" customHeight="1" x14ac:dyDescent="0.2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</row>
    <row r="423" spans="2:36" ht="24" customHeight="1" x14ac:dyDescent="0.2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</row>
    <row r="424" spans="2:36" ht="24" customHeight="1" x14ac:dyDescent="0.2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2:36" ht="24" customHeight="1" x14ac:dyDescent="0.2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2:36" ht="24" customHeight="1" x14ac:dyDescent="0.2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</row>
    <row r="427" spans="2:36" ht="24" customHeight="1" x14ac:dyDescent="0.2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</row>
    <row r="428" spans="2:36" ht="24" customHeight="1" x14ac:dyDescent="0.2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</row>
    <row r="429" spans="2:36" ht="24" customHeight="1" x14ac:dyDescent="0.2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2:36" ht="24" customHeight="1" x14ac:dyDescent="0.2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</row>
    <row r="431" spans="2:36" ht="24" customHeight="1" x14ac:dyDescent="0.2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</row>
    <row r="432" spans="2:36" ht="24" customHeight="1" x14ac:dyDescent="0.2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</row>
    <row r="433" spans="2:36" ht="24" customHeight="1" x14ac:dyDescent="0.2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</row>
    <row r="434" spans="2:36" ht="24" customHeight="1" x14ac:dyDescent="0.2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</row>
    <row r="435" spans="2:36" ht="24" customHeight="1" x14ac:dyDescent="0.2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</row>
    <row r="436" spans="2:36" ht="24" customHeight="1" x14ac:dyDescent="0.2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</row>
    <row r="437" spans="2:36" ht="24" customHeight="1" x14ac:dyDescent="0.2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2:36" ht="24" customHeight="1" x14ac:dyDescent="0.2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2:36" ht="24" customHeight="1" x14ac:dyDescent="0.2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2:36" ht="24" customHeight="1" x14ac:dyDescent="0.2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2:36" ht="24" customHeight="1" x14ac:dyDescent="0.2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2:36" ht="24" customHeight="1" x14ac:dyDescent="0.2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2:36" ht="24" customHeight="1" x14ac:dyDescent="0.2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2:36" ht="24" customHeight="1" x14ac:dyDescent="0.2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2:36" ht="24" customHeight="1" x14ac:dyDescent="0.2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2:36" ht="24" customHeight="1" x14ac:dyDescent="0.2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2:36" ht="24" customHeight="1" x14ac:dyDescent="0.2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2:36" ht="24" customHeight="1" x14ac:dyDescent="0.2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2:36" ht="24" customHeight="1" x14ac:dyDescent="0.2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2:36" ht="24" customHeight="1" x14ac:dyDescent="0.2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2:36" ht="24" customHeight="1" x14ac:dyDescent="0.2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2:36" ht="24" customHeight="1" x14ac:dyDescent="0.2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2:36" ht="24" customHeight="1" x14ac:dyDescent="0.2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2:36" ht="24" customHeight="1" x14ac:dyDescent="0.2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2:36" ht="24" customHeight="1" x14ac:dyDescent="0.2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2:36" ht="24" customHeight="1" x14ac:dyDescent="0.2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2:36" ht="24" customHeight="1" x14ac:dyDescent="0.2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2:36" ht="24" customHeight="1" x14ac:dyDescent="0.2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2:36" ht="24" customHeight="1" x14ac:dyDescent="0.2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2:36" ht="24" customHeight="1" x14ac:dyDescent="0.2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2:36" ht="24" customHeight="1" x14ac:dyDescent="0.2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2:36" ht="24" customHeight="1" x14ac:dyDescent="0.2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2:36" ht="24" customHeight="1" x14ac:dyDescent="0.2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2:36" ht="24" customHeight="1" x14ac:dyDescent="0.2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2:36" ht="24" customHeight="1" x14ac:dyDescent="0.2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2:36" ht="24" customHeight="1" x14ac:dyDescent="0.2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2:36" ht="24" customHeight="1" x14ac:dyDescent="0.2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2:36" ht="24" customHeight="1" x14ac:dyDescent="0.2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2:36" ht="24" customHeight="1" x14ac:dyDescent="0.2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2:36" ht="24" customHeight="1" x14ac:dyDescent="0.2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2:36" ht="24" customHeight="1" x14ac:dyDescent="0.2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2:36" ht="24" customHeight="1" x14ac:dyDescent="0.2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2:36" ht="24" customHeight="1" x14ac:dyDescent="0.2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2:36" ht="24" customHeight="1" x14ac:dyDescent="0.2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2:36" ht="24" customHeight="1" x14ac:dyDescent="0.2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2:36" ht="24" customHeight="1" x14ac:dyDescent="0.2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2:36" ht="24" customHeight="1" x14ac:dyDescent="0.2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2:36" ht="24" customHeight="1" x14ac:dyDescent="0.2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2:36" ht="24" customHeight="1" x14ac:dyDescent="0.2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2:36" ht="24" customHeight="1" x14ac:dyDescent="0.2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2:36" ht="24" customHeight="1" x14ac:dyDescent="0.2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2:36" ht="24" customHeight="1" x14ac:dyDescent="0.2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2:36" ht="24" customHeight="1" x14ac:dyDescent="0.2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2:36" ht="24" customHeight="1" x14ac:dyDescent="0.2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2:36" ht="24" customHeight="1" x14ac:dyDescent="0.2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2:36" ht="24" customHeight="1" x14ac:dyDescent="0.2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2:36" ht="24" customHeight="1" x14ac:dyDescent="0.2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2:36" ht="24" customHeight="1" x14ac:dyDescent="0.2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2:36" ht="24" customHeight="1" x14ac:dyDescent="0.2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2:36" ht="24" customHeight="1" x14ac:dyDescent="0.2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2:36" ht="24" customHeight="1" x14ac:dyDescent="0.2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2:36" ht="24" customHeight="1" x14ac:dyDescent="0.2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2:36" ht="24" customHeight="1" x14ac:dyDescent="0.2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2:36" ht="24" customHeight="1" x14ac:dyDescent="0.2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2:36" ht="24" customHeight="1" x14ac:dyDescent="0.2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2:36" ht="24" customHeight="1" x14ac:dyDescent="0.2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2:36" ht="24" customHeight="1" x14ac:dyDescent="0.2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2:36" ht="24" customHeight="1" x14ac:dyDescent="0.2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2:36" ht="24" customHeight="1" x14ac:dyDescent="0.2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2:36" ht="24" customHeight="1" x14ac:dyDescent="0.2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2:36" ht="24" customHeight="1" x14ac:dyDescent="0.2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2:36" ht="24" customHeight="1" x14ac:dyDescent="0.2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2:36" ht="24" customHeight="1" x14ac:dyDescent="0.2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2:36" ht="24" customHeight="1" x14ac:dyDescent="0.2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2:36" ht="24" customHeight="1" x14ac:dyDescent="0.2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2:36" ht="24" customHeight="1" x14ac:dyDescent="0.2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2:36" ht="24" customHeight="1" x14ac:dyDescent="0.2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</row>
    <row r="508" spans="2:36" ht="24" customHeight="1" x14ac:dyDescent="0.2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</row>
    <row r="509" spans="2:36" ht="24" customHeight="1" x14ac:dyDescent="0.2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</row>
    <row r="510" spans="2:36" ht="24" customHeight="1" x14ac:dyDescent="0.2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</row>
    <row r="511" spans="2:36" ht="24" customHeight="1" x14ac:dyDescent="0.2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</row>
    <row r="512" spans="2:36" ht="24" customHeight="1" x14ac:dyDescent="0.2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</row>
    <row r="513" spans="2:36" ht="24" customHeight="1" x14ac:dyDescent="0.2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</row>
    <row r="514" spans="2:36" ht="24" customHeight="1" x14ac:dyDescent="0.2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</row>
    <row r="515" spans="2:36" ht="24" customHeight="1" x14ac:dyDescent="0.2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</row>
    <row r="516" spans="2:36" ht="24" customHeight="1" x14ac:dyDescent="0.2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</row>
    <row r="517" spans="2:36" ht="24" customHeight="1" x14ac:dyDescent="0.2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</row>
    <row r="518" spans="2:36" ht="24" customHeight="1" x14ac:dyDescent="0.2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</row>
    <row r="519" spans="2:36" ht="24" customHeight="1" x14ac:dyDescent="0.2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</row>
    <row r="520" spans="2:36" ht="24" customHeight="1" x14ac:dyDescent="0.2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</row>
    <row r="521" spans="2:36" ht="24" customHeight="1" x14ac:dyDescent="0.2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</row>
    <row r="522" spans="2:36" ht="24" customHeight="1" x14ac:dyDescent="0.2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</row>
    <row r="523" spans="2:36" ht="24" customHeight="1" x14ac:dyDescent="0.2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</row>
    <row r="524" spans="2:36" ht="24" customHeight="1" x14ac:dyDescent="0.2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</row>
    <row r="525" spans="2:36" ht="24" customHeight="1" x14ac:dyDescent="0.2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</row>
    <row r="526" spans="2:36" ht="24" customHeight="1" x14ac:dyDescent="0.2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</row>
    <row r="527" spans="2:36" ht="24" customHeight="1" x14ac:dyDescent="0.2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</row>
    <row r="528" spans="2:36" ht="24" customHeight="1" x14ac:dyDescent="0.2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</row>
    <row r="529" spans="2:36" ht="24" customHeight="1" x14ac:dyDescent="0.2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</row>
    <row r="530" spans="2:36" ht="24" customHeight="1" x14ac:dyDescent="0.2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</row>
    <row r="531" spans="2:36" ht="24" customHeight="1" x14ac:dyDescent="0.2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</row>
    <row r="532" spans="2:36" ht="24" customHeight="1" x14ac:dyDescent="0.2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</row>
    <row r="533" spans="2:36" ht="24" customHeight="1" x14ac:dyDescent="0.2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</row>
    <row r="534" spans="2:36" ht="24" customHeight="1" x14ac:dyDescent="0.2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</row>
    <row r="535" spans="2:36" ht="24" customHeight="1" x14ac:dyDescent="0.2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</row>
    <row r="536" spans="2:36" ht="24" customHeight="1" x14ac:dyDescent="0.2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</row>
    <row r="537" spans="2:36" ht="24" customHeight="1" x14ac:dyDescent="0.2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</row>
    <row r="538" spans="2:36" ht="24" customHeight="1" x14ac:dyDescent="0.2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</row>
    <row r="539" spans="2:36" ht="24" customHeight="1" x14ac:dyDescent="0.2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</row>
    <row r="540" spans="2:36" ht="24" customHeight="1" x14ac:dyDescent="0.2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</row>
    <row r="541" spans="2:36" ht="24" customHeight="1" x14ac:dyDescent="0.2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</row>
    <row r="542" spans="2:36" ht="24" customHeight="1" x14ac:dyDescent="0.2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</row>
    <row r="543" spans="2:36" ht="24" customHeight="1" x14ac:dyDescent="0.2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</row>
    <row r="544" spans="2:36" ht="24" customHeight="1" x14ac:dyDescent="0.2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</row>
    <row r="545" spans="2:36" ht="24" customHeight="1" x14ac:dyDescent="0.2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</row>
    <row r="546" spans="2:36" ht="24" customHeight="1" x14ac:dyDescent="0.2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</row>
    <row r="547" spans="2:36" ht="24" customHeight="1" x14ac:dyDescent="0.2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</row>
    <row r="548" spans="2:36" ht="24" customHeight="1" x14ac:dyDescent="0.2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</row>
    <row r="549" spans="2:36" ht="24" customHeight="1" x14ac:dyDescent="0.2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</row>
    <row r="550" spans="2:36" ht="24" customHeight="1" x14ac:dyDescent="0.2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2:36" ht="24" customHeight="1" x14ac:dyDescent="0.2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2:36" ht="24" customHeight="1" x14ac:dyDescent="0.2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2:36" ht="24" customHeight="1" x14ac:dyDescent="0.2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2:36" ht="24" customHeight="1" x14ac:dyDescent="0.2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2:36" ht="24" customHeight="1" x14ac:dyDescent="0.2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2:36" ht="24" customHeight="1" x14ac:dyDescent="0.2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2:36" ht="24" customHeight="1" x14ac:dyDescent="0.2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2:36" ht="24" customHeight="1" x14ac:dyDescent="0.2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2:36" ht="24" customHeight="1" x14ac:dyDescent="0.2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2:36" ht="24" customHeight="1" x14ac:dyDescent="0.2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2:36" ht="24" customHeight="1" x14ac:dyDescent="0.2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2:36" ht="24" customHeight="1" x14ac:dyDescent="0.2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2:36" ht="24" customHeight="1" x14ac:dyDescent="0.2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2:36" ht="24" customHeight="1" x14ac:dyDescent="0.2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2:36" ht="24" customHeight="1" x14ac:dyDescent="0.2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2:36" ht="24" customHeight="1" x14ac:dyDescent="0.2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2:36" ht="24" customHeight="1" x14ac:dyDescent="0.2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2:36" ht="24" customHeight="1" x14ac:dyDescent="0.2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  <row r="569" spans="2:36" ht="24" customHeight="1" x14ac:dyDescent="0.2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</row>
    <row r="570" spans="2:36" ht="24" customHeight="1" x14ac:dyDescent="0.2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</row>
    <row r="571" spans="2:36" ht="24" customHeight="1" x14ac:dyDescent="0.2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</row>
    <row r="572" spans="2:36" ht="24" customHeight="1" x14ac:dyDescent="0.2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</row>
    <row r="573" spans="2:36" ht="24" customHeight="1" x14ac:dyDescent="0.2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</row>
    <row r="574" spans="2:36" ht="24" customHeight="1" x14ac:dyDescent="0.2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</row>
    <row r="575" spans="2:36" ht="24" customHeight="1" x14ac:dyDescent="0.2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</row>
    <row r="576" spans="2:36" ht="24" customHeight="1" x14ac:dyDescent="0.2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</row>
    <row r="577" spans="2:36" ht="24" customHeight="1" x14ac:dyDescent="0.2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</row>
    <row r="578" spans="2:36" ht="24" customHeight="1" x14ac:dyDescent="0.2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</row>
    <row r="579" spans="2:36" ht="24" customHeight="1" x14ac:dyDescent="0.2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</row>
    <row r="580" spans="2:36" ht="24" customHeight="1" x14ac:dyDescent="0.2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</row>
    <row r="581" spans="2:36" ht="24" customHeight="1" x14ac:dyDescent="0.2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</row>
    <row r="582" spans="2:36" ht="24" customHeight="1" x14ac:dyDescent="0.2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</row>
    <row r="583" spans="2:36" ht="24" customHeight="1" x14ac:dyDescent="0.2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</row>
    <row r="584" spans="2:36" ht="24" customHeight="1" x14ac:dyDescent="0.2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</row>
    <row r="585" spans="2:36" ht="24" customHeight="1" x14ac:dyDescent="0.2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</row>
    <row r="586" spans="2:36" ht="24" customHeight="1" x14ac:dyDescent="0.2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</row>
    <row r="587" spans="2:36" ht="24" customHeight="1" x14ac:dyDescent="0.2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</row>
    <row r="588" spans="2:36" ht="24" customHeight="1" x14ac:dyDescent="0.2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</row>
    <row r="589" spans="2:36" ht="24" customHeight="1" x14ac:dyDescent="0.2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</row>
    <row r="590" spans="2:36" ht="24" customHeight="1" x14ac:dyDescent="0.2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</row>
    <row r="591" spans="2:36" ht="24" customHeight="1" x14ac:dyDescent="0.2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</row>
    <row r="592" spans="2:36" ht="24" customHeight="1" x14ac:dyDescent="0.2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</row>
    <row r="593" spans="2:36" ht="24" customHeight="1" x14ac:dyDescent="0.2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</row>
    <row r="594" spans="2:36" ht="24" customHeight="1" x14ac:dyDescent="0.2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</row>
    <row r="595" spans="2:36" ht="24" customHeight="1" x14ac:dyDescent="0.2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</row>
    <row r="596" spans="2:36" ht="24" customHeight="1" x14ac:dyDescent="0.2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</row>
    <row r="597" spans="2:36" ht="24" customHeight="1" x14ac:dyDescent="0.2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</row>
    <row r="598" spans="2:36" ht="24" customHeight="1" x14ac:dyDescent="0.2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</row>
    <row r="599" spans="2:36" ht="24" customHeight="1" x14ac:dyDescent="0.2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</row>
    <row r="600" spans="2:36" ht="24" customHeight="1" x14ac:dyDescent="0.2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</row>
    <row r="601" spans="2:36" ht="24" customHeight="1" x14ac:dyDescent="0.2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</row>
    <row r="602" spans="2:36" ht="24" customHeight="1" x14ac:dyDescent="0.2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</row>
    <row r="603" spans="2:36" ht="24" customHeight="1" x14ac:dyDescent="0.2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</row>
    <row r="604" spans="2:36" ht="24" customHeight="1" x14ac:dyDescent="0.2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</row>
    <row r="605" spans="2:36" ht="24" customHeight="1" x14ac:dyDescent="0.2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</row>
    <row r="606" spans="2:36" ht="24" customHeight="1" x14ac:dyDescent="0.2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</row>
    <row r="607" spans="2:36" ht="24" customHeight="1" x14ac:dyDescent="0.2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</row>
    <row r="608" spans="2:36" ht="24" customHeight="1" x14ac:dyDescent="0.2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</row>
    <row r="609" spans="2:36" ht="24" customHeight="1" x14ac:dyDescent="0.2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</row>
    <row r="610" spans="2:36" ht="24" customHeight="1" x14ac:dyDescent="0.2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</row>
    <row r="611" spans="2:36" ht="24" customHeight="1" x14ac:dyDescent="0.2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</row>
    <row r="612" spans="2:36" ht="24" customHeight="1" x14ac:dyDescent="0.2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</row>
    <row r="613" spans="2:36" ht="24" customHeight="1" x14ac:dyDescent="0.2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</row>
    <row r="614" spans="2:36" ht="24" customHeight="1" x14ac:dyDescent="0.2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</row>
    <row r="615" spans="2:36" ht="24" customHeight="1" x14ac:dyDescent="0.2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</row>
    <row r="616" spans="2:36" ht="24" customHeight="1" x14ac:dyDescent="0.2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</row>
    <row r="617" spans="2:36" ht="24" customHeight="1" x14ac:dyDescent="0.2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</row>
    <row r="618" spans="2:36" ht="24" customHeight="1" x14ac:dyDescent="0.2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</row>
    <row r="619" spans="2:36" ht="24" customHeight="1" x14ac:dyDescent="0.2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</row>
    <row r="620" spans="2:36" ht="24" customHeight="1" x14ac:dyDescent="0.2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</row>
    <row r="621" spans="2:36" ht="24" customHeight="1" x14ac:dyDescent="0.2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</row>
    <row r="622" spans="2:36" ht="24" customHeight="1" x14ac:dyDescent="0.2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</row>
    <row r="623" spans="2:36" ht="24" customHeight="1" x14ac:dyDescent="0.2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</row>
    <row r="624" spans="2:36" ht="24" customHeight="1" x14ac:dyDescent="0.2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</row>
    <row r="625" spans="2:36" ht="24" customHeight="1" x14ac:dyDescent="0.2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</row>
    <row r="626" spans="2:36" ht="24" customHeight="1" x14ac:dyDescent="0.2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</row>
    <row r="627" spans="2:36" ht="24" customHeight="1" x14ac:dyDescent="0.2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</row>
    <row r="628" spans="2:36" ht="24" customHeight="1" x14ac:dyDescent="0.2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</row>
    <row r="629" spans="2:36" ht="24" customHeight="1" x14ac:dyDescent="0.2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</row>
    <row r="630" spans="2:36" ht="24" customHeight="1" x14ac:dyDescent="0.2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</row>
    <row r="631" spans="2:36" ht="24" customHeight="1" x14ac:dyDescent="0.2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</row>
    <row r="632" spans="2:36" ht="24" customHeight="1" x14ac:dyDescent="0.2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</row>
    <row r="633" spans="2:36" ht="24" customHeight="1" x14ac:dyDescent="0.2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</row>
    <row r="634" spans="2:36" ht="24" customHeight="1" x14ac:dyDescent="0.2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</row>
    <row r="635" spans="2:36" ht="24" customHeight="1" x14ac:dyDescent="0.2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</row>
    <row r="636" spans="2:36" ht="24" customHeight="1" x14ac:dyDescent="0.2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</row>
    <row r="637" spans="2:36" ht="24" customHeight="1" x14ac:dyDescent="0.2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</row>
    <row r="638" spans="2:36" ht="24" customHeight="1" x14ac:dyDescent="0.2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</row>
    <row r="639" spans="2:36" ht="24" customHeight="1" x14ac:dyDescent="0.2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</row>
    <row r="640" spans="2:36" ht="24" customHeight="1" x14ac:dyDescent="0.2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</row>
    <row r="641" spans="2:36" ht="24" customHeight="1" x14ac:dyDescent="0.2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</row>
    <row r="642" spans="2:36" ht="24" customHeight="1" x14ac:dyDescent="0.2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</row>
    <row r="643" spans="2:36" ht="24" customHeight="1" x14ac:dyDescent="0.2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</row>
    <row r="644" spans="2:36" ht="24" customHeight="1" x14ac:dyDescent="0.2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</row>
    <row r="645" spans="2:36" ht="24" customHeight="1" x14ac:dyDescent="0.2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</row>
    <row r="646" spans="2:36" ht="24" customHeight="1" x14ac:dyDescent="0.2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</row>
    <row r="647" spans="2:36" ht="24" customHeight="1" x14ac:dyDescent="0.2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</row>
    <row r="648" spans="2:36" ht="24" customHeight="1" x14ac:dyDescent="0.2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</row>
    <row r="649" spans="2:36" ht="24" customHeight="1" x14ac:dyDescent="0.2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</row>
    <row r="650" spans="2:36" ht="24" customHeight="1" x14ac:dyDescent="0.2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</row>
    <row r="651" spans="2:36" ht="24" customHeight="1" x14ac:dyDescent="0.2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</row>
    <row r="652" spans="2:36" ht="24" customHeight="1" x14ac:dyDescent="0.2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</row>
    <row r="653" spans="2:36" ht="24" customHeight="1" x14ac:dyDescent="0.2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</row>
    <row r="654" spans="2:36" ht="24" customHeight="1" x14ac:dyDescent="0.2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</row>
    <row r="655" spans="2:36" ht="24" customHeight="1" x14ac:dyDescent="0.2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</row>
    <row r="656" spans="2:36" ht="24" customHeight="1" x14ac:dyDescent="0.2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</row>
    <row r="657" spans="2:36" ht="24" customHeight="1" x14ac:dyDescent="0.2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</row>
    <row r="658" spans="2:36" ht="24" customHeight="1" x14ac:dyDescent="0.2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</row>
    <row r="659" spans="2:36" ht="24" customHeight="1" x14ac:dyDescent="0.2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</row>
    <row r="660" spans="2:36" ht="24" customHeight="1" x14ac:dyDescent="0.2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</row>
    <row r="661" spans="2:36" ht="24" customHeight="1" x14ac:dyDescent="0.2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</row>
    <row r="662" spans="2:36" ht="24" customHeight="1" x14ac:dyDescent="0.2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</row>
    <row r="663" spans="2:36" ht="24" customHeight="1" x14ac:dyDescent="0.2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</row>
    <row r="664" spans="2:36" ht="24" customHeight="1" x14ac:dyDescent="0.2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</row>
    <row r="665" spans="2:36" ht="24" customHeight="1" x14ac:dyDescent="0.2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</row>
    <row r="666" spans="2:36" ht="24" customHeight="1" x14ac:dyDescent="0.2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</row>
    <row r="667" spans="2:36" ht="24" customHeight="1" x14ac:dyDescent="0.2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</row>
    <row r="668" spans="2:36" ht="24" customHeight="1" x14ac:dyDescent="0.2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</row>
    <row r="669" spans="2:36" ht="24" customHeight="1" x14ac:dyDescent="0.2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</row>
    <row r="670" spans="2:36" ht="24" customHeight="1" x14ac:dyDescent="0.2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</row>
    <row r="671" spans="2:36" ht="24" customHeight="1" x14ac:dyDescent="0.2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</row>
    <row r="672" spans="2:36" ht="24" customHeight="1" x14ac:dyDescent="0.2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</row>
    <row r="673" spans="2:36" ht="24" customHeight="1" x14ac:dyDescent="0.2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</row>
    <row r="674" spans="2:36" ht="24" customHeight="1" x14ac:dyDescent="0.2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</row>
    <row r="675" spans="2:36" ht="24" customHeight="1" x14ac:dyDescent="0.2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</row>
    <row r="676" spans="2:36" ht="24" customHeight="1" x14ac:dyDescent="0.2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</row>
    <row r="677" spans="2:36" ht="24" customHeight="1" x14ac:dyDescent="0.2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</row>
    <row r="678" spans="2:36" ht="24" customHeight="1" x14ac:dyDescent="0.2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</row>
    <row r="679" spans="2:36" ht="24" customHeight="1" x14ac:dyDescent="0.2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</row>
    <row r="680" spans="2:36" ht="24" customHeight="1" x14ac:dyDescent="0.2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</row>
    <row r="681" spans="2:36" ht="24" customHeight="1" x14ac:dyDescent="0.2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</row>
    <row r="682" spans="2:36" ht="24" customHeight="1" x14ac:dyDescent="0.2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</row>
    <row r="683" spans="2:36" ht="24" customHeight="1" x14ac:dyDescent="0.2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</row>
    <row r="684" spans="2:36" ht="24" customHeight="1" x14ac:dyDescent="0.2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</row>
    <row r="685" spans="2:36" ht="24" customHeight="1" x14ac:dyDescent="0.2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</row>
    <row r="686" spans="2:36" ht="24" customHeight="1" x14ac:dyDescent="0.2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</row>
    <row r="687" spans="2:36" ht="24" customHeight="1" x14ac:dyDescent="0.2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</row>
    <row r="688" spans="2:36" ht="24" customHeight="1" x14ac:dyDescent="0.2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</row>
    <row r="689" spans="2:36" ht="24" customHeight="1" x14ac:dyDescent="0.2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</row>
    <row r="690" spans="2:36" ht="24" customHeight="1" x14ac:dyDescent="0.2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</row>
    <row r="691" spans="2:36" ht="24" customHeight="1" x14ac:dyDescent="0.2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</row>
    <row r="692" spans="2:36" ht="24" customHeight="1" x14ac:dyDescent="0.2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</row>
    <row r="693" spans="2:36" ht="24" customHeight="1" x14ac:dyDescent="0.2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</row>
    <row r="694" spans="2:36" ht="24" customHeight="1" x14ac:dyDescent="0.2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</row>
    <row r="695" spans="2:36" ht="24" customHeight="1" x14ac:dyDescent="0.2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</row>
    <row r="696" spans="2:36" ht="24" customHeight="1" x14ac:dyDescent="0.2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</row>
    <row r="697" spans="2:36" ht="24" customHeight="1" x14ac:dyDescent="0.2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</row>
    <row r="698" spans="2:36" ht="24" customHeight="1" x14ac:dyDescent="0.2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</row>
    <row r="699" spans="2:36" ht="24" customHeight="1" x14ac:dyDescent="0.2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</row>
    <row r="700" spans="2:36" ht="24" customHeight="1" x14ac:dyDescent="0.2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</row>
    <row r="701" spans="2:36" ht="24" customHeight="1" x14ac:dyDescent="0.2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</row>
    <row r="702" spans="2:36" ht="24" customHeight="1" x14ac:dyDescent="0.2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</row>
    <row r="703" spans="2:36" ht="24" customHeight="1" x14ac:dyDescent="0.2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</row>
    <row r="704" spans="2:36" ht="24" customHeight="1" x14ac:dyDescent="0.2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</row>
    <row r="705" spans="2:36" ht="24" customHeight="1" x14ac:dyDescent="0.2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</row>
    <row r="706" spans="2:36" ht="24" customHeight="1" x14ac:dyDescent="0.2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</row>
    <row r="707" spans="2:36" ht="24" customHeight="1" x14ac:dyDescent="0.2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</row>
    <row r="708" spans="2:36" ht="24" customHeight="1" x14ac:dyDescent="0.2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</row>
    <row r="709" spans="2:36" ht="24" customHeight="1" x14ac:dyDescent="0.2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</row>
    <row r="710" spans="2:36" ht="24" customHeight="1" x14ac:dyDescent="0.2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</row>
    <row r="711" spans="2:36" ht="24" customHeight="1" x14ac:dyDescent="0.2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</row>
    <row r="712" spans="2:36" ht="24" customHeight="1" x14ac:dyDescent="0.2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</row>
    <row r="713" spans="2:36" ht="24" customHeight="1" x14ac:dyDescent="0.2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</row>
    <row r="714" spans="2:36" ht="24" customHeight="1" x14ac:dyDescent="0.2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</row>
    <row r="715" spans="2:36" ht="24" customHeight="1" x14ac:dyDescent="0.2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</row>
    <row r="716" spans="2:36" ht="24" customHeight="1" x14ac:dyDescent="0.2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</row>
    <row r="717" spans="2:36" ht="24" customHeight="1" x14ac:dyDescent="0.2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</row>
    <row r="718" spans="2:36" ht="24" customHeight="1" x14ac:dyDescent="0.2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</row>
    <row r="719" spans="2:36" ht="24" customHeight="1" x14ac:dyDescent="0.2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</row>
    <row r="720" spans="2:36" ht="24" customHeight="1" x14ac:dyDescent="0.2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</row>
    <row r="721" spans="2:36" ht="24" customHeight="1" x14ac:dyDescent="0.2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</row>
    <row r="722" spans="2:36" ht="24" customHeight="1" x14ac:dyDescent="0.2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</row>
    <row r="723" spans="2:36" ht="24" customHeight="1" x14ac:dyDescent="0.2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</row>
    <row r="724" spans="2:36" ht="24" customHeight="1" x14ac:dyDescent="0.2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</row>
    <row r="725" spans="2:36" ht="24" customHeight="1" x14ac:dyDescent="0.2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</row>
    <row r="726" spans="2:36" ht="24" customHeight="1" x14ac:dyDescent="0.2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</row>
    <row r="727" spans="2:36" ht="24" customHeight="1" x14ac:dyDescent="0.2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</row>
    <row r="728" spans="2:36" ht="24" customHeight="1" x14ac:dyDescent="0.2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</row>
    <row r="729" spans="2:36" ht="24" customHeight="1" x14ac:dyDescent="0.2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</row>
    <row r="730" spans="2:36" ht="24" customHeight="1" x14ac:dyDescent="0.2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</row>
    <row r="731" spans="2:36" ht="24" customHeight="1" x14ac:dyDescent="0.2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</row>
    <row r="732" spans="2:36" ht="24" customHeight="1" x14ac:dyDescent="0.2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</row>
    <row r="733" spans="2:36" ht="24" customHeight="1" x14ac:dyDescent="0.2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</row>
    <row r="734" spans="2:36" ht="24" customHeight="1" x14ac:dyDescent="0.2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</row>
    <row r="735" spans="2:36" ht="24" customHeight="1" x14ac:dyDescent="0.2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</row>
    <row r="736" spans="2:36" ht="24" customHeight="1" x14ac:dyDescent="0.2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</row>
    <row r="737" spans="2:36" ht="24" customHeight="1" x14ac:dyDescent="0.2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</row>
    <row r="738" spans="2:36" ht="24" customHeight="1" x14ac:dyDescent="0.2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</row>
    <row r="739" spans="2:36" ht="24" customHeight="1" x14ac:dyDescent="0.2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</row>
    <row r="740" spans="2:36" ht="24" customHeight="1" x14ac:dyDescent="0.2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</row>
    <row r="741" spans="2:36" ht="24" customHeight="1" x14ac:dyDescent="0.2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</row>
    <row r="742" spans="2:36" ht="24" customHeight="1" x14ac:dyDescent="0.2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</row>
    <row r="743" spans="2:36" ht="24" customHeight="1" x14ac:dyDescent="0.2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</row>
    <row r="744" spans="2:36" ht="24" customHeight="1" x14ac:dyDescent="0.2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</row>
    <row r="745" spans="2:36" ht="24" customHeight="1" x14ac:dyDescent="0.2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</row>
    <row r="746" spans="2:36" ht="24" customHeight="1" x14ac:dyDescent="0.2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</row>
    <row r="747" spans="2:36" ht="24" customHeight="1" x14ac:dyDescent="0.2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</row>
    <row r="748" spans="2:36" ht="24" customHeight="1" x14ac:dyDescent="0.2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</row>
    <row r="749" spans="2:36" ht="24" customHeight="1" x14ac:dyDescent="0.2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</row>
    <row r="750" spans="2:36" ht="24" customHeight="1" x14ac:dyDescent="0.2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</row>
    <row r="751" spans="2:36" ht="24" customHeight="1" x14ac:dyDescent="0.2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</row>
    <row r="752" spans="2:36" ht="24" customHeight="1" x14ac:dyDescent="0.2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</row>
    <row r="753" spans="2:36" ht="24" customHeight="1" x14ac:dyDescent="0.2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</row>
    <row r="754" spans="2:36" ht="24" customHeight="1" x14ac:dyDescent="0.2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</row>
    <row r="755" spans="2:36" ht="24" customHeight="1" x14ac:dyDescent="0.2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</row>
    <row r="756" spans="2:36" ht="24" customHeight="1" x14ac:dyDescent="0.2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</row>
    <row r="757" spans="2:36" ht="24" customHeight="1" x14ac:dyDescent="0.2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</row>
    <row r="758" spans="2:36" ht="24" customHeight="1" x14ac:dyDescent="0.2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</row>
    <row r="759" spans="2:36" ht="24" customHeight="1" x14ac:dyDescent="0.2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</row>
    <row r="760" spans="2:36" ht="24" customHeight="1" x14ac:dyDescent="0.2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</row>
    <row r="761" spans="2:36" ht="24" customHeight="1" x14ac:dyDescent="0.2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</row>
    <row r="762" spans="2:36" ht="24" customHeight="1" x14ac:dyDescent="0.2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</row>
    <row r="763" spans="2:36" ht="24" customHeight="1" x14ac:dyDescent="0.2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</row>
    <row r="764" spans="2:36" ht="24" customHeight="1" x14ac:dyDescent="0.2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</row>
    <row r="765" spans="2:36" ht="24" customHeight="1" x14ac:dyDescent="0.2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</row>
    <row r="766" spans="2:36" ht="24" customHeight="1" x14ac:dyDescent="0.2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</row>
    <row r="767" spans="2:36" ht="24" customHeight="1" x14ac:dyDescent="0.2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</row>
    <row r="768" spans="2:36" ht="24" customHeight="1" x14ac:dyDescent="0.2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</row>
    <row r="769" spans="2:36" ht="24" customHeight="1" x14ac:dyDescent="0.2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</row>
    <row r="770" spans="2:36" ht="24" customHeight="1" x14ac:dyDescent="0.2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</row>
    <row r="771" spans="2:36" ht="24" customHeight="1" x14ac:dyDescent="0.2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</row>
    <row r="772" spans="2:36" ht="24" customHeight="1" x14ac:dyDescent="0.2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</row>
    <row r="773" spans="2:36" ht="24" customHeight="1" x14ac:dyDescent="0.2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</row>
    <row r="774" spans="2:36" ht="24" customHeight="1" x14ac:dyDescent="0.2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</row>
    <row r="775" spans="2:36" ht="24" customHeight="1" x14ac:dyDescent="0.2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</row>
    <row r="776" spans="2:36" ht="24" customHeight="1" x14ac:dyDescent="0.2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</row>
    <row r="777" spans="2:36" ht="24" customHeight="1" x14ac:dyDescent="0.2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</row>
    <row r="778" spans="2:36" ht="24" customHeight="1" x14ac:dyDescent="0.2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</row>
    <row r="779" spans="2:36" ht="24" customHeight="1" x14ac:dyDescent="0.2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</row>
    <row r="780" spans="2:36" ht="24" customHeight="1" x14ac:dyDescent="0.2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</row>
    <row r="781" spans="2:36" ht="24" customHeight="1" x14ac:dyDescent="0.2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</row>
    <row r="782" spans="2:36" ht="24" customHeight="1" x14ac:dyDescent="0.2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</row>
    <row r="783" spans="2:36" ht="24" customHeight="1" x14ac:dyDescent="0.2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</row>
    <row r="784" spans="2:36" ht="24" customHeight="1" x14ac:dyDescent="0.2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</row>
    <row r="785" spans="2:36" ht="24" customHeight="1" x14ac:dyDescent="0.2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</row>
    <row r="786" spans="2:36" ht="24" customHeight="1" x14ac:dyDescent="0.2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</row>
    <row r="787" spans="2:36" ht="24" customHeight="1" x14ac:dyDescent="0.2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</row>
    <row r="788" spans="2:36" ht="24" customHeight="1" x14ac:dyDescent="0.2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</row>
    <row r="789" spans="2:36" ht="24" customHeight="1" x14ac:dyDescent="0.2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</row>
    <row r="790" spans="2:36" ht="24" customHeight="1" x14ac:dyDescent="0.2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</row>
    <row r="791" spans="2:36" ht="24" customHeight="1" x14ac:dyDescent="0.2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</row>
    <row r="792" spans="2:36" ht="24" customHeight="1" x14ac:dyDescent="0.2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</row>
    <row r="793" spans="2:36" ht="24" customHeight="1" x14ac:dyDescent="0.2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</row>
    <row r="794" spans="2:36" ht="24" customHeight="1" x14ac:dyDescent="0.2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</row>
    <row r="795" spans="2:36" ht="24" customHeight="1" x14ac:dyDescent="0.2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</row>
    <row r="796" spans="2:36" ht="24" customHeight="1" x14ac:dyDescent="0.2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</row>
    <row r="797" spans="2:36" ht="24" customHeight="1" x14ac:dyDescent="0.2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</row>
    <row r="798" spans="2:36" ht="24" customHeight="1" x14ac:dyDescent="0.2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</row>
    <row r="799" spans="2:36" ht="24" customHeight="1" x14ac:dyDescent="0.2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</row>
    <row r="800" spans="2:36" ht="24" customHeight="1" x14ac:dyDescent="0.2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</row>
    <row r="801" spans="2:36" ht="24" customHeight="1" x14ac:dyDescent="0.2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</row>
    <row r="802" spans="2:36" ht="24" customHeight="1" x14ac:dyDescent="0.2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</row>
    <row r="803" spans="2:36" ht="24" customHeight="1" x14ac:dyDescent="0.2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</row>
    <row r="804" spans="2:36" ht="24" customHeight="1" x14ac:dyDescent="0.2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</row>
    <row r="805" spans="2:36" ht="24" customHeight="1" x14ac:dyDescent="0.2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</row>
    <row r="806" spans="2:36" ht="24" customHeight="1" x14ac:dyDescent="0.2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</row>
    <row r="807" spans="2:36" ht="24" customHeight="1" x14ac:dyDescent="0.2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</row>
    <row r="808" spans="2:36" ht="24" customHeight="1" x14ac:dyDescent="0.2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</row>
    <row r="809" spans="2:36" ht="24" customHeight="1" x14ac:dyDescent="0.2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</row>
    <row r="810" spans="2:36" ht="24" customHeight="1" x14ac:dyDescent="0.2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</row>
    <row r="811" spans="2:36" ht="24" customHeight="1" x14ac:dyDescent="0.2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</row>
    <row r="812" spans="2:36" ht="24" customHeight="1" x14ac:dyDescent="0.2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</row>
    <row r="813" spans="2:36" ht="24" customHeight="1" x14ac:dyDescent="0.2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</row>
    <row r="814" spans="2:36" ht="24" customHeight="1" x14ac:dyDescent="0.2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</row>
    <row r="815" spans="2:36" ht="24" customHeight="1" x14ac:dyDescent="0.2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</row>
    <row r="816" spans="2:36" ht="24" customHeight="1" x14ac:dyDescent="0.2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</row>
    <row r="817" spans="2:36" ht="24" customHeight="1" x14ac:dyDescent="0.2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</row>
    <row r="818" spans="2:36" ht="24" customHeight="1" x14ac:dyDescent="0.2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</row>
    <row r="819" spans="2:36" ht="24" customHeight="1" x14ac:dyDescent="0.2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</row>
    <row r="820" spans="2:36" ht="24" customHeight="1" x14ac:dyDescent="0.2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</row>
    <row r="821" spans="2:36" ht="24" customHeight="1" x14ac:dyDescent="0.2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</row>
    <row r="822" spans="2:36" ht="24" customHeight="1" x14ac:dyDescent="0.2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</row>
    <row r="823" spans="2:36" ht="24" customHeight="1" x14ac:dyDescent="0.2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</row>
    <row r="824" spans="2:36" ht="24" customHeight="1" x14ac:dyDescent="0.2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</row>
    <row r="825" spans="2:36" ht="24" customHeight="1" x14ac:dyDescent="0.2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</row>
    <row r="826" spans="2:36" ht="24" customHeight="1" x14ac:dyDescent="0.2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</row>
    <row r="827" spans="2:36" ht="24" customHeight="1" x14ac:dyDescent="0.2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</row>
    <row r="828" spans="2:36" ht="24" customHeight="1" x14ac:dyDescent="0.2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</row>
    <row r="829" spans="2:36" ht="24" customHeight="1" x14ac:dyDescent="0.2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</row>
    <row r="830" spans="2:36" ht="24" customHeight="1" x14ac:dyDescent="0.2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</row>
    <row r="831" spans="2:36" ht="24" customHeight="1" x14ac:dyDescent="0.2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</row>
    <row r="832" spans="2:36" ht="24" customHeight="1" x14ac:dyDescent="0.2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</row>
    <row r="833" spans="2:36" ht="24" customHeight="1" x14ac:dyDescent="0.2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</row>
    <row r="834" spans="2:36" ht="24" customHeight="1" x14ac:dyDescent="0.2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</row>
    <row r="835" spans="2:36" ht="24" customHeight="1" x14ac:dyDescent="0.2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</row>
    <row r="836" spans="2:36" ht="24" customHeight="1" x14ac:dyDescent="0.2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</row>
    <row r="837" spans="2:36" ht="24" customHeight="1" x14ac:dyDescent="0.2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</row>
    <row r="838" spans="2:36" ht="24" customHeight="1" x14ac:dyDescent="0.2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</row>
    <row r="839" spans="2:36" ht="24" customHeight="1" x14ac:dyDescent="0.2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</row>
    <row r="840" spans="2:36" ht="24" customHeight="1" x14ac:dyDescent="0.2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</row>
    <row r="841" spans="2:36" ht="24" customHeight="1" x14ac:dyDescent="0.2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</row>
    <row r="842" spans="2:36" ht="24" customHeight="1" x14ac:dyDescent="0.2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</row>
    <row r="843" spans="2:36" ht="24" customHeight="1" x14ac:dyDescent="0.2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</row>
    <row r="844" spans="2:36" ht="24" customHeight="1" x14ac:dyDescent="0.2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</row>
    <row r="845" spans="2:36" ht="24" customHeight="1" x14ac:dyDescent="0.2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</row>
    <row r="846" spans="2:36" ht="24" customHeight="1" x14ac:dyDescent="0.2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</row>
    <row r="847" spans="2:36" ht="24" customHeight="1" x14ac:dyDescent="0.2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</row>
    <row r="848" spans="2:36" ht="24" customHeight="1" x14ac:dyDescent="0.2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</row>
    <row r="849" spans="2:36" ht="24" customHeight="1" x14ac:dyDescent="0.2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</row>
    <row r="850" spans="2:36" ht="24" customHeight="1" x14ac:dyDescent="0.2"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</row>
    <row r="851" spans="2:36" ht="24" customHeight="1" x14ac:dyDescent="0.2"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</row>
    <row r="852" spans="2:36" ht="24" customHeight="1" x14ac:dyDescent="0.2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</row>
    <row r="853" spans="2:36" ht="24" customHeight="1" x14ac:dyDescent="0.2"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</row>
    <row r="854" spans="2:36" ht="24" customHeight="1" x14ac:dyDescent="0.2"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</row>
    <row r="855" spans="2:36" ht="24" customHeight="1" x14ac:dyDescent="0.2"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</row>
    <row r="856" spans="2:36" ht="24" customHeight="1" x14ac:dyDescent="0.2"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</row>
    <row r="857" spans="2:36" ht="24" customHeight="1" x14ac:dyDescent="0.2"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</row>
    <row r="858" spans="2:36" ht="24" customHeight="1" x14ac:dyDescent="0.2"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</row>
    <row r="859" spans="2:36" ht="24" customHeight="1" x14ac:dyDescent="0.2"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</row>
    <row r="860" spans="2:36" ht="24" customHeight="1" x14ac:dyDescent="0.2"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</row>
    <row r="861" spans="2:36" ht="24" customHeight="1" x14ac:dyDescent="0.2"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</row>
    <row r="862" spans="2:36" ht="24" customHeight="1" x14ac:dyDescent="0.2"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</row>
    <row r="863" spans="2:36" ht="24" customHeight="1" x14ac:dyDescent="0.2"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</row>
    <row r="864" spans="2:36" ht="24" customHeight="1" x14ac:dyDescent="0.2"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</row>
    <row r="865" spans="2:36" ht="24" customHeight="1" x14ac:dyDescent="0.2"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</row>
    <row r="866" spans="2:36" ht="24" customHeight="1" x14ac:dyDescent="0.2"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</row>
    <row r="867" spans="2:36" ht="24" customHeight="1" x14ac:dyDescent="0.2"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</row>
    <row r="868" spans="2:36" ht="24" customHeight="1" x14ac:dyDescent="0.2"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</row>
    <row r="869" spans="2:36" ht="24" customHeight="1" x14ac:dyDescent="0.2"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</row>
    <row r="870" spans="2:36" ht="24" customHeight="1" x14ac:dyDescent="0.2"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</row>
    <row r="871" spans="2:36" ht="24" customHeight="1" x14ac:dyDescent="0.2"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</row>
    <row r="872" spans="2:36" ht="24" customHeight="1" x14ac:dyDescent="0.2"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</row>
    <row r="873" spans="2:36" ht="24" customHeight="1" x14ac:dyDescent="0.2"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</row>
    <row r="874" spans="2:36" ht="24" customHeight="1" x14ac:dyDescent="0.2"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</row>
    <row r="875" spans="2:36" ht="24" customHeight="1" x14ac:dyDescent="0.2"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</row>
    <row r="876" spans="2:36" ht="24" customHeight="1" x14ac:dyDescent="0.2"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</row>
    <row r="877" spans="2:36" ht="24" customHeight="1" x14ac:dyDescent="0.2"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</row>
    <row r="878" spans="2:36" ht="24" customHeight="1" x14ac:dyDescent="0.2"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</row>
    <row r="879" spans="2:36" ht="24" customHeight="1" x14ac:dyDescent="0.2"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</row>
    <row r="880" spans="2:36" ht="24" customHeight="1" x14ac:dyDescent="0.2"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</row>
    <row r="881" spans="2:36" ht="24" customHeight="1" x14ac:dyDescent="0.2"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</row>
    <row r="882" spans="2:36" ht="24" customHeight="1" x14ac:dyDescent="0.2"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</row>
    <row r="883" spans="2:36" ht="24" customHeight="1" x14ac:dyDescent="0.2"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</row>
    <row r="884" spans="2:36" ht="24" customHeight="1" x14ac:dyDescent="0.2"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</row>
    <row r="885" spans="2:36" ht="24" customHeight="1" x14ac:dyDescent="0.2"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</row>
    <row r="886" spans="2:36" ht="24" customHeight="1" x14ac:dyDescent="0.2"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</row>
    <row r="887" spans="2:36" ht="24" customHeight="1" x14ac:dyDescent="0.2"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</row>
    <row r="888" spans="2:36" ht="24" customHeight="1" x14ac:dyDescent="0.2"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</row>
    <row r="889" spans="2:36" ht="24" customHeight="1" x14ac:dyDescent="0.2"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</row>
    <row r="890" spans="2:36" ht="24" customHeight="1" x14ac:dyDescent="0.2"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</row>
    <row r="891" spans="2:36" ht="24" customHeight="1" x14ac:dyDescent="0.2"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</row>
    <row r="892" spans="2:36" ht="24" customHeight="1" x14ac:dyDescent="0.2"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</row>
    <row r="893" spans="2:36" ht="24" customHeight="1" x14ac:dyDescent="0.2"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</row>
    <row r="894" spans="2:36" ht="24" customHeight="1" x14ac:dyDescent="0.2"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</row>
    <row r="895" spans="2:36" ht="24" customHeight="1" x14ac:dyDescent="0.2"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</row>
    <row r="896" spans="2:36" ht="24" customHeight="1" x14ac:dyDescent="0.2"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</row>
    <row r="897" spans="2:36" ht="24" customHeight="1" x14ac:dyDescent="0.2"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</row>
    <row r="898" spans="2:36" ht="24" customHeight="1" x14ac:dyDescent="0.2"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</row>
    <row r="899" spans="2:36" ht="24" customHeight="1" x14ac:dyDescent="0.2"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</row>
    <row r="900" spans="2:36" ht="24" customHeight="1" x14ac:dyDescent="0.2"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</row>
    <row r="901" spans="2:36" ht="24" customHeight="1" x14ac:dyDescent="0.2"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</row>
    <row r="902" spans="2:36" ht="24" customHeight="1" x14ac:dyDescent="0.2"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</row>
    <row r="903" spans="2:36" ht="24" customHeight="1" x14ac:dyDescent="0.2"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</row>
    <row r="904" spans="2:36" ht="24" customHeight="1" x14ac:dyDescent="0.2"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</row>
    <row r="905" spans="2:36" ht="24" customHeight="1" x14ac:dyDescent="0.2"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</row>
    <row r="906" spans="2:36" ht="24" customHeight="1" x14ac:dyDescent="0.2"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</row>
    <row r="907" spans="2:36" ht="24" customHeight="1" x14ac:dyDescent="0.2"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</row>
    <row r="908" spans="2:36" ht="24" customHeight="1" x14ac:dyDescent="0.2"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</row>
    <row r="909" spans="2:36" ht="24" customHeight="1" x14ac:dyDescent="0.2"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</row>
    <row r="910" spans="2:36" ht="24" customHeight="1" x14ac:dyDescent="0.2"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</row>
    <row r="911" spans="2:36" ht="24" customHeight="1" x14ac:dyDescent="0.2"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</row>
    <row r="912" spans="2:36" ht="24" customHeight="1" x14ac:dyDescent="0.2"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</row>
    <row r="913" spans="2:36" ht="24" customHeight="1" x14ac:dyDescent="0.2"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</row>
    <row r="914" spans="2:36" ht="24" customHeight="1" x14ac:dyDescent="0.2"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</row>
    <row r="915" spans="2:36" ht="24" customHeight="1" x14ac:dyDescent="0.2"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</row>
    <row r="916" spans="2:36" ht="24" customHeight="1" x14ac:dyDescent="0.2"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</row>
    <row r="917" spans="2:36" ht="24" customHeight="1" x14ac:dyDescent="0.2"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</row>
    <row r="918" spans="2:36" ht="24" customHeight="1" x14ac:dyDescent="0.2"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</row>
    <row r="919" spans="2:36" ht="24" customHeight="1" x14ac:dyDescent="0.2"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</row>
    <row r="920" spans="2:36" ht="24" customHeight="1" x14ac:dyDescent="0.2"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</row>
    <row r="921" spans="2:36" ht="24" customHeight="1" x14ac:dyDescent="0.2"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</row>
    <row r="922" spans="2:36" ht="24" customHeight="1" x14ac:dyDescent="0.2"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</row>
    <row r="923" spans="2:36" ht="24" customHeight="1" x14ac:dyDescent="0.2"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</row>
    <row r="924" spans="2:36" ht="24" customHeight="1" x14ac:dyDescent="0.2"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</row>
    <row r="925" spans="2:36" ht="24" customHeight="1" x14ac:dyDescent="0.2"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</row>
    <row r="926" spans="2:36" ht="24" customHeight="1" x14ac:dyDescent="0.2"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</row>
    <row r="927" spans="2:36" ht="24" customHeight="1" x14ac:dyDescent="0.2"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</row>
    <row r="928" spans="2:36" ht="24" customHeight="1" x14ac:dyDescent="0.2"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</row>
    <row r="929" spans="2:36" ht="24" customHeight="1" x14ac:dyDescent="0.2"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</row>
    <row r="930" spans="2:36" ht="24" customHeight="1" x14ac:dyDescent="0.2"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</row>
    <row r="931" spans="2:36" ht="24" customHeight="1" x14ac:dyDescent="0.2"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</row>
    <row r="932" spans="2:36" ht="24" customHeight="1" x14ac:dyDescent="0.2"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</row>
    <row r="933" spans="2:36" ht="24" customHeight="1" x14ac:dyDescent="0.2"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</row>
    <row r="934" spans="2:36" ht="24" customHeight="1" x14ac:dyDescent="0.2"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</row>
    <row r="935" spans="2:36" ht="24" customHeight="1" x14ac:dyDescent="0.2"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</row>
    <row r="936" spans="2:36" ht="24" customHeight="1" x14ac:dyDescent="0.2"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</row>
    <row r="937" spans="2:36" ht="24" customHeight="1" x14ac:dyDescent="0.2"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</row>
    <row r="938" spans="2:36" ht="24" customHeight="1" x14ac:dyDescent="0.2"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</row>
    <row r="939" spans="2:36" ht="24" customHeight="1" x14ac:dyDescent="0.2"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</row>
    <row r="940" spans="2:36" ht="24" customHeight="1" x14ac:dyDescent="0.2"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</row>
    <row r="941" spans="2:36" ht="24" customHeight="1" x14ac:dyDescent="0.2"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</row>
    <row r="942" spans="2:36" ht="24" customHeight="1" x14ac:dyDescent="0.2"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</row>
    <row r="943" spans="2:36" ht="24" customHeight="1" x14ac:dyDescent="0.2"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</row>
    <row r="944" spans="2:36" ht="24" customHeight="1" x14ac:dyDescent="0.2"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</row>
    <row r="945" spans="2:36" ht="24" customHeight="1" x14ac:dyDescent="0.2"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</row>
    <row r="946" spans="2:36" ht="24" customHeight="1" x14ac:dyDescent="0.2"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</row>
    <row r="947" spans="2:36" ht="24" customHeight="1" x14ac:dyDescent="0.2"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</row>
    <row r="948" spans="2:36" ht="24" customHeight="1" x14ac:dyDescent="0.2"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</row>
    <row r="949" spans="2:36" ht="24" customHeight="1" x14ac:dyDescent="0.2"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</row>
    <row r="950" spans="2:36" ht="24" customHeight="1" x14ac:dyDescent="0.2"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</row>
    <row r="951" spans="2:36" ht="24" customHeight="1" x14ac:dyDescent="0.2"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</row>
    <row r="952" spans="2:36" ht="24" customHeight="1" x14ac:dyDescent="0.2"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</row>
    <row r="953" spans="2:36" ht="24" customHeight="1" x14ac:dyDescent="0.2"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</row>
    <row r="954" spans="2:36" ht="24" customHeight="1" x14ac:dyDescent="0.2"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</row>
    <row r="955" spans="2:36" ht="24" customHeight="1" x14ac:dyDescent="0.2"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</row>
    <row r="956" spans="2:36" ht="24" customHeight="1" x14ac:dyDescent="0.2"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</row>
    <row r="957" spans="2:36" ht="24" customHeight="1" x14ac:dyDescent="0.2"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</row>
    <row r="958" spans="2:36" ht="24" customHeight="1" x14ac:dyDescent="0.2"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</row>
    <row r="959" spans="2:36" ht="24" customHeight="1" x14ac:dyDescent="0.2"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</row>
    <row r="960" spans="2:36" ht="24" customHeight="1" x14ac:dyDescent="0.2"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</row>
    <row r="961" spans="2:36" ht="24" customHeight="1" x14ac:dyDescent="0.2"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</row>
    <row r="962" spans="2:36" ht="24" customHeight="1" x14ac:dyDescent="0.2"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</row>
    <row r="963" spans="2:36" ht="24" customHeight="1" x14ac:dyDescent="0.2"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</row>
    <row r="964" spans="2:36" ht="24" customHeight="1" x14ac:dyDescent="0.2"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</row>
    <row r="965" spans="2:36" ht="24" customHeight="1" x14ac:dyDescent="0.2"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</row>
    <row r="966" spans="2:36" ht="24" customHeight="1" x14ac:dyDescent="0.2"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</row>
    <row r="967" spans="2:36" ht="24" customHeight="1" x14ac:dyDescent="0.2"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</row>
    <row r="968" spans="2:36" ht="24" customHeight="1" x14ac:dyDescent="0.2"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</row>
    <row r="969" spans="2:36" ht="24" customHeight="1" x14ac:dyDescent="0.2"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</row>
    <row r="970" spans="2:36" ht="24" customHeight="1" x14ac:dyDescent="0.2"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</row>
    <row r="971" spans="2:36" ht="24" customHeight="1" x14ac:dyDescent="0.2"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</row>
    <row r="972" spans="2:36" ht="24" customHeight="1" x14ac:dyDescent="0.2"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</row>
    <row r="973" spans="2:36" ht="24" customHeight="1" x14ac:dyDescent="0.2"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</row>
    <row r="974" spans="2:36" ht="24" customHeight="1" x14ac:dyDescent="0.2"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</row>
    <row r="975" spans="2:36" ht="24" customHeight="1" x14ac:dyDescent="0.2"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</row>
    <row r="976" spans="2:36" ht="24" customHeight="1" x14ac:dyDescent="0.2"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</row>
    <row r="977" spans="2:36" ht="24" customHeight="1" x14ac:dyDescent="0.2"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</row>
    <row r="978" spans="2:36" ht="24" customHeight="1" x14ac:dyDescent="0.2"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</row>
    <row r="979" spans="2:36" ht="24" customHeight="1" x14ac:dyDescent="0.2"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</row>
    <row r="980" spans="2:36" ht="24" customHeight="1" x14ac:dyDescent="0.2"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</row>
    <row r="981" spans="2:36" ht="24" customHeight="1" x14ac:dyDescent="0.2"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</row>
    <row r="982" spans="2:36" ht="24" customHeight="1" x14ac:dyDescent="0.2"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</row>
    <row r="983" spans="2:36" ht="24" customHeight="1" x14ac:dyDescent="0.2"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</row>
    <row r="984" spans="2:36" ht="24" customHeight="1" x14ac:dyDescent="0.2"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</row>
    <row r="985" spans="2:36" ht="24" customHeight="1" x14ac:dyDescent="0.2"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</row>
    <row r="986" spans="2:36" ht="24" customHeight="1" x14ac:dyDescent="0.2"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</row>
    <row r="987" spans="2:36" ht="24" customHeight="1" x14ac:dyDescent="0.2"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</row>
    <row r="988" spans="2:36" ht="24" customHeight="1" x14ac:dyDescent="0.2"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</row>
    <row r="989" spans="2:36" ht="24" customHeight="1" x14ac:dyDescent="0.2"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</row>
    <row r="990" spans="2:36" ht="24" customHeight="1" x14ac:dyDescent="0.2"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</row>
    <row r="991" spans="2:36" ht="24" customHeight="1" x14ac:dyDescent="0.2"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</row>
    <row r="992" spans="2:36" ht="24" customHeight="1" x14ac:dyDescent="0.2"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</row>
    <row r="993" spans="2:36" ht="24" customHeight="1" x14ac:dyDescent="0.2"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</row>
    <row r="994" spans="2:36" ht="24" customHeight="1" x14ac:dyDescent="0.2"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</row>
    <row r="995" spans="2:36" ht="24" customHeight="1" x14ac:dyDescent="0.2"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</row>
    <row r="996" spans="2:36" ht="24" customHeight="1" x14ac:dyDescent="0.2"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</row>
    <row r="997" spans="2:36" ht="24" customHeight="1" x14ac:dyDescent="0.2"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</row>
    <row r="998" spans="2:36" ht="24" customHeight="1" x14ac:dyDescent="0.2"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</row>
    <row r="999" spans="2:36" ht="24" customHeight="1" x14ac:dyDescent="0.2"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</row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G1:H1"/>
    <mergeCell ref="A2:B2"/>
    <mergeCell ref="G2:H2"/>
    <mergeCell ref="E3:H3"/>
  </mergeCells>
  <pageMargins left="0.7" right="0.7" top="0.75" bottom="0.75" header="0" footer="0"/>
  <pageSetup paperSize="9" scale="58" orientation="landscape" r:id="rId1"/>
  <rowBreaks count="1" manualBreakCount="1">
    <brk id="22" max="16383" man="1"/>
  </rowBreaks>
  <colBreaks count="1" manualBreakCount="1">
    <brk id="10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5"/>
  <sheetViews>
    <sheetView zoomScale="55" zoomScaleNormal="55" workbookViewId="0">
      <pane ySplit="4" topLeftCell="A98" activePane="bottomLeft" state="frozen"/>
      <selection activeCell="J14" sqref="J14"/>
      <selection pane="bottomLeft" activeCell="J14" sqref="J14"/>
    </sheetView>
  </sheetViews>
  <sheetFormatPr defaultColWidth="12.625" defaultRowHeight="15" customHeight="1" x14ac:dyDescent="0.4"/>
  <cols>
    <col min="1" max="1" width="9.625" style="87" customWidth="1"/>
    <col min="2" max="2" width="28.375" style="87" customWidth="1"/>
    <col min="3" max="3" width="35.125" style="87" customWidth="1"/>
    <col min="4" max="4" width="43.125" style="87" customWidth="1"/>
    <col min="5" max="5" width="20.875" style="87" customWidth="1"/>
    <col min="6" max="7" width="25.625" style="87" customWidth="1"/>
    <col min="8" max="8" width="20.875" style="87" customWidth="1"/>
    <col min="9" max="9" width="19" style="87" customWidth="1"/>
    <col min="10" max="10" width="15.875" style="87" customWidth="1"/>
    <col min="11" max="28" width="9" style="87" customWidth="1"/>
    <col min="29" max="16384" width="12.625" style="87"/>
  </cols>
  <sheetData>
    <row r="1" spans="1:28" ht="24" customHeight="1" x14ac:dyDescent="0.4">
      <c r="A1" s="81"/>
      <c r="B1" s="82" t="s">
        <v>0</v>
      </c>
      <c r="C1" s="83" t="s">
        <v>1</v>
      </c>
      <c r="D1" s="84"/>
      <c r="E1" s="84"/>
      <c r="F1" s="85"/>
      <c r="G1" s="85"/>
      <c r="H1" s="85"/>
      <c r="I1" s="86" t="s">
        <v>2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24" customHeight="1" x14ac:dyDescent="0.4">
      <c r="A2" s="81"/>
      <c r="B2" s="88" t="s">
        <v>3</v>
      </c>
      <c r="C2" s="89"/>
      <c r="D2" s="89"/>
      <c r="E2" s="89"/>
      <c r="F2" s="90"/>
      <c r="G2" s="90"/>
      <c r="H2" s="90"/>
      <c r="I2" s="91" t="s">
        <v>5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ht="24" customHeight="1" x14ac:dyDescent="0.4">
      <c r="A3" s="92"/>
      <c r="B3" s="93"/>
      <c r="C3" s="94"/>
      <c r="D3" s="94"/>
      <c r="E3" s="94"/>
      <c r="F3" s="95"/>
      <c r="G3" s="95"/>
      <c r="H3" s="95"/>
      <c r="I3" s="96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28" ht="84.75" customHeight="1" x14ac:dyDescent="0.4">
      <c r="A4" s="97" t="s">
        <v>11</v>
      </c>
      <c r="B4" s="97" t="s">
        <v>67</v>
      </c>
      <c r="C4" s="97" t="s">
        <v>68</v>
      </c>
      <c r="D4" s="97" t="s">
        <v>69</v>
      </c>
      <c r="E4" s="98" t="s">
        <v>70</v>
      </c>
      <c r="F4" s="98" t="s">
        <v>71</v>
      </c>
      <c r="G4" s="99" t="s">
        <v>72</v>
      </c>
      <c r="H4" s="99" t="s">
        <v>73</v>
      </c>
      <c r="I4" s="100" t="s">
        <v>74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1:28" ht="21" customHeight="1" x14ac:dyDescent="0.55000000000000004">
      <c r="A5" s="102"/>
      <c r="B5" s="103" t="s">
        <v>75</v>
      </c>
      <c r="C5" s="104"/>
      <c r="D5" s="105"/>
      <c r="E5" s="106"/>
      <c r="F5" s="107"/>
      <c r="G5" s="108"/>
      <c r="H5" s="108"/>
      <c r="I5" s="109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28" ht="21" customHeight="1" x14ac:dyDescent="0.55000000000000004">
      <c r="A6" s="110">
        <v>1</v>
      </c>
      <c r="B6" s="111" t="s">
        <v>76</v>
      </c>
      <c r="C6" s="112" t="s">
        <v>77</v>
      </c>
      <c r="D6" s="113" t="s">
        <v>78</v>
      </c>
      <c r="E6" s="114">
        <v>62</v>
      </c>
      <c r="F6" s="115">
        <f>E6-4-4</f>
        <v>54</v>
      </c>
      <c r="G6" s="115">
        <f>(F6*70/100)+1</f>
        <v>38.799999999999997</v>
      </c>
      <c r="H6" s="115">
        <v>51</v>
      </c>
      <c r="I6" s="116">
        <f>H6*100/G6</f>
        <v>131.44329896907217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</row>
    <row r="7" spans="1:28" ht="21" customHeight="1" x14ac:dyDescent="0.55000000000000004">
      <c r="A7" s="117">
        <v>2</v>
      </c>
      <c r="B7" s="112"/>
      <c r="C7" s="112" t="s">
        <v>79</v>
      </c>
      <c r="D7" s="113" t="s">
        <v>78</v>
      </c>
      <c r="E7" s="114">
        <v>61</v>
      </c>
      <c r="F7" s="115">
        <f>E7-5</f>
        <v>56</v>
      </c>
      <c r="G7" s="115">
        <f>(F7*70/100)+1</f>
        <v>40.200000000000003</v>
      </c>
      <c r="H7" s="115">
        <v>49</v>
      </c>
      <c r="I7" s="116">
        <f t="shared" ref="I7:I12" si="0">H7*100/G7</f>
        <v>121.89054726368158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</row>
    <row r="8" spans="1:28" ht="21" customHeight="1" x14ac:dyDescent="0.55000000000000004">
      <c r="A8" s="117">
        <v>3</v>
      </c>
      <c r="B8" s="112"/>
      <c r="C8" s="112" t="s">
        <v>80</v>
      </c>
      <c r="D8" s="113" t="s">
        <v>78</v>
      </c>
      <c r="E8" s="114">
        <v>55</v>
      </c>
      <c r="F8" s="115">
        <f>E8-4-6-1</f>
        <v>44</v>
      </c>
      <c r="G8" s="115">
        <f>(F8*70/100)+1</f>
        <v>31.8</v>
      </c>
      <c r="H8" s="115">
        <v>41</v>
      </c>
      <c r="I8" s="116">
        <f t="shared" si="0"/>
        <v>128.93081761006289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</row>
    <row r="9" spans="1:28" ht="21" customHeight="1" x14ac:dyDescent="0.55000000000000004">
      <c r="A9" s="117">
        <v>4</v>
      </c>
      <c r="B9" s="112"/>
      <c r="C9" s="112" t="s">
        <v>81</v>
      </c>
      <c r="D9" s="113" t="s">
        <v>78</v>
      </c>
      <c r="E9" s="114">
        <v>50</v>
      </c>
      <c r="F9" s="115">
        <f>E9-7-2-3</f>
        <v>38</v>
      </c>
      <c r="G9" s="115">
        <f>(F9*70/100)+1</f>
        <v>27.6</v>
      </c>
      <c r="H9" s="115">
        <v>38</v>
      </c>
      <c r="I9" s="116">
        <f t="shared" si="0"/>
        <v>137.68115942028984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21" customHeight="1" x14ac:dyDescent="0.55000000000000004">
      <c r="A10" s="117">
        <v>5</v>
      </c>
      <c r="B10" s="112"/>
      <c r="C10" s="112" t="s">
        <v>82</v>
      </c>
      <c r="D10" s="113" t="s">
        <v>78</v>
      </c>
      <c r="E10" s="114">
        <v>66</v>
      </c>
      <c r="F10" s="115">
        <f>E10-2-1-2</f>
        <v>61</v>
      </c>
      <c r="G10" s="115">
        <f>(F10*70/100)+5</f>
        <v>47.7</v>
      </c>
      <c r="H10" s="115">
        <v>57</v>
      </c>
      <c r="I10" s="116">
        <f t="shared" si="0"/>
        <v>119.49685534591194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21" customHeight="1" x14ac:dyDescent="0.55000000000000004">
      <c r="A11" s="117">
        <v>6</v>
      </c>
      <c r="B11" s="112"/>
      <c r="C11" s="118" t="s">
        <v>83</v>
      </c>
      <c r="D11" s="113" t="s">
        <v>78</v>
      </c>
      <c r="E11" s="114">
        <v>43</v>
      </c>
      <c r="F11" s="115">
        <f>E11-4-5-2</f>
        <v>32</v>
      </c>
      <c r="G11" s="115">
        <f>(F11*70/100)+1</f>
        <v>23.4</v>
      </c>
      <c r="H11" s="115">
        <v>26</v>
      </c>
      <c r="I11" s="116">
        <f t="shared" si="0"/>
        <v>111.11111111111111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21" customHeight="1" x14ac:dyDescent="0.55000000000000004">
      <c r="A12" s="117">
        <v>7</v>
      </c>
      <c r="B12" s="112"/>
      <c r="C12" s="112" t="s">
        <v>84</v>
      </c>
      <c r="D12" s="113" t="s">
        <v>85</v>
      </c>
      <c r="E12" s="114">
        <v>61</v>
      </c>
      <c r="F12" s="115">
        <f>E12-6</f>
        <v>55</v>
      </c>
      <c r="G12" s="115">
        <f>(F12*70/100)+2</f>
        <v>40.5</v>
      </c>
      <c r="H12" s="115">
        <v>53</v>
      </c>
      <c r="I12" s="116">
        <f t="shared" si="0"/>
        <v>130.8641975308642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21" customHeight="1" x14ac:dyDescent="0.55000000000000004">
      <c r="A13" s="117"/>
      <c r="B13" s="119" t="s">
        <v>86</v>
      </c>
      <c r="C13" s="119"/>
      <c r="D13" s="120"/>
      <c r="E13" s="121">
        <v>398</v>
      </c>
      <c r="F13" s="122">
        <f>SUM(F6:F12)</f>
        <v>340</v>
      </c>
      <c r="G13" s="122">
        <f>SUM(G6:G12)</f>
        <v>250.00000000000003</v>
      </c>
      <c r="H13" s="122">
        <f>SUM(H6:H12)</f>
        <v>315</v>
      </c>
      <c r="I13" s="123">
        <f>H13*100/E13</f>
        <v>79.145728643216074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21" customHeight="1" x14ac:dyDescent="0.55000000000000004">
      <c r="A14" s="124"/>
      <c r="B14" s="125" t="s">
        <v>87</v>
      </c>
      <c r="C14" s="126"/>
      <c r="D14" s="127"/>
      <c r="E14" s="109"/>
      <c r="F14" s="128"/>
      <c r="G14" s="128"/>
      <c r="H14" s="128"/>
      <c r="I14" s="109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ht="21" customHeight="1" x14ac:dyDescent="0.55000000000000004">
      <c r="A15" s="117">
        <v>8</v>
      </c>
      <c r="B15" s="118" t="s">
        <v>88</v>
      </c>
      <c r="C15" s="129" t="s">
        <v>89</v>
      </c>
      <c r="D15" s="130" t="s">
        <v>90</v>
      </c>
      <c r="E15" s="131">
        <v>39</v>
      </c>
      <c r="F15" s="132">
        <f>E15-1-1-2</f>
        <v>35</v>
      </c>
      <c r="G15" s="132">
        <f>F15*70/100</f>
        <v>24.5</v>
      </c>
      <c r="H15" s="133">
        <f>1+1</f>
        <v>2</v>
      </c>
      <c r="I15" s="134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</row>
    <row r="16" spans="1:28" ht="21" customHeight="1" x14ac:dyDescent="0.55000000000000004">
      <c r="A16" s="117">
        <v>9</v>
      </c>
      <c r="B16" s="118"/>
      <c r="C16" s="135" t="s">
        <v>91</v>
      </c>
      <c r="D16" s="130" t="s">
        <v>92</v>
      </c>
      <c r="E16" s="131">
        <v>17</v>
      </c>
      <c r="F16" s="132">
        <f>E16-2-2</f>
        <v>13</v>
      </c>
      <c r="G16" s="132">
        <f t="shared" ref="G16:G28" si="1">F16*70/100</f>
        <v>9.1</v>
      </c>
      <c r="H16" s="133">
        <v>1</v>
      </c>
      <c r="I16" s="134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21" customHeight="1" x14ac:dyDescent="0.55000000000000004">
      <c r="A17" s="117">
        <v>10</v>
      </c>
      <c r="B17" s="118"/>
      <c r="C17" s="135" t="s">
        <v>93</v>
      </c>
      <c r="D17" s="130" t="s">
        <v>90</v>
      </c>
      <c r="E17" s="136">
        <v>19</v>
      </c>
      <c r="F17" s="137">
        <f>E17-2-2</f>
        <v>15</v>
      </c>
      <c r="G17" s="132">
        <f t="shared" si="1"/>
        <v>10.5</v>
      </c>
      <c r="H17" s="138"/>
      <c r="I17" s="134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21" customHeight="1" x14ac:dyDescent="0.55000000000000004">
      <c r="A18" s="117">
        <v>11</v>
      </c>
      <c r="B18" s="118"/>
      <c r="C18" s="135" t="s">
        <v>94</v>
      </c>
      <c r="D18" s="130" t="s">
        <v>90</v>
      </c>
      <c r="E18" s="136">
        <v>9</v>
      </c>
      <c r="F18" s="137">
        <v>9</v>
      </c>
      <c r="G18" s="132">
        <f t="shared" si="1"/>
        <v>6.3</v>
      </c>
      <c r="H18" s="138"/>
      <c r="I18" s="134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21" customHeight="1" x14ac:dyDescent="0.55000000000000004">
      <c r="A19" s="117">
        <v>12</v>
      </c>
      <c r="B19" s="118"/>
      <c r="C19" s="135" t="s">
        <v>95</v>
      </c>
      <c r="D19" s="130" t="s">
        <v>90</v>
      </c>
      <c r="E19" s="136">
        <v>8</v>
      </c>
      <c r="F19" s="137">
        <f>E19-1-3</f>
        <v>4</v>
      </c>
      <c r="G19" s="132">
        <f t="shared" si="1"/>
        <v>2.8</v>
      </c>
      <c r="H19" s="138"/>
      <c r="I19" s="134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21" customHeight="1" x14ac:dyDescent="0.55000000000000004">
      <c r="A20" s="117">
        <v>13</v>
      </c>
      <c r="B20" s="118"/>
      <c r="C20" s="135" t="s">
        <v>96</v>
      </c>
      <c r="D20" s="130" t="s">
        <v>90</v>
      </c>
      <c r="E20" s="136">
        <v>13</v>
      </c>
      <c r="F20" s="137">
        <f>E20-5-1</f>
        <v>7</v>
      </c>
      <c r="G20" s="132">
        <f t="shared" si="1"/>
        <v>4.9000000000000004</v>
      </c>
      <c r="H20" s="138"/>
      <c r="I20" s="134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21" customHeight="1" x14ac:dyDescent="0.55000000000000004">
      <c r="A21" s="117">
        <v>14</v>
      </c>
      <c r="B21" s="118"/>
      <c r="C21" s="135" t="s">
        <v>97</v>
      </c>
      <c r="D21" s="130" t="s">
        <v>92</v>
      </c>
      <c r="E21" s="136">
        <v>27</v>
      </c>
      <c r="F21" s="137">
        <f>E21-3-4-1</f>
        <v>19</v>
      </c>
      <c r="G21" s="132">
        <f t="shared" si="1"/>
        <v>13.3</v>
      </c>
      <c r="H21" s="138"/>
      <c r="I21" s="134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21" customHeight="1" x14ac:dyDescent="0.55000000000000004">
      <c r="A22" s="117">
        <v>15</v>
      </c>
      <c r="B22" s="118"/>
      <c r="C22" s="135" t="s">
        <v>98</v>
      </c>
      <c r="D22" s="130" t="s">
        <v>92</v>
      </c>
      <c r="E22" s="136">
        <v>7</v>
      </c>
      <c r="F22" s="137">
        <v>7</v>
      </c>
      <c r="G22" s="132">
        <f t="shared" si="1"/>
        <v>4.9000000000000004</v>
      </c>
      <c r="H22" s="138">
        <f>2+4</f>
        <v>6</v>
      </c>
      <c r="I22" s="134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21" customHeight="1" x14ac:dyDescent="0.55000000000000004">
      <c r="A23" s="117">
        <v>16</v>
      </c>
      <c r="B23" s="112"/>
      <c r="C23" s="139" t="s">
        <v>99</v>
      </c>
      <c r="D23" s="130" t="s">
        <v>90</v>
      </c>
      <c r="E23" s="140">
        <v>85</v>
      </c>
      <c r="F23" s="115">
        <f>E23-11-6-5</f>
        <v>63</v>
      </c>
      <c r="G23" s="132">
        <f t="shared" si="1"/>
        <v>44.1</v>
      </c>
      <c r="H23" s="141"/>
      <c r="I23" s="142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21" customHeight="1" x14ac:dyDescent="0.55000000000000004">
      <c r="A24" s="117">
        <v>17</v>
      </c>
      <c r="B24" s="112"/>
      <c r="C24" s="139" t="s">
        <v>100</v>
      </c>
      <c r="D24" s="130" t="s">
        <v>101</v>
      </c>
      <c r="E24" s="140">
        <v>82</v>
      </c>
      <c r="F24" s="115">
        <f>E24-15-8-7</f>
        <v>52</v>
      </c>
      <c r="G24" s="132">
        <f t="shared" si="1"/>
        <v>36.4</v>
      </c>
      <c r="H24" s="141"/>
      <c r="I24" s="142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21" customHeight="1" x14ac:dyDescent="0.55000000000000004">
      <c r="A25" s="117">
        <v>18</v>
      </c>
      <c r="B25" s="112"/>
      <c r="C25" s="139" t="s">
        <v>102</v>
      </c>
      <c r="D25" s="130" t="s">
        <v>90</v>
      </c>
      <c r="E25" s="114">
        <v>77</v>
      </c>
      <c r="F25" s="115">
        <f>E25-10-2-6</f>
        <v>59</v>
      </c>
      <c r="G25" s="132">
        <f t="shared" si="1"/>
        <v>41.3</v>
      </c>
      <c r="H25" s="141">
        <f>22+2+2</f>
        <v>26</v>
      </c>
      <c r="I25" s="142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28" ht="21" customHeight="1" x14ac:dyDescent="0.55000000000000004">
      <c r="A26" s="117">
        <v>19</v>
      </c>
      <c r="B26" s="112"/>
      <c r="C26" s="139" t="s">
        <v>103</v>
      </c>
      <c r="D26" s="130" t="s">
        <v>90</v>
      </c>
      <c r="E26" s="114">
        <v>44</v>
      </c>
      <c r="F26" s="115">
        <f>E26-4-4-1</f>
        <v>35</v>
      </c>
      <c r="G26" s="132">
        <f t="shared" si="1"/>
        <v>24.5</v>
      </c>
      <c r="H26" s="141"/>
      <c r="I26" s="142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</row>
    <row r="27" spans="1:28" ht="21" customHeight="1" x14ac:dyDescent="0.55000000000000004">
      <c r="A27" s="117">
        <v>20</v>
      </c>
      <c r="B27" s="112"/>
      <c r="C27" s="139" t="s">
        <v>104</v>
      </c>
      <c r="D27" s="130" t="s">
        <v>90</v>
      </c>
      <c r="E27" s="143">
        <v>101</v>
      </c>
      <c r="F27" s="144">
        <f>E27-9-3-2</f>
        <v>87</v>
      </c>
      <c r="G27" s="132">
        <f t="shared" si="1"/>
        <v>60.9</v>
      </c>
      <c r="H27" s="145"/>
      <c r="I27" s="142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21" customHeight="1" x14ac:dyDescent="0.55000000000000004">
      <c r="A28" s="117">
        <v>21</v>
      </c>
      <c r="B28" s="112"/>
      <c r="C28" s="112" t="s">
        <v>105</v>
      </c>
      <c r="D28" s="146" t="s">
        <v>106</v>
      </c>
      <c r="E28" s="117">
        <v>35</v>
      </c>
      <c r="F28" s="144">
        <f>E28-1</f>
        <v>34</v>
      </c>
      <c r="G28" s="132">
        <f t="shared" si="1"/>
        <v>23.8</v>
      </c>
      <c r="H28" s="145"/>
      <c r="I28" s="142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21" customHeight="1" x14ac:dyDescent="0.55000000000000004">
      <c r="A29" s="117">
        <v>22</v>
      </c>
      <c r="B29" s="112"/>
      <c r="C29" s="139" t="s">
        <v>107</v>
      </c>
      <c r="D29" s="146" t="s">
        <v>78</v>
      </c>
      <c r="E29" s="140">
        <v>133</v>
      </c>
      <c r="F29" s="147">
        <f>E29-26-2-3</f>
        <v>102</v>
      </c>
      <c r="G29" s="132">
        <f>(F29*70/100)+1</f>
        <v>72.400000000000006</v>
      </c>
      <c r="H29" s="148">
        <f>4+24</f>
        <v>28</v>
      </c>
      <c r="I29" s="142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21" customHeight="1" x14ac:dyDescent="0.55000000000000004">
      <c r="A30" s="117"/>
      <c r="B30" s="149" t="s">
        <v>108</v>
      </c>
      <c r="C30" s="149"/>
      <c r="D30" s="150"/>
      <c r="E30" s="151">
        <f>SUM(E15:E29)</f>
        <v>696</v>
      </c>
      <c r="F30" s="152">
        <f>SUM(F15:F29)</f>
        <v>541</v>
      </c>
      <c r="G30" s="152">
        <f>SUM(G15:G29)</f>
        <v>379.70000000000005</v>
      </c>
      <c r="H30" s="152">
        <f>SUM(H15:H29)</f>
        <v>63</v>
      </c>
      <c r="I30" s="123">
        <f>H30*100/E30</f>
        <v>9.0517241379310338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21" customHeight="1" x14ac:dyDescent="0.55000000000000004">
      <c r="A31" s="124"/>
      <c r="B31" s="125" t="s">
        <v>109</v>
      </c>
      <c r="C31" s="126"/>
      <c r="D31" s="153"/>
      <c r="E31" s="109"/>
      <c r="F31" s="128"/>
      <c r="G31" s="128"/>
      <c r="H31" s="128"/>
      <c r="I31" s="109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21" customHeight="1" x14ac:dyDescent="0.55000000000000004">
      <c r="A32" s="117">
        <v>23</v>
      </c>
      <c r="B32" s="118" t="s">
        <v>110</v>
      </c>
      <c r="C32" s="139" t="s">
        <v>111</v>
      </c>
      <c r="D32" s="146" t="s">
        <v>85</v>
      </c>
      <c r="E32" s="114">
        <v>17</v>
      </c>
      <c r="F32" s="154">
        <f>E32-6-2-3</f>
        <v>6</v>
      </c>
      <c r="G32" s="154">
        <f>F32*70/100</f>
        <v>4.2</v>
      </c>
      <c r="H32" s="154"/>
      <c r="I32" s="142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21" customHeight="1" x14ac:dyDescent="0.55000000000000004">
      <c r="A33" s="117">
        <v>24</v>
      </c>
      <c r="B33" s="139" t="s">
        <v>112</v>
      </c>
      <c r="C33" s="139" t="s">
        <v>113</v>
      </c>
      <c r="D33" s="146" t="s">
        <v>85</v>
      </c>
      <c r="E33" s="114">
        <v>81</v>
      </c>
      <c r="F33" s="115">
        <f>E33-5-4-1</f>
        <v>71</v>
      </c>
      <c r="G33" s="154">
        <f t="shared" ref="G33" si="2">F33*70/100</f>
        <v>49.7</v>
      </c>
      <c r="H33" s="115">
        <v>66</v>
      </c>
      <c r="I33" s="142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21" customHeight="1" x14ac:dyDescent="0.55000000000000004">
      <c r="A34" s="117">
        <v>25</v>
      </c>
      <c r="B34" s="118"/>
      <c r="C34" s="118" t="s">
        <v>114</v>
      </c>
      <c r="D34" s="146" t="s">
        <v>85</v>
      </c>
      <c r="E34" s="114">
        <v>119</v>
      </c>
      <c r="F34" s="115">
        <f>E34-4-4-2</f>
        <v>109</v>
      </c>
      <c r="G34" s="154">
        <f>(F34*70/100)+3</f>
        <v>79.3</v>
      </c>
      <c r="H34" s="115"/>
      <c r="I34" s="142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21" customHeight="1" x14ac:dyDescent="0.55000000000000004">
      <c r="A35" s="117">
        <v>26</v>
      </c>
      <c r="B35" s="112"/>
      <c r="C35" s="139" t="s">
        <v>115</v>
      </c>
      <c r="D35" s="146" t="s">
        <v>85</v>
      </c>
      <c r="E35" s="114">
        <v>169</v>
      </c>
      <c r="F35" s="115">
        <f>E35-12-11-23</f>
        <v>123</v>
      </c>
      <c r="G35" s="154">
        <f>(F35*70/100)+7</f>
        <v>93.1</v>
      </c>
      <c r="H35" s="115"/>
      <c r="I35" s="142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1" customHeight="1" x14ac:dyDescent="0.55000000000000004">
      <c r="A36" s="117">
        <v>27</v>
      </c>
      <c r="B36" s="112"/>
      <c r="C36" s="118" t="s">
        <v>116</v>
      </c>
      <c r="D36" s="146" t="s">
        <v>85</v>
      </c>
      <c r="E36" s="114">
        <v>54</v>
      </c>
      <c r="F36" s="115">
        <f>E36-1-3-2</f>
        <v>48</v>
      </c>
      <c r="G36" s="154">
        <f>F36*70/100</f>
        <v>33.6</v>
      </c>
      <c r="H36" s="115"/>
      <c r="I36" s="142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21" customHeight="1" x14ac:dyDescent="0.55000000000000004">
      <c r="A37" s="117">
        <v>28</v>
      </c>
      <c r="B37" s="112"/>
      <c r="C37" s="118" t="s">
        <v>117</v>
      </c>
      <c r="D37" s="146" t="s">
        <v>85</v>
      </c>
      <c r="E37" s="114">
        <v>129</v>
      </c>
      <c r="F37" s="115">
        <f>E37-7-7-3</f>
        <v>112</v>
      </c>
      <c r="G37" s="154">
        <f>(F37*70/100)+5</f>
        <v>83.4</v>
      </c>
      <c r="H37" s="115"/>
      <c r="I37" s="142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21" customHeight="1" x14ac:dyDescent="0.55000000000000004">
      <c r="A38" s="117">
        <v>29</v>
      </c>
      <c r="B38" s="112"/>
      <c r="C38" s="155" t="s">
        <v>118</v>
      </c>
      <c r="D38" s="146" t="s">
        <v>85</v>
      </c>
      <c r="E38" s="131">
        <v>130</v>
      </c>
      <c r="F38" s="156">
        <f>E38-15-10-2</f>
        <v>103</v>
      </c>
      <c r="G38" s="154">
        <f>(F38*70/100)+5</f>
        <v>77.099999999999994</v>
      </c>
      <c r="H38" s="115">
        <v>81</v>
      </c>
      <c r="I38" s="134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ht="21" customHeight="1" x14ac:dyDescent="0.55000000000000004">
      <c r="A39" s="117"/>
      <c r="B39" s="157" t="s">
        <v>108</v>
      </c>
      <c r="C39" s="158"/>
      <c r="D39" s="159"/>
      <c r="E39" s="160">
        <f>SUM(E32:E38)</f>
        <v>699</v>
      </c>
      <c r="F39" s="161">
        <f>SUM(F32:F38)</f>
        <v>572</v>
      </c>
      <c r="G39" s="161">
        <f>SUM(G32:G38)</f>
        <v>420.4</v>
      </c>
      <c r="H39" s="161">
        <f>SUM(H32:H38)</f>
        <v>147</v>
      </c>
      <c r="I39" s="123">
        <f>H39*100/E39</f>
        <v>21.030042918454935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</row>
    <row r="40" spans="1:28" ht="21" customHeight="1" x14ac:dyDescent="0.55000000000000004">
      <c r="A40" s="124"/>
      <c r="B40" s="125" t="s">
        <v>119</v>
      </c>
      <c r="C40" s="126"/>
      <c r="D40" s="162"/>
      <c r="E40" s="109"/>
      <c r="F40" s="128"/>
      <c r="G40" s="128"/>
      <c r="H40" s="128"/>
      <c r="I40" s="109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28" ht="21" customHeight="1" x14ac:dyDescent="0.55000000000000004">
      <c r="A41" s="117">
        <v>30</v>
      </c>
      <c r="B41" s="112" t="s">
        <v>120</v>
      </c>
      <c r="C41" s="118" t="s">
        <v>121</v>
      </c>
      <c r="D41" s="146" t="s">
        <v>85</v>
      </c>
      <c r="E41" s="163">
        <v>57</v>
      </c>
      <c r="F41" s="164">
        <f>E41-6-1-1</f>
        <v>49</v>
      </c>
      <c r="G41" s="164">
        <f>F41*70/100</f>
        <v>34.299999999999997</v>
      </c>
      <c r="H41" s="164"/>
      <c r="I41" s="142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</row>
    <row r="42" spans="1:28" ht="21" customHeight="1" x14ac:dyDescent="0.55000000000000004">
      <c r="A42" s="117">
        <v>31</v>
      </c>
      <c r="B42" s="139" t="s">
        <v>122</v>
      </c>
      <c r="C42" s="112" t="s">
        <v>123</v>
      </c>
      <c r="D42" s="146" t="s">
        <v>85</v>
      </c>
      <c r="E42" s="163">
        <v>358</v>
      </c>
      <c r="F42" s="164">
        <f>E42-35-25-26</f>
        <v>272</v>
      </c>
      <c r="G42" s="164">
        <f>F42*70/100</f>
        <v>190.4</v>
      </c>
      <c r="H42" s="164"/>
      <c r="I42" s="142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</row>
    <row r="43" spans="1:28" ht="21" customHeight="1" x14ac:dyDescent="0.55000000000000004">
      <c r="A43" s="117">
        <v>32</v>
      </c>
      <c r="B43" s="139" t="s">
        <v>124</v>
      </c>
      <c r="C43" s="112" t="s">
        <v>125</v>
      </c>
      <c r="D43" s="146" t="s">
        <v>85</v>
      </c>
      <c r="E43" s="163">
        <v>55</v>
      </c>
      <c r="F43" s="164">
        <f>55-12-11-4-2</f>
        <v>26</v>
      </c>
      <c r="G43" s="164">
        <f>F43*70/100</f>
        <v>18.2</v>
      </c>
      <c r="H43" s="164">
        <v>31</v>
      </c>
      <c r="I43" s="142"/>
      <c r="J43" s="101" t="s">
        <v>126</v>
      </c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</row>
    <row r="44" spans="1:28" ht="24" customHeight="1" x14ac:dyDescent="0.55000000000000004">
      <c r="A44" s="117">
        <v>33</v>
      </c>
      <c r="B44" s="165"/>
      <c r="C44" s="155" t="s">
        <v>127</v>
      </c>
      <c r="D44" s="146" t="s">
        <v>85</v>
      </c>
      <c r="E44" s="166">
        <v>108</v>
      </c>
      <c r="F44" s="115">
        <f>E44-13-2-4</f>
        <v>89</v>
      </c>
      <c r="G44" s="164">
        <f t="shared" ref="G44:G49" si="3">F44*70/100</f>
        <v>62.3</v>
      </c>
      <c r="H44" s="115"/>
      <c r="I44" s="142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</row>
    <row r="45" spans="1:28" ht="24" customHeight="1" x14ac:dyDescent="0.55000000000000004">
      <c r="A45" s="117">
        <v>34</v>
      </c>
      <c r="B45" s="139"/>
      <c r="C45" s="155" t="s">
        <v>128</v>
      </c>
      <c r="D45" s="146" t="s">
        <v>85</v>
      </c>
      <c r="E45" s="166">
        <v>100</v>
      </c>
      <c r="F45" s="115">
        <f>E45-10-1-9</f>
        <v>80</v>
      </c>
      <c r="G45" s="164">
        <f t="shared" si="3"/>
        <v>56</v>
      </c>
      <c r="H45" s="115"/>
      <c r="I45" s="142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</row>
    <row r="46" spans="1:28" ht="24" customHeight="1" x14ac:dyDescent="0.55000000000000004">
      <c r="A46" s="117">
        <v>35</v>
      </c>
      <c r="B46" s="139"/>
      <c r="C46" s="155" t="s">
        <v>129</v>
      </c>
      <c r="D46" s="146" t="s">
        <v>85</v>
      </c>
      <c r="E46" s="166">
        <v>216</v>
      </c>
      <c r="F46" s="115">
        <f>E46-19-10-11</f>
        <v>176</v>
      </c>
      <c r="G46" s="164">
        <f t="shared" si="3"/>
        <v>123.2</v>
      </c>
      <c r="H46" s="115"/>
      <c r="I46" s="142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</row>
    <row r="47" spans="1:28" ht="24" customHeight="1" x14ac:dyDescent="0.55000000000000004">
      <c r="A47" s="117">
        <v>36</v>
      </c>
      <c r="B47" s="139"/>
      <c r="C47" s="155" t="s">
        <v>130</v>
      </c>
      <c r="D47" s="146" t="s">
        <v>85</v>
      </c>
      <c r="E47" s="166">
        <v>94</v>
      </c>
      <c r="F47" s="115">
        <f>E47-9-3-12</f>
        <v>70</v>
      </c>
      <c r="G47" s="164">
        <f t="shared" si="3"/>
        <v>49</v>
      </c>
      <c r="H47" s="115"/>
      <c r="I47" s="142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</row>
    <row r="48" spans="1:28" ht="24" customHeight="1" x14ac:dyDescent="0.55000000000000004">
      <c r="A48" s="117">
        <v>37</v>
      </c>
      <c r="B48" s="139"/>
      <c r="C48" s="155" t="s">
        <v>131</v>
      </c>
      <c r="D48" s="146" t="s">
        <v>85</v>
      </c>
      <c r="E48" s="166">
        <v>137</v>
      </c>
      <c r="F48" s="115">
        <f>E48-24-10-6</f>
        <v>97</v>
      </c>
      <c r="G48" s="164">
        <f t="shared" si="3"/>
        <v>67.900000000000006</v>
      </c>
      <c r="H48" s="115"/>
      <c r="I48" s="142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</row>
    <row r="49" spans="1:28" ht="24" customHeight="1" x14ac:dyDescent="0.55000000000000004">
      <c r="A49" s="117">
        <v>38</v>
      </c>
      <c r="B49" s="139"/>
      <c r="C49" s="155" t="s">
        <v>132</v>
      </c>
      <c r="D49" s="146" t="s">
        <v>85</v>
      </c>
      <c r="E49" s="166">
        <v>240</v>
      </c>
      <c r="F49" s="115">
        <f>E49-26-8-18</f>
        <v>188</v>
      </c>
      <c r="G49" s="164">
        <f t="shared" si="3"/>
        <v>131.6</v>
      </c>
      <c r="H49" s="115"/>
      <c r="I49" s="142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</row>
    <row r="50" spans="1:28" ht="24" customHeight="1" x14ac:dyDescent="0.55000000000000004">
      <c r="A50" s="117"/>
      <c r="B50" s="167" t="s">
        <v>108</v>
      </c>
      <c r="C50" s="167"/>
      <c r="D50" s="168"/>
      <c r="E50" s="169">
        <f>SUM(E41:E49)</f>
        <v>1365</v>
      </c>
      <c r="F50" s="170">
        <f>SUM(F41:F49)</f>
        <v>1047</v>
      </c>
      <c r="G50" s="170">
        <f>SUM(G41:G49)</f>
        <v>732.9</v>
      </c>
      <c r="H50" s="170">
        <f>SUM(H41:H49)</f>
        <v>31</v>
      </c>
      <c r="I50" s="123">
        <f>H50*100/E50</f>
        <v>2.271062271062271</v>
      </c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</row>
    <row r="51" spans="1:28" ht="24" customHeight="1" x14ac:dyDescent="0.55000000000000004">
      <c r="A51" s="124"/>
      <c r="B51" s="171" t="s">
        <v>133</v>
      </c>
      <c r="C51" s="126"/>
      <c r="D51" s="153"/>
      <c r="E51" s="109"/>
      <c r="F51" s="128"/>
      <c r="G51" s="128"/>
      <c r="H51" s="128"/>
      <c r="I51" s="109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</row>
    <row r="52" spans="1:28" ht="24" customHeight="1" x14ac:dyDescent="0.55000000000000004">
      <c r="A52" s="117">
        <v>39</v>
      </c>
      <c r="B52" s="118" t="s">
        <v>88</v>
      </c>
      <c r="C52" s="118" t="s">
        <v>134</v>
      </c>
      <c r="D52" s="146" t="s">
        <v>135</v>
      </c>
      <c r="E52" s="114">
        <v>30</v>
      </c>
      <c r="F52" s="115">
        <f>30-7-4-4</f>
        <v>15</v>
      </c>
      <c r="G52" s="115">
        <f>F52*70/100</f>
        <v>10.5</v>
      </c>
      <c r="H52" s="115"/>
      <c r="I52" s="142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</row>
    <row r="53" spans="1:28" ht="24" customHeight="1" x14ac:dyDescent="0.55000000000000004">
      <c r="A53" s="117">
        <v>40</v>
      </c>
      <c r="B53" s="118"/>
      <c r="C53" s="118" t="s">
        <v>136</v>
      </c>
      <c r="D53" s="146" t="s">
        <v>135</v>
      </c>
      <c r="E53" s="114">
        <v>56</v>
      </c>
      <c r="F53" s="115">
        <f>56-17-2-6</f>
        <v>31</v>
      </c>
      <c r="G53" s="115">
        <f>(F53*70/100)+1</f>
        <v>22.7</v>
      </c>
      <c r="H53" s="115">
        <v>2</v>
      </c>
      <c r="I53" s="142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</row>
    <row r="54" spans="1:28" ht="39.75" customHeight="1" x14ac:dyDescent="0.55000000000000004">
      <c r="A54" s="117">
        <v>41</v>
      </c>
      <c r="B54" s="118"/>
      <c r="C54" s="118" t="s">
        <v>137</v>
      </c>
      <c r="D54" s="146" t="s">
        <v>78</v>
      </c>
      <c r="E54" s="114">
        <v>25</v>
      </c>
      <c r="F54" s="115">
        <f>25-6-1-2</f>
        <v>16</v>
      </c>
      <c r="G54" s="115">
        <f t="shared" ref="G54:G61" si="4">F54*70/100</f>
        <v>11.2</v>
      </c>
      <c r="H54" s="115"/>
      <c r="I54" s="142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</row>
    <row r="55" spans="1:28" ht="24.75" customHeight="1" x14ac:dyDescent="0.55000000000000004">
      <c r="A55" s="117">
        <v>42</v>
      </c>
      <c r="B55" s="118"/>
      <c r="C55" s="118" t="s">
        <v>138</v>
      </c>
      <c r="D55" s="146" t="s">
        <v>85</v>
      </c>
      <c r="E55" s="114">
        <v>7</v>
      </c>
      <c r="F55" s="115">
        <f>7-6</f>
        <v>1</v>
      </c>
      <c r="G55" s="115">
        <f t="shared" si="4"/>
        <v>0.7</v>
      </c>
      <c r="H55" s="115"/>
      <c r="I55" s="142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</row>
    <row r="56" spans="1:28" ht="24.75" customHeight="1" x14ac:dyDescent="0.55000000000000004">
      <c r="A56" s="117">
        <v>43</v>
      </c>
      <c r="B56" s="118"/>
      <c r="C56" s="118" t="s">
        <v>139</v>
      </c>
      <c r="D56" s="146" t="s">
        <v>85</v>
      </c>
      <c r="E56" s="114">
        <v>24</v>
      </c>
      <c r="F56" s="115">
        <f>24-9</f>
        <v>15</v>
      </c>
      <c r="G56" s="115">
        <f t="shared" si="4"/>
        <v>10.5</v>
      </c>
      <c r="H56" s="115"/>
      <c r="I56" s="142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</row>
    <row r="57" spans="1:28" ht="24" customHeight="1" x14ac:dyDescent="0.55000000000000004">
      <c r="A57" s="117">
        <v>44</v>
      </c>
      <c r="B57" s="118" t="s">
        <v>140</v>
      </c>
      <c r="C57" s="118" t="s">
        <v>141</v>
      </c>
      <c r="D57" s="146" t="s">
        <v>135</v>
      </c>
      <c r="E57" s="114">
        <v>46</v>
      </c>
      <c r="F57" s="115">
        <f>46-9-2</f>
        <v>35</v>
      </c>
      <c r="G57" s="115">
        <f t="shared" si="4"/>
        <v>24.5</v>
      </c>
      <c r="H57" s="115"/>
      <c r="I57" s="142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</row>
    <row r="58" spans="1:28" ht="24" customHeight="1" x14ac:dyDescent="0.55000000000000004">
      <c r="A58" s="117">
        <v>45</v>
      </c>
      <c r="B58" s="118" t="s">
        <v>88</v>
      </c>
      <c r="C58" s="139" t="s">
        <v>142</v>
      </c>
      <c r="D58" s="146" t="s">
        <v>85</v>
      </c>
      <c r="E58" s="114">
        <v>64</v>
      </c>
      <c r="F58" s="115">
        <f>64-10-3-7</f>
        <v>44</v>
      </c>
      <c r="G58" s="115">
        <f t="shared" si="4"/>
        <v>30.8</v>
      </c>
      <c r="H58" s="115"/>
      <c r="I58" s="142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</row>
    <row r="59" spans="1:28" ht="24" customHeight="1" x14ac:dyDescent="0.55000000000000004">
      <c r="A59" s="117">
        <v>46</v>
      </c>
      <c r="B59" s="172"/>
      <c r="C59" s="155" t="s">
        <v>143</v>
      </c>
      <c r="D59" s="146" t="s">
        <v>85</v>
      </c>
      <c r="E59" s="131">
        <v>100</v>
      </c>
      <c r="F59" s="164">
        <f>100-44</f>
        <v>56</v>
      </c>
      <c r="G59" s="115">
        <f t="shared" si="4"/>
        <v>39.200000000000003</v>
      </c>
      <c r="H59" s="164"/>
      <c r="I59" s="134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</row>
    <row r="60" spans="1:28" ht="24" customHeight="1" x14ac:dyDescent="0.55000000000000004">
      <c r="A60" s="117">
        <v>47</v>
      </c>
      <c r="B60" s="112"/>
      <c r="C60" s="139" t="s">
        <v>144</v>
      </c>
      <c r="D60" s="146" t="s">
        <v>85</v>
      </c>
      <c r="E60" s="114">
        <v>47</v>
      </c>
      <c r="F60" s="115">
        <f>47-2</f>
        <v>45</v>
      </c>
      <c r="G60" s="115">
        <f>(F60*70/100)+1</f>
        <v>32.5</v>
      </c>
      <c r="H60" s="115"/>
      <c r="I60" s="142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</row>
    <row r="61" spans="1:28" ht="24" customHeight="1" x14ac:dyDescent="0.55000000000000004">
      <c r="A61" s="117">
        <v>48</v>
      </c>
      <c r="B61" s="172"/>
      <c r="C61" s="173" t="s">
        <v>145</v>
      </c>
      <c r="D61" s="146" t="s">
        <v>78</v>
      </c>
      <c r="E61" s="131">
        <v>29</v>
      </c>
      <c r="F61" s="164">
        <f>29-6-6</f>
        <v>17</v>
      </c>
      <c r="G61" s="115">
        <f t="shared" si="4"/>
        <v>11.9</v>
      </c>
      <c r="H61" s="164"/>
      <c r="I61" s="134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</row>
    <row r="62" spans="1:28" ht="24" customHeight="1" x14ac:dyDescent="0.55000000000000004">
      <c r="A62" s="117"/>
      <c r="B62" s="174" t="s">
        <v>108</v>
      </c>
      <c r="C62" s="174"/>
      <c r="D62" s="175"/>
      <c r="E62" s="176">
        <f>SUM(E52:E61)</f>
        <v>428</v>
      </c>
      <c r="F62" s="177">
        <f>SUM(F52:F61)</f>
        <v>275</v>
      </c>
      <c r="G62" s="177">
        <f>SUM(G52:G61)</f>
        <v>194.50000000000003</v>
      </c>
      <c r="H62" s="177">
        <f>SUM(H52:H61)</f>
        <v>2</v>
      </c>
      <c r="I62" s="123">
        <f>H62*100/E62</f>
        <v>0.46728971962616822</v>
      </c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</row>
    <row r="63" spans="1:28" ht="24" customHeight="1" x14ac:dyDescent="0.55000000000000004">
      <c r="A63" s="124"/>
      <c r="B63" s="125" t="s">
        <v>146</v>
      </c>
      <c r="C63" s="126"/>
      <c r="D63" s="162"/>
      <c r="E63" s="109"/>
      <c r="F63" s="128"/>
      <c r="G63" s="128"/>
      <c r="H63" s="128"/>
      <c r="I63" s="109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</row>
    <row r="64" spans="1:28" ht="24" customHeight="1" x14ac:dyDescent="0.55000000000000004">
      <c r="A64" s="117">
        <v>49</v>
      </c>
      <c r="B64" s="139" t="s">
        <v>147</v>
      </c>
      <c r="C64" s="178" t="s">
        <v>148</v>
      </c>
      <c r="D64" s="146" t="s">
        <v>85</v>
      </c>
      <c r="E64" s="131">
        <v>102</v>
      </c>
      <c r="F64" s="164">
        <f>E64-25-2-10</f>
        <v>65</v>
      </c>
      <c r="G64" s="164">
        <f>F64*70/100</f>
        <v>45.5</v>
      </c>
      <c r="H64" s="164"/>
      <c r="I64" s="134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</row>
    <row r="65" spans="1:28" ht="24" customHeight="1" x14ac:dyDescent="0.55000000000000004">
      <c r="A65" s="117">
        <v>50</v>
      </c>
      <c r="B65" s="172"/>
      <c r="C65" s="178" t="s">
        <v>149</v>
      </c>
      <c r="D65" s="146" t="s">
        <v>85</v>
      </c>
      <c r="E65" s="131">
        <f>75+58</f>
        <v>133</v>
      </c>
      <c r="F65" s="164">
        <f>133-28</f>
        <v>105</v>
      </c>
      <c r="G65" s="164">
        <f>(F65*70/100)+1</f>
        <v>74.5</v>
      </c>
      <c r="H65" s="164"/>
      <c r="I65" s="134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</row>
    <row r="66" spans="1:28" ht="24" customHeight="1" x14ac:dyDescent="0.55000000000000004">
      <c r="A66" s="117">
        <v>51</v>
      </c>
      <c r="B66" s="112"/>
      <c r="C66" s="112" t="s">
        <v>150</v>
      </c>
      <c r="D66" s="146" t="s">
        <v>78</v>
      </c>
      <c r="E66" s="114">
        <v>67</v>
      </c>
      <c r="F66" s="164">
        <f>67-3-3-11</f>
        <v>50</v>
      </c>
      <c r="G66" s="164">
        <f t="shared" ref="G66:G69" si="5">F66*70/100</f>
        <v>35</v>
      </c>
      <c r="H66" s="115"/>
      <c r="I66" s="142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</row>
    <row r="67" spans="1:28" ht="24" customHeight="1" x14ac:dyDescent="0.55000000000000004">
      <c r="A67" s="117">
        <v>52</v>
      </c>
      <c r="B67" s="112"/>
      <c r="C67" s="112" t="s">
        <v>151</v>
      </c>
      <c r="D67" s="146" t="s">
        <v>78</v>
      </c>
      <c r="E67" s="114">
        <v>52</v>
      </c>
      <c r="F67" s="164">
        <f>52-10-4</f>
        <v>38</v>
      </c>
      <c r="G67" s="164">
        <f t="shared" si="5"/>
        <v>26.6</v>
      </c>
      <c r="H67" s="115"/>
      <c r="I67" s="142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</row>
    <row r="68" spans="1:28" ht="24" customHeight="1" x14ac:dyDescent="0.55000000000000004">
      <c r="A68" s="117">
        <v>53</v>
      </c>
      <c r="B68" s="112"/>
      <c r="C68" s="139" t="s">
        <v>152</v>
      </c>
      <c r="D68" s="146" t="s">
        <v>78</v>
      </c>
      <c r="E68" s="114">
        <v>25</v>
      </c>
      <c r="F68" s="164">
        <f>25-6-4</f>
        <v>15</v>
      </c>
      <c r="G68" s="164">
        <f t="shared" si="5"/>
        <v>10.5</v>
      </c>
      <c r="H68" s="115"/>
      <c r="I68" s="142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</row>
    <row r="69" spans="1:28" ht="24" customHeight="1" x14ac:dyDescent="0.55000000000000004">
      <c r="A69" s="117">
        <v>54</v>
      </c>
      <c r="B69" s="112"/>
      <c r="C69" s="112" t="s">
        <v>153</v>
      </c>
      <c r="D69" s="146" t="s">
        <v>78</v>
      </c>
      <c r="E69" s="114">
        <v>41</v>
      </c>
      <c r="F69" s="164">
        <f>41-9-5-1</f>
        <v>26</v>
      </c>
      <c r="G69" s="164">
        <f t="shared" si="5"/>
        <v>18.2</v>
      </c>
      <c r="H69" s="115"/>
      <c r="I69" s="142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</row>
    <row r="70" spans="1:28" ht="24" customHeight="1" x14ac:dyDescent="0.55000000000000004">
      <c r="A70" s="117"/>
      <c r="B70" s="179" t="s">
        <v>108</v>
      </c>
      <c r="C70" s="179"/>
      <c r="D70" s="180"/>
      <c r="E70" s="181">
        <f>SUM(E64,E65,E66:E69)</f>
        <v>420</v>
      </c>
      <c r="F70" s="182">
        <f>SUM(F64,F65,F66:F69)</f>
        <v>299</v>
      </c>
      <c r="G70" s="182">
        <f>SUM(G64:G69)</f>
        <v>210.29999999999998</v>
      </c>
      <c r="H70" s="182">
        <f>SUM(H64:H69)</f>
        <v>0</v>
      </c>
      <c r="I70" s="183">
        <f>H70*100/E70</f>
        <v>0</v>
      </c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</row>
    <row r="71" spans="1:28" ht="24" customHeight="1" x14ac:dyDescent="0.55000000000000004">
      <c r="A71" s="124"/>
      <c r="B71" s="171" t="s">
        <v>154</v>
      </c>
      <c r="C71" s="126"/>
      <c r="D71" s="153"/>
      <c r="E71" s="109"/>
      <c r="F71" s="128"/>
      <c r="G71" s="128"/>
      <c r="H71" s="128"/>
      <c r="I71" s="109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</row>
    <row r="72" spans="1:28" ht="24" customHeight="1" x14ac:dyDescent="0.55000000000000004">
      <c r="A72" s="117">
        <v>55</v>
      </c>
      <c r="B72" s="112" t="s">
        <v>155</v>
      </c>
      <c r="C72" s="112" t="s">
        <v>156</v>
      </c>
      <c r="D72" s="146" t="s">
        <v>78</v>
      </c>
      <c r="E72" s="114">
        <v>34</v>
      </c>
      <c r="F72" s="115">
        <f>34-14-2-1</f>
        <v>17</v>
      </c>
      <c r="G72" s="115">
        <f>F72*70/100</f>
        <v>11.9</v>
      </c>
      <c r="H72" s="141">
        <f>5+14</f>
        <v>19</v>
      </c>
      <c r="I72" s="142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</row>
    <row r="73" spans="1:28" ht="24" customHeight="1" x14ac:dyDescent="0.55000000000000004">
      <c r="A73" s="117">
        <v>56</v>
      </c>
      <c r="B73" s="112"/>
      <c r="C73" s="184" t="s">
        <v>157</v>
      </c>
      <c r="D73" s="146" t="s">
        <v>78</v>
      </c>
      <c r="E73" s="114">
        <v>32</v>
      </c>
      <c r="F73" s="115">
        <f>E73-13-10-1-2</f>
        <v>6</v>
      </c>
      <c r="G73" s="115">
        <f t="shared" ref="G73" si="6">F73*70/100</f>
        <v>4.2</v>
      </c>
      <c r="H73" s="141">
        <f>4+13</f>
        <v>17</v>
      </c>
      <c r="I73" s="142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</row>
    <row r="74" spans="1:28" ht="24" customHeight="1" x14ac:dyDescent="0.55000000000000004">
      <c r="A74" s="117">
        <v>57</v>
      </c>
      <c r="B74" s="112" t="s">
        <v>88</v>
      </c>
      <c r="C74" s="139" t="s">
        <v>158</v>
      </c>
      <c r="D74" s="146" t="s">
        <v>78</v>
      </c>
      <c r="E74" s="114">
        <v>74</v>
      </c>
      <c r="F74" s="115">
        <f>74-12-18-4-3</f>
        <v>37</v>
      </c>
      <c r="G74" s="115">
        <f>(F74*70/100)+1</f>
        <v>26.9</v>
      </c>
      <c r="H74" s="141">
        <f>7+12</f>
        <v>19</v>
      </c>
      <c r="I74" s="142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</row>
    <row r="75" spans="1:28" ht="37.5" customHeight="1" x14ac:dyDescent="0.55000000000000004">
      <c r="A75" s="117">
        <v>58</v>
      </c>
      <c r="B75" s="112" t="s">
        <v>155</v>
      </c>
      <c r="C75" s="139" t="s">
        <v>159</v>
      </c>
      <c r="D75" s="112" t="s">
        <v>160</v>
      </c>
      <c r="E75" s="114">
        <v>36</v>
      </c>
      <c r="F75" s="115">
        <f>36-1</f>
        <v>35</v>
      </c>
      <c r="G75" s="115">
        <f>(F75*70/100)+1</f>
        <v>25.5</v>
      </c>
      <c r="H75" s="141">
        <v>23</v>
      </c>
      <c r="I75" s="142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</row>
    <row r="76" spans="1:28" ht="24" customHeight="1" x14ac:dyDescent="0.55000000000000004">
      <c r="A76" s="117">
        <v>59</v>
      </c>
      <c r="B76" s="112" t="s">
        <v>155</v>
      </c>
      <c r="C76" s="139" t="s">
        <v>161</v>
      </c>
      <c r="D76" s="112" t="s">
        <v>90</v>
      </c>
      <c r="E76" s="114">
        <v>101</v>
      </c>
      <c r="F76" s="115">
        <f>101-14-6-10</f>
        <v>71</v>
      </c>
      <c r="G76" s="115">
        <f>(F76*70/100)+3+2</f>
        <v>54.7</v>
      </c>
      <c r="H76" s="141"/>
      <c r="I76" s="142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</row>
    <row r="77" spans="1:28" ht="24" customHeight="1" x14ac:dyDescent="0.55000000000000004">
      <c r="A77" s="117"/>
      <c r="B77" s="167" t="s">
        <v>108</v>
      </c>
      <c r="C77" s="167"/>
      <c r="D77" s="168"/>
      <c r="E77" s="169">
        <f>SUM(E72:E76)</f>
        <v>277</v>
      </c>
      <c r="F77" s="170">
        <f>SUM(F72:F76)</f>
        <v>166</v>
      </c>
      <c r="G77" s="170">
        <f>SUM(G72:G76)</f>
        <v>123.2</v>
      </c>
      <c r="H77" s="170">
        <f>SUM(H72:H76)</f>
        <v>78</v>
      </c>
      <c r="I77" s="123">
        <f>H77*100/E77</f>
        <v>28.158844765342959</v>
      </c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</row>
    <row r="78" spans="1:28" ht="24" customHeight="1" x14ac:dyDescent="0.55000000000000004">
      <c r="A78" s="124"/>
      <c r="B78" s="125" t="s">
        <v>162</v>
      </c>
      <c r="C78" s="126"/>
      <c r="D78" s="153"/>
      <c r="E78" s="109"/>
      <c r="F78" s="128"/>
      <c r="G78" s="128"/>
      <c r="H78" s="128"/>
      <c r="I78" s="109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</row>
    <row r="79" spans="1:28" ht="24" customHeight="1" x14ac:dyDescent="0.55000000000000004">
      <c r="A79" s="117">
        <v>60</v>
      </c>
      <c r="B79" s="118" t="s">
        <v>163</v>
      </c>
      <c r="C79" s="112" t="s">
        <v>164</v>
      </c>
      <c r="D79" s="113" t="s">
        <v>165</v>
      </c>
      <c r="E79" s="114">
        <v>130</v>
      </c>
      <c r="F79" s="115">
        <f>130-5-5</f>
        <v>120</v>
      </c>
      <c r="G79" s="115">
        <f>(F79*70/100)+1</f>
        <v>85</v>
      </c>
      <c r="H79" s="115"/>
      <c r="I79" s="142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</row>
    <row r="80" spans="1:28" ht="24" customHeight="1" x14ac:dyDescent="0.55000000000000004">
      <c r="A80" s="117"/>
      <c r="B80" s="185" t="s">
        <v>108</v>
      </c>
      <c r="C80" s="185"/>
      <c r="D80" s="186"/>
      <c r="E80" s="187">
        <f t="shared" ref="E80:F80" si="7">E79</f>
        <v>130</v>
      </c>
      <c r="F80" s="188">
        <f t="shared" si="7"/>
        <v>120</v>
      </c>
      <c r="G80" s="188">
        <f>SUM(G79)</f>
        <v>85</v>
      </c>
      <c r="H80" s="188">
        <f>SUM(H79)</f>
        <v>0</v>
      </c>
      <c r="I80" s="123">
        <f>H80*100/E80</f>
        <v>0</v>
      </c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</row>
    <row r="81" spans="1:28" ht="24" customHeight="1" x14ac:dyDescent="0.55000000000000004">
      <c r="A81" s="124"/>
      <c r="B81" s="125" t="s">
        <v>166</v>
      </c>
      <c r="C81" s="126"/>
      <c r="D81" s="153"/>
      <c r="E81" s="109"/>
      <c r="F81" s="128"/>
      <c r="G81" s="128"/>
      <c r="H81" s="128"/>
      <c r="I81" s="109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</row>
    <row r="82" spans="1:28" ht="24" customHeight="1" x14ac:dyDescent="0.55000000000000004">
      <c r="A82" s="117">
        <v>61</v>
      </c>
      <c r="B82" s="118" t="s">
        <v>167</v>
      </c>
      <c r="C82" s="139" t="s">
        <v>168</v>
      </c>
      <c r="D82" s="146" t="s">
        <v>78</v>
      </c>
      <c r="E82" s="114">
        <v>83</v>
      </c>
      <c r="F82" s="115">
        <f>83-11-8-3</f>
        <v>61</v>
      </c>
      <c r="G82" s="115">
        <f>(F82*70/100)-1</f>
        <v>41.7</v>
      </c>
      <c r="H82" s="115"/>
      <c r="I82" s="142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</row>
    <row r="83" spans="1:28" ht="24" customHeight="1" x14ac:dyDescent="0.55000000000000004">
      <c r="A83" s="117">
        <v>62</v>
      </c>
      <c r="B83" s="112" t="s">
        <v>88</v>
      </c>
      <c r="C83" s="139" t="s">
        <v>169</v>
      </c>
      <c r="D83" s="112" t="s">
        <v>90</v>
      </c>
      <c r="E83" s="114">
        <f>12+8+18</f>
        <v>38</v>
      </c>
      <c r="F83" s="115">
        <f>E83-5</f>
        <v>33</v>
      </c>
      <c r="G83" s="115">
        <f t="shared" ref="G83:G85" si="8">F83*70/100</f>
        <v>23.1</v>
      </c>
      <c r="H83" s="115"/>
      <c r="I83" s="142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</row>
    <row r="84" spans="1:28" ht="24" customHeight="1" x14ac:dyDescent="0.55000000000000004">
      <c r="A84" s="117">
        <v>63</v>
      </c>
      <c r="B84" s="112" t="s">
        <v>88</v>
      </c>
      <c r="C84" s="112" t="s">
        <v>170</v>
      </c>
      <c r="D84" s="146" t="s">
        <v>106</v>
      </c>
      <c r="E84" s="117">
        <v>13</v>
      </c>
      <c r="F84" s="115">
        <f>E84-2</f>
        <v>11</v>
      </c>
      <c r="G84" s="115">
        <f t="shared" si="8"/>
        <v>7.7</v>
      </c>
      <c r="H84" s="115"/>
      <c r="I84" s="142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</row>
    <row r="85" spans="1:28" ht="24" customHeight="1" x14ac:dyDescent="0.55000000000000004">
      <c r="A85" s="117">
        <v>64</v>
      </c>
      <c r="B85" s="118" t="s">
        <v>171</v>
      </c>
      <c r="C85" s="139" t="s">
        <v>172</v>
      </c>
      <c r="D85" s="146" t="s">
        <v>78</v>
      </c>
      <c r="E85" s="114">
        <v>55</v>
      </c>
      <c r="F85" s="115">
        <f>55-1-8</f>
        <v>46</v>
      </c>
      <c r="G85" s="115">
        <f t="shared" si="8"/>
        <v>32.200000000000003</v>
      </c>
      <c r="H85" s="115"/>
      <c r="I85" s="142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</row>
    <row r="86" spans="1:28" ht="24" customHeight="1" x14ac:dyDescent="0.55000000000000004">
      <c r="A86" s="117"/>
      <c r="B86" s="189" t="s">
        <v>108</v>
      </c>
      <c r="C86" s="189"/>
      <c r="D86" s="190"/>
      <c r="E86" s="191">
        <f>SUM(E82:E85)</f>
        <v>189</v>
      </c>
      <c r="F86" s="191">
        <f>SUM(F82:F85)</f>
        <v>151</v>
      </c>
      <c r="G86" s="191">
        <f>SUM(G82:G85)</f>
        <v>104.70000000000002</v>
      </c>
      <c r="H86" s="191">
        <f>SUM(H82:H85)</f>
        <v>0</v>
      </c>
      <c r="I86" s="123">
        <f>H86*100/E86</f>
        <v>0</v>
      </c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</row>
    <row r="87" spans="1:28" ht="24" customHeight="1" x14ac:dyDescent="0.55000000000000004">
      <c r="A87" s="124"/>
      <c r="B87" s="125" t="s">
        <v>173</v>
      </c>
      <c r="C87" s="126"/>
      <c r="D87" s="153"/>
      <c r="E87" s="109"/>
      <c r="F87" s="128"/>
      <c r="G87" s="128"/>
      <c r="H87" s="128"/>
      <c r="I87" s="109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</row>
    <row r="88" spans="1:28" ht="24" customHeight="1" x14ac:dyDescent="0.55000000000000004">
      <c r="A88" s="117">
        <v>65</v>
      </c>
      <c r="B88" s="112" t="s">
        <v>155</v>
      </c>
      <c r="C88" s="184" t="s">
        <v>174</v>
      </c>
      <c r="D88" s="112" t="s">
        <v>90</v>
      </c>
      <c r="E88" s="114">
        <v>338</v>
      </c>
      <c r="F88" s="115">
        <f>E88-59</f>
        <v>279</v>
      </c>
      <c r="G88" s="115">
        <f>F88*70/100</f>
        <v>195.3</v>
      </c>
      <c r="H88" s="141">
        <f>21+31+179+21</f>
        <v>252</v>
      </c>
      <c r="I88" s="192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</row>
    <row r="89" spans="1:28" ht="24" customHeight="1" x14ac:dyDescent="0.55000000000000004">
      <c r="A89" s="117">
        <v>66</v>
      </c>
      <c r="B89" s="112"/>
      <c r="C89" s="184" t="s">
        <v>175</v>
      </c>
      <c r="D89" s="112" t="s">
        <v>90</v>
      </c>
      <c r="E89" s="114">
        <v>449</v>
      </c>
      <c r="F89" s="115">
        <f>E89-72</f>
        <v>377</v>
      </c>
      <c r="G89" s="115">
        <f>(F89*70/100)+1</f>
        <v>264.89999999999998</v>
      </c>
      <c r="H89" s="141">
        <f>192+11+32+104</f>
        <v>339</v>
      </c>
      <c r="I89" s="192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</row>
    <row r="90" spans="1:28" ht="24" customHeight="1" x14ac:dyDescent="0.55000000000000004">
      <c r="A90" s="117">
        <v>67</v>
      </c>
      <c r="B90" s="112"/>
      <c r="C90" s="184" t="s">
        <v>176</v>
      </c>
      <c r="D90" s="112" t="s">
        <v>90</v>
      </c>
      <c r="E90" s="114">
        <v>2</v>
      </c>
      <c r="F90" s="115">
        <f>E90-1-1</f>
        <v>0</v>
      </c>
      <c r="G90" s="115">
        <f>F90*70/100</f>
        <v>0</v>
      </c>
      <c r="H90" s="141"/>
      <c r="I90" s="192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</row>
    <row r="91" spans="1:28" ht="24" customHeight="1" x14ac:dyDescent="0.55000000000000004">
      <c r="A91" s="117"/>
      <c r="B91" s="193" t="s">
        <v>108</v>
      </c>
      <c r="C91" s="193"/>
      <c r="D91" s="194"/>
      <c r="E91" s="195">
        <f>SUM(E88:E90)</f>
        <v>789</v>
      </c>
      <c r="F91" s="196">
        <f>SUM(F88:F90)</f>
        <v>656</v>
      </c>
      <c r="G91" s="196">
        <f>SUM(G88:G90)</f>
        <v>460.2</v>
      </c>
      <c r="H91" s="196">
        <f>SUM(H88:H90)</f>
        <v>591</v>
      </c>
      <c r="I91" s="123">
        <f>H91*100/E91</f>
        <v>74.904942965779469</v>
      </c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</row>
    <row r="92" spans="1:28" ht="24" customHeight="1" x14ac:dyDescent="0.55000000000000004">
      <c r="A92" s="124"/>
      <c r="B92" s="125" t="s">
        <v>177</v>
      </c>
      <c r="C92" s="126"/>
      <c r="D92" s="153"/>
      <c r="E92" s="197"/>
      <c r="F92" s="198"/>
      <c r="G92" s="198"/>
      <c r="H92" s="198"/>
      <c r="I92" s="109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</row>
    <row r="93" spans="1:28" ht="24" customHeight="1" x14ac:dyDescent="0.55000000000000004">
      <c r="A93" s="199">
        <v>68</v>
      </c>
      <c r="B93" s="118" t="s">
        <v>178</v>
      </c>
      <c r="C93" s="118" t="s">
        <v>179</v>
      </c>
      <c r="D93" s="200" t="s">
        <v>180</v>
      </c>
      <c r="E93" s="201">
        <v>77</v>
      </c>
      <c r="F93" s="202">
        <f>E93-12-4-5</f>
        <v>56</v>
      </c>
      <c r="G93" s="144">
        <f>F93*70/100</f>
        <v>39.200000000000003</v>
      </c>
      <c r="H93" s="144"/>
      <c r="I93" s="142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</row>
    <row r="94" spans="1:28" ht="24" customHeight="1" x14ac:dyDescent="0.55000000000000004">
      <c r="A94" s="203"/>
      <c r="B94" s="204" t="s">
        <v>108</v>
      </c>
      <c r="C94" s="205"/>
      <c r="D94" s="206"/>
      <c r="E94" s="207">
        <f>SUM(E93)</f>
        <v>77</v>
      </c>
      <c r="F94" s="208">
        <f>SUM(F93)</f>
        <v>56</v>
      </c>
      <c r="G94" s="209">
        <f>F94*70/100</f>
        <v>39.200000000000003</v>
      </c>
      <c r="H94" s="210">
        <f>SUM(H93)</f>
        <v>0</v>
      </c>
      <c r="I94" s="123">
        <f>H94*100/E94</f>
        <v>0</v>
      </c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</row>
    <row r="95" spans="1:28" ht="24" customHeight="1" x14ac:dyDescent="0.55000000000000004">
      <c r="A95" s="124"/>
      <c r="B95" s="125" t="s">
        <v>181</v>
      </c>
      <c r="C95" s="126"/>
      <c r="D95" s="153"/>
      <c r="E95" s="109"/>
      <c r="F95" s="128"/>
      <c r="G95" s="128"/>
      <c r="H95" s="128"/>
      <c r="I95" s="109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</row>
    <row r="96" spans="1:28" ht="24" customHeight="1" x14ac:dyDescent="0.55000000000000004">
      <c r="A96" s="117">
        <v>69</v>
      </c>
      <c r="B96" s="112" t="s">
        <v>182</v>
      </c>
      <c r="C96" s="112" t="s">
        <v>183</v>
      </c>
      <c r="D96" s="112" t="s">
        <v>90</v>
      </c>
      <c r="E96" s="114">
        <v>150</v>
      </c>
      <c r="F96" s="115">
        <f>E96-19-8-27</f>
        <v>96</v>
      </c>
      <c r="G96" s="115">
        <f>F96*70/100</f>
        <v>67.2</v>
      </c>
      <c r="H96" s="115"/>
      <c r="I96" s="142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</row>
    <row r="97" spans="1:28" ht="24" customHeight="1" x14ac:dyDescent="0.55000000000000004">
      <c r="A97" s="117">
        <v>70</v>
      </c>
      <c r="B97" s="112" t="s">
        <v>184</v>
      </c>
      <c r="C97" s="155" t="s">
        <v>185</v>
      </c>
      <c r="D97" s="112" t="s">
        <v>90</v>
      </c>
      <c r="E97" s="131">
        <v>277</v>
      </c>
      <c r="F97" s="164">
        <f>E97-45</f>
        <v>232</v>
      </c>
      <c r="G97" s="115">
        <f t="shared" ref="G97:G99" si="9">F97*70/100</f>
        <v>162.4</v>
      </c>
      <c r="H97" s="211">
        <f>74+57+77</f>
        <v>208</v>
      </c>
      <c r="I97" s="142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</row>
    <row r="98" spans="1:28" ht="24" customHeight="1" x14ac:dyDescent="0.55000000000000004">
      <c r="A98" s="117">
        <v>71</v>
      </c>
      <c r="B98" s="172"/>
      <c r="C98" s="212" t="s">
        <v>186</v>
      </c>
      <c r="D98" s="200" t="s">
        <v>180</v>
      </c>
      <c r="E98" s="131">
        <v>101</v>
      </c>
      <c r="F98" s="164">
        <f>E98-20-5-6</f>
        <v>70</v>
      </c>
      <c r="G98" s="115">
        <f t="shared" si="9"/>
        <v>49</v>
      </c>
      <c r="H98" s="211"/>
      <c r="I98" s="142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</row>
    <row r="99" spans="1:28" ht="25.5" customHeight="1" x14ac:dyDescent="0.55000000000000004">
      <c r="A99" s="117">
        <v>72</v>
      </c>
      <c r="B99" s="112" t="s">
        <v>187</v>
      </c>
      <c r="C99" s="139" t="s">
        <v>188</v>
      </c>
      <c r="D99" s="112" t="s">
        <v>189</v>
      </c>
      <c r="E99" s="114">
        <v>266</v>
      </c>
      <c r="F99" s="115">
        <f>266-45</f>
        <v>221</v>
      </c>
      <c r="G99" s="115">
        <f t="shared" si="9"/>
        <v>154.69999999999999</v>
      </c>
      <c r="H99" s="141">
        <f>178+23</f>
        <v>201</v>
      </c>
      <c r="I99" s="142"/>
      <c r="J99" s="213" t="s">
        <v>190</v>
      </c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</row>
    <row r="100" spans="1:28" ht="24" customHeight="1" x14ac:dyDescent="0.55000000000000004">
      <c r="A100" s="117"/>
      <c r="B100" s="167" t="s">
        <v>108</v>
      </c>
      <c r="C100" s="167"/>
      <c r="D100" s="168"/>
      <c r="E100" s="214">
        <f>SUM(E96:E99)</f>
        <v>794</v>
      </c>
      <c r="F100" s="215">
        <f>SUM(F96:F99)</f>
        <v>619</v>
      </c>
      <c r="G100" s="215">
        <f>SUM(G96:G99)</f>
        <v>433.3</v>
      </c>
      <c r="H100" s="215">
        <f>SUM(H96:H99)</f>
        <v>409</v>
      </c>
      <c r="I100" s="123">
        <f>H100*100/E100</f>
        <v>51.511335012594458</v>
      </c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</row>
    <row r="101" spans="1:28" ht="24" customHeight="1" x14ac:dyDescent="0.55000000000000004">
      <c r="A101" s="124"/>
      <c r="B101" s="171" t="s">
        <v>191</v>
      </c>
      <c r="C101" s="126"/>
      <c r="D101" s="153"/>
      <c r="E101" s="109"/>
      <c r="F101" s="216"/>
      <c r="G101" s="216"/>
      <c r="H101" s="216"/>
      <c r="I101" s="217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</row>
    <row r="102" spans="1:28" ht="24" customHeight="1" x14ac:dyDescent="0.55000000000000004">
      <c r="A102" s="117">
        <v>73</v>
      </c>
      <c r="B102" s="112" t="s">
        <v>112</v>
      </c>
      <c r="C102" s="139" t="s">
        <v>192</v>
      </c>
      <c r="D102" s="112" t="s">
        <v>90</v>
      </c>
      <c r="E102" s="114">
        <v>178</v>
      </c>
      <c r="F102" s="115">
        <f>E102-10-8-4</f>
        <v>156</v>
      </c>
      <c r="G102" s="115">
        <f>(F102*70/100)+7</f>
        <v>116.2</v>
      </c>
      <c r="H102" s="141">
        <f>1</f>
        <v>1</v>
      </c>
      <c r="I102" s="142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</row>
    <row r="103" spans="1:28" ht="24" customHeight="1" x14ac:dyDescent="0.55000000000000004">
      <c r="A103" s="117">
        <v>74</v>
      </c>
      <c r="B103" s="112"/>
      <c r="C103" s="118" t="s">
        <v>193</v>
      </c>
      <c r="D103" s="112" t="s">
        <v>90</v>
      </c>
      <c r="E103" s="114">
        <v>289</v>
      </c>
      <c r="F103" s="115">
        <f>E103-36</f>
        <v>253</v>
      </c>
      <c r="G103" s="115">
        <f>(F103*70/100)+9</f>
        <v>186.1</v>
      </c>
      <c r="H103" s="141">
        <f>2</f>
        <v>2</v>
      </c>
      <c r="I103" s="142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</row>
    <row r="104" spans="1:28" ht="24" customHeight="1" x14ac:dyDescent="0.55000000000000004">
      <c r="A104" s="117">
        <v>75</v>
      </c>
      <c r="B104" s="112"/>
      <c r="C104" s="118" t="s">
        <v>194</v>
      </c>
      <c r="D104" s="146" t="s">
        <v>78</v>
      </c>
      <c r="E104" s="114">
        <v>175</v>
      </c>
      <c r="F104" s="115">
        <f>E104-44-4</f>
        <v>127</v>
      </c>
      <c r="G104" s="115">
        <f>(F104*70/100)+7</f>
        <v>95.9</v>
      </c>
      <c r="H104" s="141">
        <v>10</v>
      </c>
      <c r="I104" s="142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</row>
    <row r="105" spans="1:28" ht="24" customHeight="1" x14ac:dyDescent="0.55000000000000004">
      <c r="A105" s="117">
        <v>76</v>
      </c>
      <c r="B105" s="112"/>
      <c r="C105" s="118" t="s">
        <v>195</v>
      </c>
      <c r="D105" s="146" t="s">
        <v>78</v>
      </c>
      <c r="E105" s="114">
        <v>19</v>
      </c>
      <c r="F105" s="115">
        <f>E105-2</f>
        <v>17</v>
      </c>
      <c r="G105" s="115">
        <f t="shared" ref="G105:G107" si="10">F105*70/100</f>
        <v>11.9</v>
      </c>
      <c r="H105" s="141">
        <f>8</f>
        <v>8</v>
      </c>
      <c r="I105" s="142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</row>
    <row r="106" spans="1:28" ht="24" customHeight="1" x14ac:dyDescent="0.55000000000000004">
      <c r="A106" s="117">
        <v>77</v>
      </c>
      <c r="B106" s="112"/>
      <c r="C106" s="118" t="s">
        <v>196</v>
      </c>
      <c r="D106" s="146" t="s">
        <v>135</v>
      </c>
      <c r="E106" s="114">
        <v>25</v>
      </c>
      <c r="F106" s="115">
        <f>E106-13</f>
        <v>12</v>
      </c>
      <c r="G106" s="115">
        <f t="shared" si="10"/>
        <v>8.4</v>
      </c>
      <c r="H106" s="141">
        <f>1+2</f>
        <v>3</v>
      </c>
      <c r="I106" s="142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</row>
    <row r="107" spans="1:28" ht="24" customHeight="1" x14ac:dyDescent="0.55000000000000004">
      <c r="A107" s="117">
        <v>78</v>
      </c>
      <c r="B107" s="112"/>
      <c r="C107" s="118" t="s">
        <v>197</v>
      </c>
      <c r="D107" s="146" t="s">
        <v>85</v>
      </c>
      <c r="E107" s="114">
        <v>21</v>
      </c>
      <c r="F107" s="115">
        <f>E107-1-4-2-2</f>
        <v>12</v>
      </c>
      <c r="G107" s="115">
        <f t="shared" si="10"/>
        <v>8.4</v>
      </c>
      <c r="H107" s="141">
        <v>1</v>
      </c>
      <c r="I107" s="142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</row>
    <row r="108" spans="1:28" ht="24" customHeight="1" x14ac:dyDescent="0.55000000000000004">
      <c r="A108" s="117"/>
      <c r="B108" s="218" t="s">
        <v>108</v>
      </c>
      <c r="C108" s="218"/>
      <c r="D108" s="219"/>
      <c r="E108" s="220">
        <f>SUM(E102:E107)</f>
        <v>707</v>
      </c>
      <c r="F108" s="221">
        <f>SUM(F102:F107)</f>
        <v>577</v>
      </c>
      <c r="G108" s="221">
        <f>SUM(G102:G107)</f>
        <v>426.9</v>
      </c>
      <c r="H108" s="221">
        <f>SUM(H102:H107)</f>
        <v>25</v>
      </c>
      <c r="I108" s="222">
        <f>H108*100/E108</f>
        <v>3.536067892503536</v>
      </c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</row>
    <row r="109" spans="1:28" ht="24" customHeight="1" x14ac:dyDescent="0.55000000000000004">
      <c r="A109" s="124"/>
      <c r="B109" s="125" t="s">
        <v>198</v>
      </c>
      <c r="C109" s="126"/>
      <c r="D109" s="153"/>
      <c r="E109" s="109"/>
      <c r="F109" s="128"/>
      <c r="G109" s="128"/>
      <c r="H109" s="128"/>
      <c r="I109" s="109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</row>
    <row r="110" spans="1:28" ht="24" customHeight="1" x14ac:dyDescent="0.55000000000000004">
      <c r="A110" s="223">
        <v>79</v>
      </c>
      <c r="B110" s="112" t="s">
        <v>199</v>
      </c>
      <c r="C110" s="118" t="s">
        <v>65</v>
      </c>
      <c r="D110" s="146" t="s">
        <v>78</v>
      </c>
      <c r="E110" s="224">
        <v>754</v>
      </c>
      <c r="F110" s="225">
        <f>E110-71-32-56</f>
        <v>595</v>
      </c>
      <c r="G110" s="226">
        <f>(F110*70/100)+1</f>
        <v>417.5</v>
      </c>
      <c r="H110" s="227">
        <f>42+86+69+96+124</f>
        <v>417</v>
      </c>
      <c r="I110" s="224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</row>
    <row r="111" spans="1:28" ht="24" customHeight="1" x14ac:dyDescent="0.55000000000000004">
      <c r="A111" s="223">
        <v>80</v>
      </c>
      <c r="B111" s="112" t="s">
        <v>200</v>
      </c>
      <c r="C111" s="118" t="s">
        <v>201</v>
      </c>
      <c r="D111" s="118" t="s">
        <v>202</v>
      </c>
      <c r="E111" s="224">
        <v>31</v>
      </c>
      <c r="F111" s="225">
        <f>E111-9</f>
        <v>22</v>
      </c>
      <c r="G111" s="226">
        <f t="shared" ref="G111:G112" si="11">F111*70/100</f>
        <v>15.4</v>
      </c>
      <c r="H111" s="227"/>
      <c r="I111" s="224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</row>
    <row r="112" spans="1:28" ht="24" customHeight="1" x14ac:dyDescent="0.55000000000000004">
      <c r="A112" s="223">
        <v>81</v>
      </c>
      <c r="B112" s="112"/>
      <c r="C112" s="118" t="s">
        <v>203</v>
      </c>
      <c r="D112" s="118" t="s">
        <v>204</v>
      </c>
      <c r="E112" s="224">
        <v>16</v>
      </c>
      <c r="F112" s="225">
        <f>E112-6</f>
        <v>10</v>
      </c>
      <c r="G112" s="226">
        <f t="shared" si="11"/>
        <v>7</v>
      </c>
      <c r="H112" s="227">
        <f>1+3</f>
        <v>4</v>
      </c>
      <c r="I112" s="224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</row>
    <row r="113" spans="1:28" ht="24" customHeight="1" x14ac:dyDescent="0.55000000000000004">
      <c r="A113" s="117"/>
      <c r="B113" s="167" t="s">
        <v>108</v>
      </c>
      <c r="C113" s="167"/>
      <c r="D113" s="168"/>
      <c r="E113" s="169">
        <f>SUM(E110:E112)</f>
        <v>801</v>
      </c>
      <c r="F113" s="170">
        <f>SUM(F110:F112)</f>
        <v>627</v>
      </c>
      <c r="G113" s="228">
        <f>SUM(G110:G112)</f>
        <v>439.9</v>
      </c>
      <c r="H113" s="229">
        <f>SUM(H110:H112)</f>
        <v>421</v>
      </c>
      <c r="I113" s="230">
        <f>H113*100/E113</f>
        <v>52.559300873907617</v>
      </c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</row>
    <row r="114" spans="1:28" ht="24" customHeight="1" thickBot="1" x14ac:dyDescent="0.6">
      <c r="A114" s="231"/>
      <c r="B114" s="232" t="s">
        <v>205</v>
      </c>
      <c r="C114" s="233"/>
      <c r="D114" s="234"/>
      <c r="E114" s="235">
        <f>E13+E30+E39+E50+E62+E70+E77+E80+E86+E91+E94+E100+E108+E113</f>
        <v>7770</v>
      </c>
      <c r="F114" s="235">
        <f>F13+F30+F39+F50+F62+F70+F77+F80+F86+F91+F94+F100+F108+F113</f>
        <v>6046</v>
      </c>
      <c r="G114" s="235">
        <f>G13+G30+G39+G50+G62+G70+G77+G80+G86+G91+G94+G100+G108+G113</f>
        <v>4300.2</v>
      </c>
      <c r="H114" s="236">
        <f>SUM(H13,H30,H39,H50,H62,H70,H77,H80,H86,H91,H94,H100,H108,H113)</f>
        <v>2082</v>
      </c>
      <c r="I114" s="237">
        <f>H114*100/E114</f>
        <v>26.795366795366796</v>
      </c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</row>
    <row r="115" spans="1:28" ht="24" customHeight="1" thickTop="1" x14ac:dyDescent="0.55000000000000004">
      <c r="A115" s="238"/>
      <c r="E115" s="239"/>
      <c r="F115" s="239"/>
      <c r="G115" s="239"/>
      <c r="H115" s="239"/>
      <c r="I115" s="239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</row>
    <row r="116" spans="1:28" ht="24" customHeight="1" x14ac:dyDescent="0.55000000000000004">
      <c r="A116" s="238"/>
      <c r="B116" s="240" t="s">
        <v>206</v>
      </c>
      <c r="C116" s="240"/>
      <c r="D116" s="241"/>
      <c r="E116" s="239"/>
      <c r="F116" s="239"/>
      <c r="G116" s="239"/>
      <c r="H116" s="239"/>
      <c r="I116" s="239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</row>
    <row r="117" spans="1:28" ht="24" customHeight="1" x14ac:dyDescent="0.55000000000000004">
      <c r="A117" s="238"/>
      <c r="E117" s="239"/>
      <c r="F117" s="239"/>
      <c r="G117" s="239"/>
      <c r="H117" s="239"/>
      <c r="I117" s="239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</row>
    <row r="118" spans="1:28" ht="24" customHeight="1" x14ac:dyDescent="0.65">
      <c r="A118" s="238"/>
      <c r="B118" s="242"/>
      <c r="E118" s="239"/>
      <c r="F118" s="239"/>
      <c r="G118" s="239"/>
      <c r="H118" s="239"/>
      <c r="I118" s="239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</row>
    <row r="119" spans="1:28" ht="24" customHeight="1" x14ac:dyDescent="0.55000000000000004">
      <c r="A119" s="238"/>
      <c r="E119" s="239"/>
      <c r="F119" s="239"/>
      <c r="G119" s="239"/>
      <c r="H119" s="239"/>
      <c r="I119" s="239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</row>
    <row r="120" spans="1:28" ht="24" customHeight="1" x14ac:dyDescent="0.55000000000000004">
      <c r="A120" s="238"/>
      <c r="E120" s="239"/>
      <c r="F120" s="239"/>
      <c r="G120" s="239"/>
      <c r="H120" s="239"/>
      <c r="I120" s="239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</row>
    <row r="121" spans="1:28" ht="24" customHeight="1" x14ac:dyDescent="0.55000000000000004">
      <c r="A121" s="238"/>
      <c r="E121" s="239"/>
      <c r="F121" s="239"/>
      <c r="G121" s="239"/>
      <c r="H121" s="239"/>
      <c r="I121" s="239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</row>
    <row r="122" spans="1:28" ht="24" customHeight="1" x14ac:dyDescent="0.55000000000000004">
      <c r="A122" s="238"/>
      <c r="E122" s="239"/>
      <c r="F122" s="239"/>
      <c r="G122" s="239"/>
      <c r="H122" s="239"/>
      <c r="I122" s="239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</row>
    <row r="123" spans="1:28" ht="24" customHeight="1" x14ac:dyDescent="0.55000000000000004">
      <c r="A123" s="238"/>
      <c r="E123" s="239"/>
      <c r="F123" s="239"/>
      <c r="G123" s="239"/>
      <c r="H123" s="239"/>
      <c r="I123" s="239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</row>
    <row r="124" spans="1:28" ht="24" customHeight="1" x14ac:dyDescent="0.55000000000000004">
      <c r="A124" s="238"/>
      <c r="E124" s="239"/>
      <c r="F124" s="239"/>
      <c r="G124" s="239"/>
      <c r="H124" s="239"/>
      <c r="I124" s="239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</row>
    <row r="125" spans="1:28" ht="24" customHeight="1" x14ac:dyDescent="0.55000000000000004">
      <c r="A125" s="238"/>
      <c r="E125" s="239"/>
      <c r="F125" s="239"/>
      <c r="G125" s="239"/>
      <c r="H125" s="239"/>
      <c r="I125" s="239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</row>
    <row r="126" spans="1:28" ht="24" customHeight="1" x14ac:dyDescent="0.55000000000000004">
      <c r="A126" s="238"/>
      <c r="E126" s="239"/>
      <c r="F126" s="239"/>
      <c r="G126" s="239"/>
      <c r="H126" s="239"/>
      <c r="I126" s="239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</row>
    <row r="127" spans="1:28" ht="24" customHeight="1" x14ac:dyDescent="0.55000000000000004">
      <c r="A127" s="238"/>
      <c r="E127" s="239"/>
      <c r="F127" s="239"/>
      <c r="G127" s="239"/>
      <c r="H127" s="239"/>
      <c r="I127" s="239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</row>
    <row r="128" spans="1:28" ht="24" customHeight="1" x14ac:dyDescent="0.55000000000000004">
      <c r="A128" s="238"/>
      <c r="E128" s="239"/>
      <c r="F128" s="239"/>
      <c r="G128" s="239"/>
      <c r="H128" s="239"/>
      <c r="I128" s="239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</row>
    <row r="129" spans="1:28" ht="24" customHeight="1" x14ac:dyDescent="0.55000000000000004">
      <c r="A129" s="238"/>
      <c r="E129" s="239"/>
      <c r="F129" s="239"/>
      <c r="G129" s="239"/>
      <c r="H129" s="239"/>
      <c r="I129" s="239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</row>
    <row r="130" spans="1:28" ht="24" customHeight="1" x14ac:dyDescent="0.55000000000000004">
      <c r="A130" s="238"/>
      <c r="E130" s="239"/>
      <c r="F130" s="239"/>
      <c r="G130" s="239"/>
      <c r="H130" s="239"/>
      <c r="I130" s="239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</row>
    <row r="131" spans="1:28" ht="24" customHeight="1" x14ac:dyDescent="0.55000000000000004">
      <c r="A131" s="238"/>
      <c r="E131" s="239"/>
      <c r="F131" s="239"/>
      <c r="G131" s="239"/>
      <c r="H131" s="239"/>
      <c r="I131" s="239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</row>
    <row r="132" spans="1:28" ht="24" customHeight="1" x14ac:dyDescent="0.55000000000000004">
      <c r="A132" s="238"/>
      <c r="E132" s="239"/>
      <c r="F132" s="239"/>
      <c r="G132" s="239"/>
      <c r="H132" s="239"/>
      <c r="I132" s="239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</row>
    <row r="133" spans="1:28" ht="24" customHeight="1" x14ac:dyDescent="0.55000000000000004">
      <c r="A133" s="238"/>
      <c r="E133" s="239"/>
      <c r="F133" s="239"/>
      <c r="G133" s="239"/>
      <c r="H133" s="239"/>
      <c r="I133" s="239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</row>
    <row r="134" spans="1:28" ht="24" customHeight="1" x14ac:dyDescent="0.55000000000000004">
      <c r="A134" s="238"/>
      <c r="E134" s="239"/>
      <c r="F134" s="239"/>
      <c r="G134" s="239"/>
      <c r="H134" s="239"/>
      <c r="I134" s="239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</row>
    <row r="135" spans="1:28" ht="24" customHeight="1" x14ac:dyDescent="0.55000000000000004">
      <c r="A135" s="238"/>
      <c r="E135" s="239"/>
      <c r="F135" s="239"/>
      <c r="G135" s="239"/>
      <c r="H135" s="239"/>
      <c r="I135" s="239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</row>
    <row r="136" spans="1:28" ht="24" customHeight="1" x14ac:dyDescent="0.55000000000000004">
      <c r="A136" s="238"/>
      <c r="E136" s="239"/>
      <c r="F136" s="239"/>
      <c r="G136" s="239"/>
      <c r="H136" s="239"/>
      <c r="I136" s="239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</row>
    <row r="137" spans="1:28" ht="24" customHeight="1" x14ac:dyDescent="0.55000000000000004">
      <c r="A137" s="238"/>
      <c r="E137" s="239"/>
      <c r="F137" s="239"/>
      <c r="G137" s="239"/>
      <c r="H137" s="239"/>
      <c r="I137" s="239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</row>
    <row r="138" spans="1:28" ht="24" customHeight="1" x14ac:dyDescent="0.55000000000000004">
      <c r="A138" s="238"/>
      <c r="E138" s="239"/>
      <c r="F138" s="239"/>
      <c r="G138" s="239"/>
      <c r="H138" s="239"/>
      <c r="I138" s="239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</row>
    <row r="139" spans="1:28" ht="24" customHeight="1" x14ac:dyDescent="0.55000000000000004">
      <c r="A139" s="238"/>
      <c r="E139" s="239"/>
      <c r="F139" s="239"/>
      <c r="G139" s="239"/>
      <c r="H139" s="239"/>
      <c r="I139" s="239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</row>
    <row r="140" spans="1:28" ht="24" customHeight="1" x14ac:dyDescent="0.55000000000000004">
      <c r="A140" s="238"/>
      <c r="E140" s="239"/>
      <c r="F140" s="239"/>
      <c r="G140" s="239"/>
      <c r="H140" s="239"/>
      <c r="I140" s="239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</row>
    <row r="141" spans="1:28" ht="24" customHeight="1" x14ac:dyDescent="0.55000000000000004">
      <c r="A141" s="238"/>
      <c r="E141" s="239"/>
      <c r="F141" s="239"/>
      <c r="G141" s="239"/>
      <c r="H141" s="239"/>
      <c r="I141" s="239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</row>
    <row r="142" spans="1:28" ht="24" customHeight="1" x14ac:dyDescent="0.55000000000000004">
      <c r="A142" s="238"/>
      <c r="E142" s="239"/>
      <c r="F142" s="239"/>
      <c r="G142" s="239"/>
      <c r="H142" s="239"/>
      <c r="I142" s="239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</row>
    <row r="143" spans="1:28" ht="24" customHeight="1" x14ac:dyDescent="0.55000000000000004">
      <c r="A143" s="238"/>
      <c r="E143" s="239"/>
      <c r="F143" s="239"/>
      <c r="G143" s="239"/>
      <c r="H143" s="239"/>
      <c r="I143" s="239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</row>
    <row r="144" spans="1:28" ht="24" customHeight="1" x14ac:dyDescent="0.55000000000000004">
      <c r="A144" s="238"/>
      <c r="E144" s="239"/>
      <c r="F144" s="239"/>
      <c r="G144" s="239"/>
      <c r="H144" s="239"/>
      <c r="I144" s="239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</row>
    <row r="145" spans="1:28" ht="24" customHeight="1" x14ac:dyDescent="0.55000000000000004">
      <c r="A145" s="238"/>
      <c r="E145" s="239"/>
      <c r="F145" s="239"/>
      <c r="G145" s="239"/>
      <c r="H145" s="239"/>
      <c r="I145" s="239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</row>
    <row r="146" spans="1:28" ht="24" customHeight="1" x14ac:dyDescent="0.55000000000000004">
      <c r="A146" s="238"/>
      <c r="E146" s="239"/>
      <c r="F146" s="239"/>
      <c r="G146" s="239"/>
      <c r="H146" s="239"/>
      <c r="I146" s="239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</row>
    <row r="147" spans="1:28" ht="24" customHeight="1" x14ac:dyDescent="0.55000000000000004">
      <c r="A147" s="238"/>
      <c r="E147" s="239"/>
      <c r="F147" s="239"/>
      <c r="G147" s="239"/>
      <c r="H147" s="239"/>
      <c r="I147" s="239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</row>
    <row r="148" spans="1:28" ht="24" customHeight="1" x14ac:dyDescent="0.55000000000000004">
      <c r="A148" s="238"/>
      <c r="E148" s="239"/>
      <c r="F148" s="239"/>
      <c r="G148" s="239"/>
      <c r="H148" s="239"/>
      <c r="I148" s="239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</row>
    <row r="149" spans="1:28" ht="24" customHeight="1" x14ac:dyDescent="0.55000000000000004">
      <c r="A149" s="238"/>
      <c r="E149" s="239"/>
      <c r="F149" s="239"/>
      <c r="G149" s="239"/>
      <c r="H149" s="239"/>
      <c r="I149" s="239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</row>
    <row r="150" spans="1:28" ht="24" customHeight="1" x14ac:dyDescent="0.55000000000000004">
      <c r="A150" s="238"/>
      <c r="E150" s="239"/>
      <c r="F150" s="239"/>
      <c r="G150" s="239"/>
      <c r="H150" s="239"/>
      <c r="I150" s="239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</row>
    <row r="151" spans="1:28" ht="24" customHeight="1" x14ac:dyDescent="0.55000000000000004">
      <c r="A151" s="238"/>
      <c r="E151" s="239"/>
      <c r="F151" s="239"/>
      <c r="G151" s="239"/>
      <c r="H151" s="239"/>
      <c r="I151" s="239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</row>
    <row r="152" spans="1:28" ht="24" customHeight="1" x14ac:dyDescent="0.55000000000000004">
      <c r="A152" s="238"/>
      <c r="E152" s="239"/>
      <c r="F152" s="239"/>
      <c r="G152" s="239"/>
      <c r="H152" s="239"/>
      <c r="I152" s="239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</row>
    <row r="153" spans="1:28" ht="24" customHeight="1" x14ac:dyDescent="0.55000000000000004">
      <c r="A153" s="238"/>
      <c r="E153" s="239"/>
      <c r="F153" s="239"/>
      <c r="G153" s="239"/>
      <c r="H153" s="239"/>
      <c r="I153" s="239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</row>
    <row r="154" spans="1:28" ht="24" customHeight="1" x14ac:dyDescent="0.55000000000000004">
      <c r="A154" s="238"/>
      <c r="E154" s="239"/>
      <c r="F154" s="239"/>
      <c r="G154" s="239"/>
      <c r="H154" s="239"/>
      <c r="I154" s="239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</row>
    <row r="155" spans="1:28" ht="24" customHeight="1" x14ac:dyDescent="0.55000000000000004">
      <c r="A155" s="238"/>
      <c r="E155" s="239"/>
      <c r="F155" s="239"/>
      <c r="G155" s="239"/>
      <c r="H155" s="239"/>
      <c r="I155" s="239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</row>
    <row r="156" spans="1:28" ht="24" customHeight="1" x14ac:dyDescent="0.55000000000000004">
      <c r="A156" s="238"/>
      <c r="E156" s="239"/>
      <c r="F156" s="239"/>
      <c r="G156" s="239"/>
      <c r="H156" s="239"/>
      <c r="I156" s="239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</row>
    <row r="157" spans="1:28" ht="24" customHeight="1" x14ac:dyDescent="0.55000000000000004">
      <c r="A157" s="238"/>
      <c r="E157" s="239"/>
      <c r="F157" s="239"/>
      <c r="G157" s="239"/>
      <c r="H157" s="239"/>
      <c r="I157" s="239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</row>
    <row r="158" spans="1:28" ht="24" customHeight="1" x14ac:dyDescent="0.55000000000000004">
      <c r="A158" s="238"/>
      <c r="E158" s="239"/>
      <c r="F158" s="239"/>
      <c r="G158" s="239"/>
      <c r="H158" s="239"/>
      <c r="I158" s="239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</row>
    <row r="159" spans="1:28" ht="24" customHeight="1" x14ac:dyDescent="0.55000000000000004">
      <c r="A159" s="238"/>
      <c r="E159" s="239"/>
      <c r="F159" s="239"/>
      <c r="G159" s="239"/>
      <c r="H159" s="239"/>
      <c r="I159" s="239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</row>
    <row r="160" spans="1:28" ht="24" customHeight="1" x14ac:dyDescent="0.55000000000000004">
      <c r="A160" s="238"/>
      <c r="E160" s="239"/>
      <c r="F160" s="239"/>
      <c r="G160" s="239"/>
      <c r="H160" s="239"/>
      <c r="I160" s="239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</row>
    <row r="161" spans="1:28" ht="24" customHeight="1" x14ac:dyDescent="0.55000000000000004">
      <c r="A161" s="238"/>
      <c r="E161" s="239"/>
      <c r="F161" s="239"/>
      <c r="G161" s="239"/>
      <c r="H161" s="239"/>
      <c r="I161" s="239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</row>
    <row r="162" spans="1:28" ht="24" customHeight="1" x14ac:dyDescent="0.55000000000000004">
      <c r="A162" s="238"/>
      <c r="E162" s="239"/>
      <c r="F162" s="239"/>
      <c r="G162" s="239"/>
      <c r="H162" s="239"/>
      <c r="I162" s="239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</row>
    <row r="163" spans="1:28" ht="24" customHeight="1" x14ac:dyDescent="0.55000000000000004">
      <c r="A163" s="238"/>
      <c r="E163" s="239"/>
      <c r="F163" s="239"/>
      <c r="G163" s="239"/>
      <c r="H163" s="239"/>
      <c r="I163" s="239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</row>
    <row r="164" spans="1:28" ht="24" customHeight="1" x14ac:dyDescent="0.55000000000000004">
      <c r="A164" s="238"/>
      <c r="E164" s="239"/>
      <c r="F164" s="239"/>
      <c r="G164" s="239"/>
      <c r="H164" s="239"/>
      <c r="I164" s="239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</row>
    <row r="165" spans="1:28" ht="24" customHeight="1" x14ac:dyDescent="0.55000000000000004">
      <c r="A165" s="238"/>
      <c r="E165" s="239"/>
      <c r="F165" s="239"/>
      <c r="G165" s="239"/>
      <c r="H165" s="239"/>
      <c r="I165" s="239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</row>
    <row r="166" spans="1:28" ht="24" customHeight="1" x14ac:dyDescent="0.55000000000000004">
      <c r="A166" s="238"/>
      <c r="E166" s="239"/>
      <c r="F166" s="239"/>
      <c r="G166" s="239"/>
      <c r="H166" s="239"/>
      <c r="I166" s="239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</row>
    <row r="167" spans="1:28" ht="24" customHeight="1" x14ac:dyDescent="0.55000000000000004">
      <c r="A167" s="238"/>
      <c r="E167" s="239"/>
      <c r="F167" s="239"/>
      <c r="G167" s="239"/>
      <c r="H167" s="239"/>
      <c r="I167" s="239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</row>
    <row r="168" spans="1:28" ht="24" customHeight="1" x14ac:dyDescent="0.55000000000000004">
      <c r="A168" s="238"/>
      <c r="E168" s="239"/>
      <c r="F168" s="239"/>
      <c r="G168" s="239"/>
      <c r="H168" s="239"/>
      <c r="I168" s="239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</row>
    <row r="169" spans="1:28" ht="24" customHeight="1" x14ac:dyDescent="0.55000000000000004">
      <c r="A169" s="238"/>
      <c r="E169" s="239"/>
      <c r="F169" s="239"/>
      <c r="G169" s="239"/>
      <c r="H169" s="239"/>
      <c r="I169" s="239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</row>
    <row r="170" spans="1:28" ht="24" customHeight="1" x14ac:dyDescent="0.55000000000000004">
      <c r="A170" s="238"/>
      <c r="E170" s="239"/>
      <c r="F170" s="239"/>
      <c r="G170" s="239"/>
      <c r="H170" s="239"/>
      <c r="I170" s="239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</row>
    <row r="171" spans="1:28" ht="24" customHeight="1" x14ac:dyDescent="0.55000000000000004">
      <c r="A171" s="238"/>
      <c r="E171" s="239"/>
      <c r="F171" s="239"/>
      <c r="G171" s="239"/>
      <c r="H171" s="239"/>
      <c r="I171" s="239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</row>
    <row r="172" spans="1:28" ht="24" customHeight="1" x14ac:dyDescent="0.55000000000000004">
      <c r="A172" s="238"/>
      <c r="E172" s="239"/>
      <c r="F172" s="239"/>
      <c r="G172" s="239"/>
      <c r="H172" s="239"/>
      <c r="I172" s="239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</row>
    <row r="173" spans="1:28" ht="24" customHeight="1" x14ac:dyDescent="0.55000000000000004">
      <c r="A173" s="238"/>
      <c r="E173" s="239"/>
      <c r="F173" s="239"/>
      <c r="G173" s="239"/>
      <c r="H173" s="239"/>
      <c r="I173" s="239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</row>
    <row r="174" spans="1:28" ht="24" customHeight="1" x14ac:dyDescent="0.55000000000000004">
      <c r="A174" s="238"/>
      <c r="E174" s="239"/>
      <c r="F174" s="239"/>
      <c r="G174" s="239"/>
      <c r="H174" s="239"/>
      <c r="I174" s="239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</row>
    <row r="175" spans="1:28" ht="24" customHeight="1" x14ac:dyDescent="0.55000000000000004">
      <c r="A175" s="238"/>
      <c r="E175" s="239"/>
      <c r="F175" s="239"/>
      <c r="G175" s="239"/>
      <c r="H175" s="239"/>
      <c r="I175" s="239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</row>
    <row r="176" spans="1:28" ht="24" customHeight="1" x14ac:dyDescent="0.55000000000000004">
      <c r="A176" s="238"/>
      <c r="E176" s="239"/>
      <c r="F176" s="239"/>
      <c r="G176" s="239"/>
      <c r="H176" s="239"/>
      <c r="I176" s="239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</row>
    <row r="177" spans="1:28" ht="24" customHeight="1" x14ac:dyDescent="0.55000000000000004">
      <c r="A177" s="238"/>
      <c r="E177" s="239"/>
      <c r="F177" s="239"/>
      <c r="G177" s="239"/>
      <c r="H177" s="239"/>
      <c r="I177" s="239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</row>
    <row r="178" spans="1:28" ht="24" customHeight="1" x14ac:dyDescent="0.55000000000000004">
      <c r="A178" s="238"/>
      <c r="E178" s="239"/>
      <c r="F178" s="239"/>
      <c r="G178" s="239"/>
      <c r="H178" s="239"/>
      <c r="I178" s="239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</row>
    <row r="179" spans="1:28" ht="24" customHeight="1" x14ac:dyDescent="0.55000000000000004">
      <c r="A179" s="238"/>
      <c r="E179" s="239"/>
      <c r="F179" s="239"/>
      <c r="G179" s="239"/>
      <c r="H179" s="239"/>
      <c r="I179" s="239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</row>
    <row r="180" spans="1:28" ht="24" customHeight="1" x14ac:dyDescent="0.55000000000000004">
      <c r="A180" s="238"/>
      <c r="E180" s="239"/>
      <c r="F180" s="239"/>
      <c r="G180" s="239"/>
      <c r="H180" s="239"/>
      <c r="I180" s="239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</row>
    <row r="181" spans="1:28" ht="24" customHeight="1" x14ac:dyDescent="0.55000000000000004">
      <c r="A181" s="238"/>
      <c r="E181" s="239"/>
      <c r="F181" s="239"/>
      <c r="G181" s="239"/>
      <c r="H181" s="239"/>
      <c r="I181" s="239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</row>
    <row r="182" spans="1:28" ht="24" customHeight="1" x14ac:dyDescent="0.55000000000000004">
      <c r="A182" s="238"/>
      <c r="E182" s="239"/>
      <c r="F182" s="239"/>
      <c r="G182" s="239"/>
      <c r="H182" s="239"/>
      <c r="I182" s="239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</row>
    <row r="183" spans="1:28" ht="24" customHeight="1" x14ac:dyDescent="0.55000000000000004">
      <c r="A183" s="238"/>
      <c r="E183" s="239"/>
      <c r="F183" s="239"/>
      <c r="G183" s="239"/>
      <c r="H183" s="239"/>
      <c r="I183" s="239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</row>
    <row r="184" spans="1:28" ht="24" customHeight="1" x14ac:dyDescent="0.55000000000000004">
      <c r="A184" s="238"/>
      <c r="E184" s="239"/>
      <c r="F184" s="239"/>
      <c r="G184" s="239"/>
      <c r="H184" s="239"/>
      <c r="I184" s="239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</row>
    <row r="185" spans="1:28" ht="24" customHeight="1" x14ac:dyDescent="0.55000000000000004">
      <c r="A185" s="238"/>
      <c r="E185" s="239"/>
      <c r="F185" s="239"/>
      <c r="G185" s="239"/>
      <c r="H185" s="239"/>
      <c r="I185" s="239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</row>
    <row r="186" spans="1:28" ht="24" customHeight="1" x14ac:dyDescent="0.55000000000000004">
      <c r="A186" s="238"/>
      <c r="E186" s="239"/>
      <c r="F186" s="239"/>
      <c r="G186" s="239"/>
      <c r="H186" s="239"/>
      <c r="I186" s="239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</row>
    <row r="187" spans="1:28" ht="24" customHeight="1" x14ac:dyDescent="0.55000000000000004">
      <c r="A187" s="238"/>
      <c r="E187" s="239"/>
      <c r="F187" s="239"/>
      <c r="G187" s="239"/>
      <c r="H187" s="239"/>
      <c r="I187" s="239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</row>
    <row r="188" spans="1:28" ht="24" customHeight="1" x14ac:dyDescent="0.55000000000000004">
      <c r="A188" s="238"/>
      <c r="E188" s="239"/>
      <c r="F188" s="239"/>
      <c r="G188" s="239"/>
      <c r="H188" s="239"/>
      <c r="I188" s="239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</row>
    <row r="189" spans="1:28" ht="24" customHeight="1" x14ac:dyDescent="0.55000000000000004">
      <c r="A189" s="238"/>
      <c r="E189" s="239"/>
      <c r="F189" s="239"/>
      <c r="G189" s="239"/>
      <c r="H189" s="239"/>
      <c r="I189" s="239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</row>
    <row r="190" spans="1:28" ht="24" customHeight="1" x14ac:dyDescent="0.55000000000000004">
      <c r="A190" s="238"/>
      <c r="E190" s="239"/>
      <c r="F190" s="239"/>
      <c r="G190" s="239"/>
      <c r="H190" s="239"/>
      <c r="I190" s="239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</row>
    <row r="191" spans="1:28" ht="24" customHeight="1" x14ac:dyDescent="0.55000000000000004">
      <c r="A191" s="238"/>
      <c r="E191" s="239"/>
      <c r="F191" s="239"/>
      <c r="G191" s="239"/>
      <c r="H191" s="239"/>
      <c r="I191" s="239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</row>
    <row r="192" spans="1:28" ht="24" customHeight="1" x14ac:dyDescent="0.55000000000000004">
      <c r="A192" s="238"/>
      <c r="E192" s="239"/>
      <c r="F192" s="239"/>
      <c r="G192" s="239"/>
      <c r="H192" s="239"/>
      <c r="I192" s="239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</row>
    <row r="193" spans="1:28" ht="24" customHeight="1" x14ac:dyDescent="0.55000000000000004">
      <c r="A193" s="238"/>
      <c r="E193" s="239"/>
      <c r="F193" s="239"/>
      <c r="G193" s="239"/>
      <c r="H193" s="239"/>
      <c r="I193" s="239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</row>
    <row r="194" spans="1:28" ht="24" customHeight="1" x14ac:dyDescent="0.55000000000000004">
      <c r="A194" s="238"/>
      <c r="E194" s="239"/>
      <c r="F194" s="239"/>
      <c r="G194" s="239"/>
      <c r="H194" s="239"/>
      <c r="I194" s="239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</row>
    <row r="195" spans="1:28" ht="24" customHeight="1" x14ac:dyDescent="0.55000000000000004">
      <c r="A195" s="238"/>
      <c r="E195" s="239"/>
      <c r="F195" s="239"/>
      <c r="G195" s="239"/>
      <c r="H195" s="239"/>
      <c r="I195" s="239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</row>
    <row r="196" spans="1:28" ht="24" customHeight="1" x14ac:dyDescent="0.55000000000000004">
      <c r="A196" s="238"/>
      <c r="E196" s="239"/>
      <c r="F196" s="239"/>
      <c r="G196" s="239"/>
      <c r="H196" s="239"/>
      <c r="I196" s="239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</row>
    <row r="197" spans="1:28" ht="24" customHeight="1" x14ac:dyDescent="0.55000000000000004">
      <c r="A197" s="238"/>
      <c r="E197" s="239"/>
      <c r="F197" s="239"/>
      <c r="G197" s="239"/>
      <c r="H197" s="239"/>
      <c r="I197" s="239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</row>
    <row r="198" spans="1:28" ht="24" customHeight="1" x14ac:dyDescent="0.55000000000000004">
      <c r="A198" s="238"/>
      <c r="E198" s="239"/>
      <c r="F198" s="239"/>
      <c r="G198" s="239"/>
      <c r="H198" s="239"/>
      <c r="I198" s="239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</row>
    <row r="199" spans="1:28" ht="24" customHeight="1" x14ac:dyDescent="0.55000000000000004">
      <c r="A199" s="238"/>
      <c r="E199" s="239"/>
      <c r="F199" s="239"/>
      <c r="G199" s="239"/>
      <c r="H199" s="239"/>
      <c r="I199" s="239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</row>
    <row r="200" spans="1:28" ht="24" customHeight="1" x14ac:dyDescent="0.55000000000000004">
      <c r="A200" s="238"/>
      <c r="E200" s="239"/>
      <c r="F200" s="239"/>
      <c r="G200" s="239"/>
      <c r="H200" s="239"/>
      <c r="I200" s="239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</row>
    <row r="201" spans="1:28" ht="24" customHeight="1" x14ac:dyDescent="0.55000000000000004">
      <c r="A201" s="238"/>
      <c r="E201" s="239"/>
      <c r="F201" s="239"/>
      <c r="G201" s="239"/>
      <c r="H201" s="239"/>
      <c r="I201" s="239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</row>
    <row r="202" spans="1:28" ht="24" customHeight="1" x14ac:dyDescent="0.55000000000000004">
      <c r="A202" s="238"/>
      <c r="E202" s="239"/>
      <c r="F202" s="239"/>
      <c r="G202" s="239"/>
      <c r="H202" s="239"/>
      <c r="I202" s="239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</row>
    <row r="203" spans="1:28" ht="24" customHeight="1" x14ac:dyDescent="0.55000000000000004">
      <c r="A203" s="238"/>
      <c r="E203" s="239"/>
      <c r="F203" s="239"/>
      <c r="G203" s="239"/>
      <c r="H203" s="239"/>
      <c r="I203" s="239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</row>
    <row r="204" spans="1:28" ht="24" customHeight="1" x14ac:dyDescent="0.55000000000000004">
      <c r="A204" s="238"/>
      <c r="E204" s="239"/>
      <c r="F204" s="239"/>
      <c r="G204" s="239"/>
      <c r="H204" s="239"/>
      <c r="I204" s="239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</row>
    <row r="205" spans="1:28" ht="24" customHeight="1" x14ac:dyDescent="0.55000000000000004">
      <c r="A205" s="238"/>
      <c r="E205" s="239"/>
      <c r="F205" s="239"/>
      <c r="G205" s="239"/>
      <c r="H205" s="239"/>
      <c r="I205" s="239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</row>
    <row r="206" spans="1:28" ht="24" customHeight="1" x14ac:dyDescent="0.55000000000000004">
      <c r="A206" s="238"/>
      <c r="E206" s="239"/>
      <c r="F206" s="239"/>
      <c r="G206" s="239"/>
      <c r="H206" s="239"/>
      <c r="I206" s="239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</row>
    <row r="207" spans="1:28" ht="24" customHeight="1" x14ac:dyDescent="0.55000000000000004">
      <c r="A207" s="238"/>
      <c r="E207" s="239"/>
      <c r="F207" s="239"/>
      <c r="G207" s="239"/>
      <c r="H207" s="239"/>
      <c r="I207" s="239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</row>
    <row r="208" spans="1:28" ht="24" customHeight="1" x14ac:dyDescent="0.55000000000000004">
      <c r="A208" s="238"/>
      <c r="E208" s="239"/>
      <c r="F208" s="239"/>
      <c r="G208" s="239"/>
      <c r="H208" s="239"/>
      <c r="I208" s="239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</row>
    <row r="209" spans="1:28" ht="24" customHeight="1" x14ac:dyDescent="0.55000000000000004">
      <c r="A209" s="238"/>
      <c r="E209" s="239"/>
      <c r="F209" s="239"/>
      <c r="G209" s="239"/>
      <c r="H209" s="239"/>
      <c r="I209" s="239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</row>
    <row r="210" spans="1:28" ht="24" customHeight="1" x14ac:dyDescent="0.55000000000000004">
      <c r="A210" s="238"/>
      <c r="E210" s="239"/>
      <c r="F210" s="239"/>
      <c r="G210" s="239"/>
      <c r="H210" s="239"/>
      <c r="I210" s="239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</row>
    <row r="211" spans="1:28" ht="24" customHeight="1" x14ac:dyDescent="0.55000000000000004">
      <c r="A211" s="238"/>
      <c r="E211" s="239"/>
      <c r="F211" s="239"/>
      <c r="G211" s="239"/>
      <c r="H211" s="239"/>
      <c r="I211" s="239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</row>
    <row r="212" spans="1:28" ht="24" customHeight="1" x14ac:dyDescent="0.55000000000000004">
      <c r="A212" s="238"/>
      <c r="E212" s="239"/>
      <c r="F212" s="239"/>
      <c r="G212" s="239"/>
      <c r="H212" s="239"/>
      <c r="I212" s="239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</row>
    <row r="213" spans="1:28" ht="24" customHeight="1" x14ac:dyDescent="0.55000000000000004">
      <c r="A213" s="238"/>
      <c r="E213" s="239"/>
      <c r="F213" s="239"/>
      <c r="G213" s="239"/>
      <c r="H213" s="239"/>
      <c r="I213" s="239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</row>
    <row r="214" spans="1:28" ht="24" customHeight="1" x14ac:dyDescent="0.55000000000000004">
      <c r="A214" s="238"/>
      <c r="E214" s="239"/>
      <c r="F214" s="239"/>
      <c r="G214" s="239"/>
      <c r="H214" s="239"/>
      <c r="I214" s="239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</row>
    <row r="215" spans="1:28" ht="24" customHeight="1" x14ac:dyDescent="0.55000000000000004">
      <c r="A215" s="238"/>
      <c r="E215" s="239"/>
      <c r="F215" s="239"/>
      <c r="G215" s="239"/>
      <c r="H215" s="239"/>
      <c r="I215" s="239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</row>
    <row r="216" spans="1:28" ht="24" customHeight="1" x14ac:dyDescent="0.55000000000000004">
      <c r="A216" s="238"/>
      <c r="E216" s="239"/>
      <c r="F216" s="239"/>
      <c r="G216" s="239"/>
      <c r="H216" s="239"/>
      <c r="I216" s="239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</row>
    <row r="217" spans="1:28" ht="24" customHeight="1" x14ac:dyDescent="0.55000000000000004">
      <c r="A217" s="238"/>
      <c r="E217" s="239"/>
      <c r="F217" s="239"/>
      <c r="G217" s="239"/>
      <c r="H217" s="239"/>
      <c r="I217" s="239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</row>
    <row r="218" spans="1:28" ht="24" customHeight="1" x14ac:dyDescent="0.55000000000000004">
      <c r="A218" s="238"/>
      <c r="E218" s="239"/>
      <c r="F218" s="239"/>
      <c r="G218" s="239"/>
      <c r="H218" s="239"/>
      <c r="I218" s="239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</row>
    <row r="219" spans="1:28" ht="24" customHeight="1" x14ac:dyDescent="0.55000000000000004">
      <c r="A219" s="238"/>
      <c r="E219" s="239"/>
      <c r="F219" s="239"/>
      <c r="G219" s="239"/>
      <c r="H219" s="239"/>
      <c r="I219" s="239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</row>
    <row r="220" spans="1:28" ht="24" customHeight="1" x14ac:dyDescent="0.55000000000000004">
      <c r="A220" s="238"/>
      <c r="E220" s="239"/>
      <c r="F220" s="239"/>
      <c r="G220" s="239"/>
      <c r="H220" s="239"/>
      <c r="I220" s="239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</row>
    <row r="221" spans="1:28" ht="24" customHeight="1" x14ac:dyDescent="0.55000000000000004">
      <c r="A221" s="238"/>
      <c r="E221" s="239"/>
      <c r="F221" s="239"/>
      <c r="G221" s="239"/>
      <c r="H221" s="239"/>
      <c r="I221" s="239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</row>
    <row r="222" spans="1:28" ht="24" customHeight="1" x14ac:dyDescent="0.55000000000000004">
      <c r="A222" s="238"/>
      <c r="E222" s="239"/>
      <c r="F222" s="239"/>
      <c r="G222" s="239"/>
      <c r="H222" s="239"/>
      <c r="I222" s="239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</row>
    <row r="223" spans="1:28" ht="24" customHeight="1" x14ac:dyDescent="0.55000000000000004">
      <c r="A223" s="238"/>
      <c r="E223" s="239"/>
      <c r="F223" s="239"/>
      <c r="G223" s="239"/>
      <c r="H223" s="239"/>
      <c r="I223" s="239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</row>
    <row r="224" spans="1:28" ht="24" customHeight="1" x14ac:dyDescent="0.55000000000000004">
      <c r="A224" s="238"/>
      <c r="E224" s="239"/>
      <c r="F224" s="239"/>
      <c r="G224" s="239"/>
      <c r="H224" s="239"/>
      <c r="I224" s="239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</row>
    <row r="225" spans="1:28" ht="24" customHeight="1" x14ac:dyDescent="0.55000000000000004">
      <c r="A225" s="238"/>
      <c r="E225" s="239"/>
      <c r="F225" s="239"/>
      <c r="G225" s="239"/>
      <c r="H225" s="239"/>
      <c r="I225" s="239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</row>
    <row r="226" spans="1:28" ht="24" customHeight="1" x14ac:dyDescent="0.55000000000000004">
      <c r="A226" s="238"/>
      <c r="E226" s="239"/>
      <c r="F226" s="239"/>
      <c r="G226" s="239"/>
      <c r="H226" s="239"/>
      <c r="I226" s="239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</row>
    <row r="227" spans="1:28" ht="24" customHeight="1" x14ac:dyDescent="0.55000000000000004">
      <c r="A227" s="238"/>
      <c r="E227" s="239"/>
      <c r="F227" s="239"/>
      <c r="G227" s="239"/>
      <c r="H227" s="239"/>
      <c r="I227" s="239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</row>
    <row r="228" spans="1:28" ht="24" customHeight="1" x14ac:dyDescent="0.55000000000000004">
      <c r="A228" s="238"/>
      <c r="E228" s="239"/>
      <c r="F228" s="239"/>
      <c r="G228" s="239"/>
      <c r="H228" s="239"/>
      <c r="I228" s="239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</row>
    <row r="229" spans="1:28" ht="24" customHeight="1" x14ac:dyDescent="0.55000000000000004">
      <c r="A229" s="238"/>
      <c r="E229" s="239"/>
      <c r="F229" s="239"/>
      <c r="G229" s="239"/>
      <c r="H229" s="239"/>
      <c r="I229" s="239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</row>
    <row r="230" spans="1:28" ht="24" customHeight="1" x14ac:dyDescent="0.55000000000000004">
      <c r="A230" s="238"/>
      <c r="E230" s="239"/>
      <c r="F230" s="239"/>
      <c r="G230" s="239"/>
      <c r="H230" s="239"/>
      <c r="I230" s="239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</row>
    <row r="231" spans="1:28" ht="24" customHeight="1" x14ac:dyDescent="0.55000000000000004">
      <c r="A231" s="238"/>
      <c r="E231" s="239"/>
      <c r="F231" s="239"/>
      <c r="G231" s="239"/>
      <c r="H231" s="239"/>
      <c r="I231" s="239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</row>
    <row r="232" spans="1:28" ht="24" customHeight="1" x14ac:dyDescent="0.55000000000000004">
      <c r="A232" s="238"/>
      <c r="E232" s="239"/>
      <c r="F232" s="239"/>
      <c r="G232" s="239"/>
      <c r="H232" s="239"/>
      <c r="I232" s="239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</row>
    <row r="233" spans="1:28" ht="24" customHeight="1" x14ac:dyDescent="0.55000000000000004">
      <c r="A233" s="238"/>
      <c r="E233" s="239"/>
      <c r="F233" s="239"/>
      <c r="G233" s="239"/>
      <c r="H233" s="239"/>
      <c r="I233" s="239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</row>
    <row r="234" spans="1:28" ht="24" customHeight="1" x14ac:dyDescent="0.55000000000000004">
      <c r="A234" s="238"/>
      <c r="E234" s="239"/>
      <c r="F234" s="239"/>
      <c r="G234" s="239"/>
      <c r="H234" s="239"/>
      <c r="I234" s="239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</row>
    <row r="235" spans="1:28" ht="24" customHeight="1" x14ac:dyDescent="0.55000000000000004">
      <c r="A235" s="238"/>
      <c r="E235" s="239"/>
      <c r="F235" s="239"/>
      <c r="G235" s="239"/>
      <c r="H235" s="239"/>
      <c r="I235" s="239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</row>
    <row r="236" spans="1:28" ht="24" customHeight="1" x14ac:dyDescent="0.55000000000000004">
      <c r="A236" s="238"/>
      <c r="E236" s="239"/>
      <c r="F236" s="239"/>
      <c r="G236" s="239"/>
      <c r="H236" s="239"/>
      <c r="I236" s="239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</row>
    <row r="237" spans="1:28" ht="24" customHeight="1" x14ac:dyDescent="0.55000000000000004">
      <c r="A237" s="238"/>
      <c r="E237" s="239"/>
      <c r="F237" s="239"/>
      <c r="G237" s="239"/>
      <c r="H237" s="239"/>
      <c r="I237" s="239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</row>
    <row r="238" spans="1:28" ht="24" customHeight="1" x14ac:dyDescent="0.55000000000000004">
      <c r="A238" s="238"/>
      <c r="E238" s="239"/>
      <c r="F238" s="239"/>
      <c r="G238" s="239"/>
      <c r="H238" s="239"/>
      <c r="I238" s="239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</row>
    <row r="239" spans="1:28" ht="24" customHeight="1" x14ac:dyDescent="0.55000000000000004">
      <c r="A239" s="238"/>
      <c r="E239" s="239"/>
      <c r="F239" s="239"/>
      <c r="G239" s="239"/>
      <c r="H239" s="239"/>
      <c r="I239" s="239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</row>
    <row r="240" spans="1:28" ht="24" customHeight="1" x14ac:dyDescent="0.55000000000000004">
      <c r="A240" s="238"/>
      <c r="E240" s="239"/>
      <c r="F240" s="239"/>
      <c r="G240" s="239"/>
      <c r="H240" s="239"/>
      <c r="I240" s="239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</row>
    <row r="241" spans="1:28" ht="24" customHeight="1" x14ac:dyDescent="0.55000000000000004">
      <c r="A241" s="238"/>
      <c r="E241" s="239"/>
      <c r="F241" s="239"/>
      <c r="G241" s="239"/>
      <c r="H241" s="239"/>
      <c r="I241" s="239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</row>
    <row r="242" spans="1:28" ht="24" customHeight="1" x14ac:dyDescent="0.55000000000000004">
      <c r="A242" s="238"/>
      <c r="E242" s="239"/>
      <c r="F242" s="239"/>
      <c r="G242" s="239"/>
      <c r="H242" s="239"/>
      <c r="I242" s="239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</row>
    <row r="243" spans="1:28" ht="24" customHeight="1" x14ac:dyDescent="0.55000000000000004">
      <c r="A243" s="238"/>
      <c r="E243" s="239"/>
      <c r="F243" s="239"/>
      <c r="G243" s="239"/>
      <c r="H243" s="239"/>
      <c r="I243" s="239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</row>
    <row r="244" spans="1:28" ht="24" customHeight="1" x14ac:dyDescent="0.55000000000000004">
      <c r="A244" s="238"/>
      <c r="E244" s="239"/>
      <c r="F244" s="239"/>
      <c r="G244" s="239"/>
      <c r="H244" s="239"/>
      <c r="I244" s="239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</row>
    <row r="245" spans="1:28" ht="24" customHeight="1" x14ac:dyDescent="0.55000000000000004">
      <c r="A245" s="238"/>
      <c r="E245" s="239"/>
      <c r="F245" s="239"/>
      <c r="G245" s="239"/>
      <c r="H245" s="239"/>
      <c r="I245" s="239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</row>
    <row r="246" spans="1:28" ht="24" customHeight="1" x14ac:dyDescent="0.55000000000000004">
      <c r="A246" s="238"/>
      <c r="E246" s="239"/>
      <c r="F246" s="239"/>
      <c r="G246" s="239"/>
      <c r="H246" s="239"/>
      <c r="I246" s="239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</row>
    <row r="247" spans="1:28" ht="24" customHeight="1" x14ac:dyDescent="0.55000000000000004">
      <c r="A247" s="238"/>
      <c r="E247" s="239"/>
      <c r="F247" s="239"/>
      <c r="G247" s="239"/>
      <c r="H247" s="239"/>
      <c r="I247" s="239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</row>
    <row r="248" spans="1:28" ht="24" customHeight="1" x14ac:dyDescent="0.55000000000000004">
      <c r="A248" s="238"/>
      <c r="E248" s="239"/>
      <c r="F248" s="239"/>
      <c r="G248" s="239"/>
      <c r="H248" s="239"/>
      <c r="I248" s="239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</row>
    <row r="249" spans="1:28" ht="24" customHeight="1" x14ac:dyDescent="0.55000000000000004">
      <c r="A249" s="238"/>
      <c r="E249" s="239"/>
      <c r="F249" s="239"/>
      <c r="G249" s="239"/>
      <c r="H249" s="239"/>
      <c r="I249" s="239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</row>
    <row r="250" spans="1:28" ht="24" customHeight="1" x14ac:dyDescent="0.55000000000000004">
      <c r="A250" s="238"/>
      <c r="E250" s="239"/>
      <c r="F250" s="239"/>
      <c r="G250" s="239"/>
      <c r="H250" s="239"/>
      <c r="I250" s="239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</row>
    <row r="251" spans="1:28" ht="24" customHeight="1" x14ac:dyDescent="0.55000000000000004">
      <c r="A251" s="238"/>
      <c r="E251" s="239"/>
      <c r="F251" s="239"/>
      <c r="G251" s="239"/>
      <c r="H251" s="239"/>
      <c r="I251" s="239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</row>
    <row r="252" spans="1:28" ht="24" customHeight="1" x14ac:dyDescent="0.55000000000000004">
      <c r="A252" s="238"/>
      <c r="E252" s="239"/>
      <c r="F252" s="239"/>
      <c r="G252" s="239"/>
      <c r="H252" s="239"/>
      <c r="I252" s="239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</row>
    <row r="253" spans="1:28" ht="24" customHeight="1" x14ac:dyDescent="0.55000000000000004">
      <c r="A253" s="238"/>
      <c r="E253" s="239"/>
      <c r="F253" s="239"/>
      <c r="G253" s="239"/>
      <c r="H253" s="239"/>
      <c r="I253" s="239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</row>
    <row r="254" spans="1:28" ht="24" customHeight="1" x14ac:dyDescent="0.55000000000000004">
      <c r="A254" s="238"/>
      <c r="E254" s="239"/>
      <c r="F254" s="239"/>
      <c r="G254" s="239"/>
      <c r="H254" s="239"/>
      <c r="I254" s="239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</row>
    <row r="255" spans="1:28" ht="24" customHeight="1" x14ac:dyDescent="0.55000000000000004">
      <c r="A255" s="238"/>
      <c r="E255" s="239"/>
      <c r="F255" s="239"/>
      <c r="G255" s="239"/>
      <c r="H255" s="239"/>
      <c r="I255" s="239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</row>
    <row r="256" spans="1:28" ht="24" customHeight="1" x14ac:dyDescent="0.55000000000000004">
      <c r="A256" s="238"/>
      <c r="E256" s="239"/>
      <c r="F256" s="239"/>
      <c r="G256" s="239"/>
      <c r="H256" s="239"/>
      <c r="I256" s="239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</row>
    <row r="257" spans="1:28" ht="24" customHeight="1" x14ac:dyDescent="0.55000000000000004">
      <c r="A257" s="238"/>
      <c r="E257" s="239"/>
      <c r="F257" s="239"/>
      <c r="G257" s="239"/>
      <c r="H257" s="239"/>
      <c r="I257" s="239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</row>
    <row r="258" spans="1:28" ht="24" customHeight="1" x14ac:dyDescent="0.55000000000000004">
      <c r="A258" s="238"/>
      <c r="E258" s="239"/>
      <c r="F258" s="239"/>
      <c r="G258" s="239"/>
      <c r="H258" s="239"/>
      <c r="I258" s="239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</row>
    <row r="259" spans="1:28" ht="24" customHeight="1" x14ac:dyDescent="0.55000000000000004">
      <c r="A259" s="238"/>
      <c r="E259" s="239"/>
      <c r="F259" s="239"/>
      <c r="G259" s="239"/>
      <c r="H259" s="239"/>
      <c r="I259" s="239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</row>
    <row r="260" spans="1:28" ht="24" customHeight="1" x14ac:dyDescent="0.55000000000000004">
      <c r="A260" s="238"/>
      <c r="E260" s="239"/>
      <c r="F260" s="239"/>
      <c r="G260" s="239"/>
      <c r="H260" s="239"/>
      <c r="I260" s="239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</row>
    <row r="261" spans="1:28" ht="24" customHeight="1" x14ac:dyDescent="0.55000000000000004">
      <c r="A261" s="238"/>
      <c r="E261" s="239"/>
      <c r="F261" s="239"/>
      <c r="G261" s="239"/>
      <c r="H261" s="239"/>
      <c r="I261" s="239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</row>
    <row r="262" spans="1:28" ht="24" customHeight="1" x14ac:dyDescent="0.55000000000000004">
      <c r="A262" s="238"/>
      <c r="E262" s="239"/>
      <c r="F262" s="239"/>
      <c r="G262" s="239"/>
      <c r="H262" s="239"/>
      <c r="I262" s="239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</row>
    <row r="263" spans="1:28" ht="24" customHeight="1" x14ac:dyDescent="0.55000000000000004">
      <c r="A263" s="238"/>
      <c r="E263" s="239"/>
      <c r="F263" s="239"/>
      <c r="G263" s="239"/>
      <c r="H263" s="239"/>
      <c r="I263" s="239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</row>
    <row r="264" spans="1:28" ht="24" customHeight="1" x14ac:dyDescent="0.55000000000000004">
      <c r="A264" s="238"/>
      <c r="E264" s="239"/>
      <c r="F264" s="239"/>
      <c r="G264" s="239"/>
      <c r="H264" s="239"/>
      <c r="I264" s="239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</row>
    <row r="265" spans="1:28" ht="24" customHeight="1" x14ac:dyDescent="0.55000000000000004">
      <c r="A265" s="238"/>
      <c r="E265" s="239"/>
      <c r="F265" s="239"/>
      <c r="G265" s="239"/>
      <c r="H265" s="239"/>
      <c r="I265" s="239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</row>
    <row r="266" spans="1:28" ht="24" customHeight="1" x14ac:dyDescent="0.55000000000000004">
      <c r="A266" s="238"/>
      <c r="E266" s="239"/>
      <c r="F266" s="239"/>
      <c r="G266" s="239"/>
      <c r="H266" s="239"/>
      <c r="I266" s="239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</row>
    <row r="267" spans="1:28" ht="24" customHeight="1" x14ac:dyDescent="0.55000000000000004">
      <c r="A267" s="238"/>
      <c r="E267" s="239"/>
      <c r="F267" s="239"/>
      <c r="G267" s="239"/>
      <c r="H267" s="239"/>
      <c r="I267" s="239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</row>
    <row r="268" spans="1:28" ht="24" customHeight="1" x14ac:dyDescent="0.55000000000000004">
      <c r="A268" s="238"/>
      <c r="E268" s="239"/>
      <c r="F268" s="239"/>
      <c r="G268" s="239"/>
      <c r="H268" s="239"/>
      <c r="I268" s="239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</row>
    <row r="269" spans="1:28" ht="24" customHeight="1" x14ac:dyDescent="0.55000000000000004">
      <c r="A269" s="238"/>
      <c r="E269" s="239"/>
      <c r="F269" s="239"/>
      <c r="G269" s="239"/>
      <c r="H269" s="239"/>
      <c r="I269" s="239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</row>
    <row r="270" spans="1:28" ht="24" customHeight="1" x14ac:dyDescent="0.55000000000000004">
      <c r="A270" s="238"/>
      <c r="E270" s="239"/>
      <c r="F270" s="239"/>
      <c r="G270" s="239"/>
      <c r="H270" s="239"/>
      <c r="I270" s="239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</row>
    <row r="271" spans="1:28" ht="24" customHeight="1" x14ac:dyDescent="0.55000000000000004">
      <c r="A271" s="238"/>
      <c r="E271" s="239"/>
      <c r="F271" s="239"/>
      <c r="G271" s="239"/>
      <c r="H271" s="239"/>
      <c r="I271" s="239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</row>
    <row r="272" spans="1:28" ht="24" customHeight="1" x14ac:dyDescent="0.55000000000000004">
      <c r="A272" s="238"/>
      <c r="E272" s="239"/>
      <c r="F272" s="239"/>
      <c r="G272" s="239"/>
      <c r="H272" s="239"/>
      <c r="I272" s="239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</row>
    <row r="273" spans="1:28" ht="24" customHeight="1" x14ac:dyDescent="0.55000000000000004">
      <c r="A273" s="238"/>
      <c r="E273" s="239"/>
      <c r="F273" s="239"/>
      <c r="G273" s="239"/>
      <c r="H273" s="239"/>
      <c r="I273" s="239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</row>
    <row r="274" spans="1:28" ht="24" customHeight="1" x14ac:dyDescent="0.55000000000000004">
      <c r="A274" s="238"/>
      <c r="E274" s="239"/>
      <c r="F274" s="239"/>
      <c r="G274" s="239"/>
      <c r="H274" s="239"/>
      <c r="I274" s="239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</row>
    <row r="275" spans="1:28" ht="24" customHeight="1" x14ac:dyDescent="0.55000000000000004">
      <c r="A275" s="238"/>
      <c r="E275" s="239"/>
      <c r="F275" s="239"/>
      <c r="G275" s="239"/>
      <c r="H275" s="239"/>
      <c r="I275" s="239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</row>
    <row r="276" spans="1:28" ht="24" customHeight="1" x14ac:dyDescent="0.55000000000000004">
      <c r="A276" s="238"/>
      <c r="E276" s="239"/>
      <c r="F276" s="239"/>
      <c r="G276" s="239"/>
      <c r="H276" s="239"/>
      <c r="I276" s="239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</row>
    <row r="277" spans="1:28" ht="24" customHeight="1" x14ac:dyDescent="0.55000000000000004">
      <c r="A277" s="238"/>
      <c r="E277" s="239"/>
      <c r="F277" s="239"/>
      <c r="G277" s="239"/>
      <c r="H277" s="239"/>
      <c r="I277" s="239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</row>
    <row r="278" spans="1:28" ht="24" customHeight="1" x14ac:dyDescent="0.55000000000000004">
      <c r="A278" s="238"/>
      <c r="E278" s="239"/>
      <c r="F278" s="239"/>
      <c r="G278" s="239"/>
      <c r="H278" s="239"/>
      <c r="I278" s="239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</row>
    <row r="279" spans="1:28" ht="24" customHeight="1" x14ac:dyDescent="0.55000000000000004">
      <c r="A279" s="238"/>
      <c r="E279" s="239"/>
      <c r="F279" s="239"/>
      <c r="G279" s="239"/>
      <c r="H279" s="239"/>
      <c r="I279" s="239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</row>
    <row r="280" spans="1:28" ht="24" customHeight="1" x14ac:dyDescent="0.55000000000000004">
      <c r="A280" s="238"/>
      <c r="E280" s="239"/>
      <c r="F280" s="239"/>
      <c r="G280" s="239"/>
      <c r="H280" s="239"/>
      <c r="I280" s="239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</row>
    <row r="281" spans="1:28" ht="24" customHeight="1" x14ac:dyDescent="0.55000000000000004">
      <c r="A281" s="238"/>
      <c r="E281" s="239"/>
      <c r="F281" s="239"/>
      <c r="G281" s="239"/>
      <c r="H281" s="239"/>
      <c r="I281" s="239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</row>
    <row r="282" spans="1:28" ht="24" customHeight="1" x14ac:dyDescent="0.55000000000000004">
      <c r="A282" s="238"/>
      <c r="E282" s="239"/>
      <c r="F282" s="239"/>
      <c r="G282" s="239"/>
      <c r="H282" s="239"/>
      <c r="I282" s="239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</row>
    <row r="283" spans="1:28" ht="24" customHeight="1" x14ac:dyDescent="0.55000000000000004">
      <c r="A283" s="238"/>
      <c r="E283" s="239"/>
      <c r="F283" s="239"/>
      <c r="G283" s="239"/>
      <c r="H283" s="239"/>
      <c r="I283" s="239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</row>
    <row r="284" spans="1:28" ht="24" customHeight="1" x14ac:dyDescent="0.55000000000000004">
      <c r="A284" s="238"/>
      <c r="E284" s="239"/>
      <c r="F284" s="239"/>
      <c r="G284" s="239"/>
      <c r="H284" s="239"/>
      <c r="I284" s="239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</row>
    <row r="285" spans="1:28" ht="24" customHeight="1" x14ac:dyDescent="0.55000000000000004">
      <c r="A285" s="238"/>
      <c r="E285" s="239"/>
      <c r="F285" s="239"/>
      <c r="G285" s="239"/>
      <c r="H285" s="239"/>
      <c r="I285" s="239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</row>
    <row r="286" spans="1:28" ht="24" customHeight="1" x14ac:dyDescent="0.55000000000000004">
      <c r="A286" s="238"/>
      <c r="E286" s="239"/>
      <c r="F286" s="239"/>
      <c r="G286" s="239"/>
      <c r="H286" s="239"/>
      <c r="I286" s="239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</row>
    <row r="287" spans="1:28" ht="24" customHeight="1" x14ac:dyDescent="0.55000000000000004">
      <c r="A287" s="238"/>
      <c r="E287" s="239"/>
      <c r="F287" s="239"/>
      <c r="G287" s="239"/>
      <c r="H287" s="239"/>
      <c r="I287" s="239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</row>
    <row r="288" spans="1:28" ht="24" customHeight="1" x14ac:dyDescent="0.55000000000000004">
      <c r="A288" s="238"/>
      <c r="E288" s="239"/>
      <c r="F288" s="239"/>
      <c r="G288" s="239"/>
      <c r="H288" s="239"/>
      <c r="I288" s="239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</row>
    <row r="289" spans="1:28" ht="24" customHeight="1" x14ac:dyDescent="0.55000000000000004">
      <c r="A289" s="238"/>
      <c r="E289" s="239"/>
      <c r="F289" s="239"/>
      <c r="G289" s="239"/>
      <c r="H289" s="239"/>
      <c r="I289" s="239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</row>
    <row r="290" spans="1:28" ht="24" customHeight="1" x14ac:dyDescent="0.55000000000000004">
      <c r="A290" s="238"/>
      <c r="E290" s="239"/>
      <c r="F290" s="239"/>
      <c r="G290" s="239"/>
      <c r="H290" s="239"/>
      <c r="I290" s="239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</row>
    <row r="291" spans="1:28" ht="24" customHeight="1" x14ac:dyDescent="0.55000000000000004">
      <c r="A291" s="238"/>
      <c r="E291" s="239"/>
      <c r="F291" s="239"/>
      <c r="G291" s="239"/>
      <c r="H291" s="239"/>
      <c r="I291" s="239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</row>
    <row r="292" spans="1:28" ht="24" customHeight="1" x14ac:dyDescent="0.55000000000000004">
      <c r="A292" s="238"/>
      <c r="E292" s="239"/>
      <c r="F292" s="239"/>
      <c r="G292" s="239"/>
      <c r="H292" s="239"/>
      <c r="I292" s="239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</row>
    <row r="293" spans="1:28" ht="24" customHeight="1" x14ac:dyDescent="0.55000000000000004">
      <c r="A293" s="238"/>
      <c r="E293" s="239"/>
      <c r="F293" s="239"/>
      <c r="G293" s="239"/>
      <c r="H293" s="239"/>
      <c r="I293" s="239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</row>
    <row r="294" spans="1:28" ht="24" customHeight="1" x14ac:dyDescent="0.55000000000000004">
      <c r="A294" s="238"/>
      <c r="E294" s="239"/>
      <c r="F294" s="239"/>
      <c r="G294" s="239"/>
      <c r="H294" s="239"/>
      <c r="I294" s="239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</row>
    <row r="295" spans="1:28" ht="24" customHeight="1" x14ac:dyDescent="0.55000000000000004">
      <c r="A295" s="238"/>
      <c r="E295" s="239"/>
      <c r="F295" s="239"/>
      <c r="G295" s="239"/>
      <c r="H295" s="239"/>
      <c r="I295" s="239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</row>
    <row r="296" spans="1:28" ht="24" customHeight="1" x14ac:dyDescent="0.55000000000000004">
      <c r="A296" s="238"/>
      <c r="E296" s="239"/>
      <c r="F296" s="239"/>
      <c r="G296" s="239"/>
      <c r="H296" s="239"/>
      <c r="I296" s="239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</row>
    <row r="297" spans="1:28" ht="24" customHeight="1" x14ac:dyDescent="0.55000000000000004">
      <c r="A297" s="238"/>
      <c r="E297" s="239"/>
      <c r="F297" s="239"/>
      <c r="G297" s="239"/>
      <c r="H297" s="239"/>
      <c r="I297" s="239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</row>
    <row r="298" spans="1:28" ht="24" customHeight="1" x14ac:dyDescent="0.55000000000000004">
      <c r="A298" s="238"/>
      <c r="E298" s="239"/>
      <c r="F298" s="239"/>
      <c r="G298" s="239"/>
      <c r="H298" s="239"/>
      <c r="I298" s="239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</row>
    <row r="299" spans="1:28" ht="24" customHeight="1" x14ac:dyDescent="0.55000000000000004">
      <c r="A299" s="238"/>
      <c r="E299" s="239"/>
      <c r="F299" s="239"/>
      <c r="G299" s="239"/>
      <c r="H299" s="239"/>
      <c r="I299" s="239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</row>
    <row r="300" spans="1:28" ht="24" customHeight="1" x14ac:dyDescent="0.55000000000000004">
      <c r="A300" s="238"/>
      <c r="E300" s="239"/>
      <c r="F300" s="239"/>
      <c r="G300" s="239"/>
      <c r="H300" s="239"/>
      <c r="I300" s="239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</row>
    <row r="301" spans="1:28" ht="24" customHeight="1" x14ac:dyDescent="0.55000000000000004">
      <c r="A301" s="238"/>
      <c r="E301" s="239"/>
      <c r="F301" s="239"/>
      <c r="G301" s="239"/>
      <c r="H301" s="239"/>
      <c r="I301" s="239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</row>
    <row r="302" spans="1:28" ht="24" customHeight="1" x14ac:dyDescent="0.55000000000000004">
      <c r="A302" s="238"/>
      <c r="E302" s="239"/>
      <c r="F302" s="239"/>
      <c r="G302" s="239"/>
      <c r="H302" s="239"/>
      <c r="I302" s="239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</row>
    <row r="303" spans="1:28" ht="24" customHeight="1" x14ac:dyDescent="0.55000000000000004">
      <c r="A303" s="238"/>
      <c r="E303" s="239"/>
      <c r="F303" s="239"/>
      <c r="G303" s="239"/>
      <c r="H303" s="239"/>
      <c r="I303" s="239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</row>
    <row r="304" spans="1:28" ht="24" customHeight="1" x14ac:dyDescent="0.55000000000000004">
      <c r="A304" s="238"/>
      <c r="E304" s="239"/>
      <c r="F304" s="239"/>
      <c r="G304" s="239"/>
      <c r="H304" s="239"/>
      <c r="I304" s="239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</row>
    <row r="305" spans="1:28" ht="24" customHeight="1" x14ac:dyDescent="0.55000000000000004">
      <c r="A305" s="238"/>
      <c r="E305" s="239"/>
      <c r="F305" s="239"/>
      <c r="G305" s="239"/>
      <c r="H305" s="239"/>
      <c r="I305" s="239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</row>
    <row r="306" spans="1:28" ht="24" customHeight="1" x14ac:dyDescent="0.55000000000000004">
      <c r="A306" s="238"/>
      <c r="E306" s="239"/>
      <c r="F306" s="239"/>
      <c r="G306" s="239"/>
      <c r="H306" s="239"/>
      <c r="I306" s="239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</row>
    <row r="307" spans="1:28" ht="24" customHeight="1" x14ac:dyDescent="0.55000000000000004">
      <c r="A307" s="238"/>
      <c r="E307" s="239"/>
      <c r="F307" s="239"/>
      <c r="G307" s="239"/>
      <c r="H307" s="239"/>
      <c r="I307" s="239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</row>
    <row r="308" spans="1:28" ht="24" customHeight="1" x14ac:dyDescent="0.55000000000000004">
      <c r="A308" s="238"/>
      <c r="E308" s="239"/>
      <c r="F308" s="239"/>
      <c r="G308" s="239"/>
      <c r="H308" s="239"/>
      <c r="I308" s="239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</row>
    <row r="309" spans="1:28" ht="24" customHeight="1" x14ac:dyDescent="0.55000000000000004">
      <c r="A309" s="238"/>
      <c r="E309" s="239"/>
      <c r="F309" s="239"/>
      <c r="G309" s="239"/>
      <c r="H309" s="239"/>
      <c r="I309" s="239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</row>
    <row r="310" spans="1:28" ht="24" customHeight="1" x14ac:dyDescent="0.55000000000000004">
      <c r="A310" s="238"/>
      <c r="E310" s="239"/>
      <c r="F310" s="239"/>
      <c r="G310" s="239"/>
      <c r="H310" s="239"/>
      <c r="I310" s="239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</row>
    <row r="311" spans="1:28" ht="24" customHeight="1" x14ac:dyDescent="0.55000000000000004">
      <c r="A311" s="238"/>
      <c r="E311" s="239"/>
      <c r="F311" s="239"/>
      <c r="G311" s="239"/>
      <c r="H311" s="239"/>
      <c r="I311" s="239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</row>
    <row r="312" spans="1:28" ht="24" customHeight="1" x14ac:dyDescent="0.55000000000000004">
      <c r="A312" s="238"/>
      <c r="E312" s="239"/>
      <c r="F312" s="239"/>
      <c r="G312" s="239"/>
      <c r="H312" s="239"/>
      <c r="I312" s="239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</row>
    <row r="313" spans="1:28" ht="24" customHeight="1" x14ac:dyDescent="0.55000000000000004">
      <c r="A313" s="238"/>
      <c r="E313" s="239"/>
      <c r="F313" s="239"/>
      <c r="G313" s="239"/>
      <c r="H313" s="239"/>
      <c r="I313" s="239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</row>
    <row r="314" spans="1:28" ht="24" customHeight="1" x14ac:dyDescent="0.55000000000000004">
      <c r="A314" s="238"/>
      <c r="E314" s="239"/>
      <c r="F314" s="239"/>
      <c r="G314" s="239"/>
      <c r="H314" s="239"/>
      <c r="I314" s="239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</row>
    <row r="315" spans="1:28" ht="24" customHeight="1" x14ac:dyDescent="0.55000000000000004">
      <c r="A315" s="238"/>
      <c r="E315" s="239"/>
      <c r="F315" s="239"/>
      <c r="G315" s="239"/>
      <c r="H315" s="239"/>
      <c r="I315" s="239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</row>
    <row r="316" spans="1:28" ht="24" customHeight="1" x14ac:dyDescent="0.55000000000000004">
      <c r="A316" s="238"/>
      <c r="E316" s="239"/>
      <c r="F316" s="239"/>
      <c r="G316" s="239"/>
      <c r="H316" s="239"/>
      <c r="I316" s="239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</row>
    <row r="317" spans="1:28" ht="24" customHeight="1" x14ac:dyDescent="0.55000000000000004">
      <c r="A317" s="238"/>
      <c r="E317" s="239"/>
      <c r="F317" s="239"/>
      <c r="G317" s="239"/>
      <c r="H317" s="239"/>
      <c r="I317" s="239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</row>
    <row r="318" spans="1:28" ht="24" customHeight="1" x14ac:dyDescent="0.55000000000000004">
      <c r="A318" s="238"/>
      <c r="E318" s="239"/>
      <c r="F318" s="239"/>
      <c r="G318" s="239"/>
      <c r="H318" s="239"/>
      <c r="I318" s="239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</row>
    <row r="319" spans="1:28" ht="24" customHeight="1" x14ac:dyDescent="0.55000000000000004">
      <c r="A319" s="238"/>
      <c r="E319" s="239"/>
      <c r="F319" s="239"/>
      <c r="G319" s="239"/>
      <c r="H319" s="239"/>
      <c r="I319" s="239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</row>
    <row r="320" spans="1:28" ht="24" customHeight="1" x14ac:dyDescent="0.55000000000000004">
      <c r="A320" s="238"/>
      <c r="E320" s="239"/>
      <c r="F320" s="239"/>
      <c r="G320" s="239"/>
      <c r="H320" s="239"/>
      <c r="I320" s="239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</row>
    <row r="321" spans="1:28" ht="24" customHeight="1" x14ac:dyDescent="0.55000000000000004">
      <c r="A321" s="238"/>
      <c r="E321" s="239"/>
      <c r="F321" s="239"/>
      <c r="G321" s="239"/>
      <c r="H321" s="239"/>
      <c r="I321" s="239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</row>
    <row r="322" spans="1:28" ht="24" customHeight="1" x14ac:dyDescent="0.55000000000000004">
      <c r="A322" s="238"/>
      <c r="E322" s="239"/>
      <c r="F322" s="239"/>
      <c r="G322" s="239"/>
      <c r="H322" s="239"/>
      <c r="I322" s="239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</row>
    <row r="323" spans="1:28" ht="24" customHeight="1" x14ac:dyDescent="0.55000000000000004">
      <c r="A323" s="238"/>
      <c r="E323" s="239"/>
      <c r="F323" s="239"/>
      <c r="G323" s="239"/>
      <c r="H323" s="239"/>
      <c r="I323" s="239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</row>
    <row r="324" spans="1:28" ht="24" customHeight="1" x14ac:dyDescent="0.55000000000000004">
      <c r="A324" s="238"/>
      <c r="E324" s="239"/>
      <c r="F324" s="239"/>
      <c r="G324" s="239"/>
      <c r="H324" s="239"/>
      <c r="I324" s="239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</row>
    <row r="325" spans="1:28" ht="24" customHeight="1" x14ac:dyDescent="0.55000000000000004">
      <c r="A325" s="238"/>
      <c r="E325" s="239"/>
      <c r="F325" s="239"/>
      <c r="G325" s="239"/>
      <c r="H325" s="239"/>
      <c r="I325" s="239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</row>
    <row r="326" spans="1:28" ht="24" customHeight="1" x14ac:dyDescent="0.55000000000000004">
      <c r="A326" s="238"/>
      <c r="E326" s="239"/>
      <c r="F326" s="239"/>
      <c r="G326" s="239"/>
      <c r="H326" s="239"/>
      <c r="I326" s="239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</row>
    <row r="327" spans="1:28" ht="24" customHeight="1" x14ac:dyDescent="0.55000000000000004">
      <c r="A327" s="238"/>
      <c r="E327" s="239"/>
      <c r="F327" s="239"/>
      <c r="G327" s="239"/>
      <c r="H327" s="239"/>
      <c r="I327" s="239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</row>
    <row r="328" spans="1:28" ht="24" customHeight="1" x14ac:dyDescent="0.55000000000000004">
      <c r="A328" s="238"/>
      <c r="E328" s="239"/>
      <c r="F328" s="239"/>
      <c r="G328" s="239"/>
      <c r="H328" s="239"/>
      <c r="I328" s="239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</row>
    <row r="329" spans="1:28" ht="24" customHeight="1" x14ac:dyDescent="0.55000000000000004">
      <c r="A329" s="238"/>
      <c r="E329" s="239"/>
      <c r="F329" s="239"/>
      <c r="G329" s="239"/>
      <c r="H329" s="239"/>
      <c r="I329" s="239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</row>
    <row r="330" spans="1:28" ht="24" customHeight="1" x14ac:dyDescent="0.55000000000000004">
      <c r="A330" s="238"/>
      <c r="E330" s="239"/>
      <c r="F330" s="239"/>
      <c r="G330" s="239"/>
      <c r="H330" s="239"/>
      <c r="I330" s="239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</row>
    <row r="331" spans="1:28" ht="24" customHeight="1" x14ac:dyDescent="0.55000000000000004">
      <c r="A331" s="238"/>
      <c r="E331" s="239"/>
      <c r="F331" s="239"/>
      <c r="G331" s="239"/>
      <c r="H331" s="239"/>
      <c r="I331" s="239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</row>
    <row r="332" spans="1:28" ht="24" customHeight="1" x14ac:dyDescent="0.55000000000000004">
      <c r="A332" s="238"/>
      <c r="E332" s="239"/>
      <c r="F332" s="239"/>
      <c r="G332" s="239"/>
      <c r="H332" s="239"/>
      <c r="I332" s="239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</row>
    <row r="333" spans="1:28" ht="24" customHeight="1" x14ac:dyDescent="0.55000000000000004">
      <c r="A333" s="238"/>
      <c r="E333" s="239"/>
      <c r="F333" s="239"/>
      <c r="G333" s="239"/>
      <c r="H333" s="239"/>
      <c r="I333" s="239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</row>
    <row r="334" spans="1:28" ht="24" customHeight="1" x14ac:dyDescent="0.55000000000000004">
      <c r="A334" s="238"/>
      <c r="E334" s="239"/>
      <c r="F334" s="239"/>
      <c r="G334" s="239"/>
      <c r="H334" s="239"/>
      <c r="I334" s="239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</row>
    <row r="335" spans="1:28" ht="24" customHeight="1" x14ac:dyDescent="0.55000000000000004">
      <c r="A335" s="238"/>
      <c r="E335" s="239"/>
      <c r="F335" s="239"/>
      <c r="G335" s="239"/>
      <c r="H335" s="239"/>
      <c r="I335" s="239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</row>
    <row r="336" spans="1:28" ht="24" customHeight="1" x14ac:dyDescent="0.55000000000000004">
      <c r="A336" s="238"/>
      <c r="E336" s="239"/>
      <c r="F336" s="239"/>
      <c r="G336" s="239"/>
      <c r="H336" s="239"/>
      <c r="I336" s="239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</row>
    <row r="337" spans="1:28" ht="24" customHeight="1" x14ac:dyDescent="0.55000000000000004">
      <c r="A337" s="238"/>
      <c r="E337" s="239"/>
      <c r="F337" s="239"/>
      <c r="G337" s="239"/>
      <c r="H337" s="239"/>
      <c r="I337" s="239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</row>
    <row r="338" spans="1:28" ht="24" customHeight="1" x14ac:dyDescent="0.55000000000000004">
      <c r="A338" s="238"/>
      <c r="E338" s="239"/>
      <c r="F338" s="239"/>
      <c r="G338" s="239"/>
      <c r="H338" s="239"/>
      <c r="I338" s="239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</row>
    <row r="339" spans="1:28" ht="24" customHeight="1" x14ac:dyDescent="0.55000000000000004">
      <c r="A339" s="238"/>
      <c r="E339" s="239"/>
      <c r="F339" s="239"/>
      <c r="G339" s="239"/>
      <c r="H339" s="239"/>
      <c r="I339" s="239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</row>
    <row r="340" spans="1:28" ht="24" customHeight="1" x14ac:dyDescent="0.55000000000000004">
      <c r="A340" s="238"/>
      <c r="E340" s="239"/>
      <c r="F340" s="239"/>
      <c r="G340" s="239"/>
      <c r="H340" s="239"/>
      <c r="I340" s="239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</row>
    <row r="341" spans="1:28" ht="24" customHeight="1" x14ac:dyDescent="0.55000000000000004">
      <c r="A341" s="238"/>
      <c r="E341" s="239"/>
      <c r="F341" s="239"/>
      <c r="G341" s="239"/>
      <c r="H341" s="239"/>
      <c r="I341" s="239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</row>
    <row r="342" spans="1:28" ht="24" customHeight="1" x14ac:dyDescent="0.55000000000000004">
      <c r="A342" s="238"/>
      <c r="E342" s="239"/>
      <c r="F342" s="239"/>
      <c r="G342" s="239"/>
      <c r="H342" s="239"/>
      <c r="I342" s="239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</row>
    <row r="343" spans="1:28" ht="24" customHeight="1" x14ac:dyDescent="0.55000000000000004">
      <c r="A343" s="238"/>
      <c r="E343" s="239"/>
      <c r="F343" s="239"/>
      <c r="G343" s="239"/>
      <c r="H343" s="239"/>
      <c r="I343" s="239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</row>
    <row r="344" spans="1:28" ht="24" customHeight="1" x14ac:dyDescent="0.55000000000000004">
      <c r="A344" s="238"/>
      <c r="E344" s="239"/>
      <c r="F344" s="239"/>
      <c r="G344" s="239"/>
      <c r="H344" s="239"/>
      <c r="I344" s="239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</row>
    <row r="345" spans="1:28" ht="24" customHeight="1" x14ac:dyDescent="0.55000000000000004">
      <c r="A345" s="238"/>
      <c r="E345" s="239"/>
      <c r="F345" s="239"/>
      <c r="G345" s="239"/>
      <c r="H345" s="239"/>
      <c r="I345" s="239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</row>
    <row r="346" spans="1:28" ht="24" customHeight="1" x14ac:dyDescent="0.55000000000000004">
      <c r="A346" s="238"/>
      <c r="E346" s="239"/>
      <c r="F346" s="239"/>
      <c r="G346" s="239"/>
      <c r="H346" s="239"/>
      <c r="I346" s="239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</row>
    <row r="347" spans="1:28" ht="24" customHeight="1" x14ac:dyDescent="0.55000000000000004">
      <c r="A347" s="238"/>
      <c r="E347" s="239"/>
      <c r="F347" s="239"/>
      <c r="G347" s="239"/>
      <c r="H347" s="239"/>
      <c r="I347" s="239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</row>
    <row r="348" spans="1:28" ht="24" customHeight="1" x14ac:dyDescent="0.55000000000000004">
      <c r="A348" s="238"/>
      <c r="E348" s="239"/>
      <c r="F348" s="239"/>
      <c r="G348" s="239"/>
      <c r="H348" s="239"/>
      <c r="I348" s="239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</row>
    <row r="349" spans="1:28" ht="24" customHeight="1" x14ac:dyDescent="0.55000000000000004">
      <c r="A349" s="238"/>
      <c r="E349" s="239"/>
      <c r="F349" s="239"/>
      <c r="G349" s="239"/>
      <c r="H349" s="239"/>
      <c r="I349" s="239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</row>
    <row r="350" spans="1:28" ht="24" customHeight="1" x14ac:dyDescent="0.55000000000000004">
      <c r="A350" s="238"/>
      <c r="E350" s="239"/>
      <c r="F350" s="239"/>
      <c r="G350" s="239"/>
      <c r="H350" s="239"/>
      <c r="I350" s="239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</row>
    <row r="351" spans="1:28" ht="24" customHeight="1" x14ac:dyDescent="0.55000000000000004">
      <c r="A351" s="238"/>
      <c r="E351" s="239"/>
      <c r="F351" s="239"/>
      <c r="G351" s="239"/>
      <c r="H351" s="239"/>
      <c r="I351" s="239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</row>
    <row r="352" spans="1:28" ht="24" customHeight="1" x14ac:dyDescent="0.55000000000000004">
      <c r="A352" s="238"/>
      <c r="E352" s="239"/>
      <c r="F352" s="239"/>
      <c r="G352" s="239"/>
      <c r="H352" s="239"/>
      <c r="I352" s="239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</row>
    <row r="353" spans="1:28" ht="24" customHeight="1" x14ac:dyDescent="0.55000000000000004">
      <c r="A353" s="238"/>
      <c r="E353" s="239"/>
      <c r="F353" s="239"/>
      <c r="G353" s="239"/>
      <c r="H353" s="239"/>
      <c r="I353" s="239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</row>
    <row r="354" spans="1:28" ht="24" customHeight="1" x14ac:dyDescent="0.55000000000000004">
      <c r="A354" s="238"/>
      <c r="E354" s="239"/>
      <c r="F354" s="239"/>
      <c r="G354" s="239"/>
      <c r="H354" s="239"/>
      <c r="I354" s="239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</row>
    <row r="355" spans="1:28" ht="24" customHeight="1" x14ac:dyDescent="0.55000000000000004">
      <c r="A355" s="238"/>
      <c r="E355" s="239"/>
      <c r="F355" s="239"/>
      <c r="G355" s="239"/>
      <c r="H355" s="239"/>
      <c r="I355" s="239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</row>
    <row r="356" spans="1:28" ht="24" customHeight="1" x14ac:dyDescent="0.55000000000000004">
      <c r="A356" s="238"/>
      <c r="E356" s="239"/>
      <c r="F356" s="239"/>
      <c r="G356" s="239"/>
      <c r="H356" s="239"/>
      <c r="I356" s="239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</row>
    <row r="357" spans="1:28" ht="24" customHeight="1" x14ac:dyDescent="0.55000000000000004">
      <c r="A357" s="238"/>
      <c r="E357" s="239"/>
      <c r="F357" s="239"/>
      <c r="G357" s="239"/>
      <c r="H357" s="239"/>
      <c r="I357" s="239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</row>
    <row r="358" spans="1:28" ht="24" customHeight="1" x14ac:dyDescent="0.55000000000000004">
      <c r="A358" s="238"/>
      <c r="E358" s="239"/>
      <c r="F358" s="239"/>
      <c r="G358" s="239"/>
      <c r="H358" s="239"/>
      <c r="I358" s="239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</row>
    <row r="359" spans="1:28" ht="24" customHeight="1" x14ac:dyDescent="0.55000000000000004">
      <c r="A359" s="238"/>
      <c r="E359" s="239"/>
      <c r="F359" s="239"/>
      <c r="G359" s="239"/>
      <c r="H359" s="239"/>
      <c r="I359" s="239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</row>
    <row r="360" spans="1:28" ht="24" customHeight="1" x14ac:dyDescent="0.55000000000000004">
      <c r="A360" s="238"/>
      <c r="E360" s="239"/>
      <c r="F360" s="239"/>
      <c r="G360" s="239"/>
      <c r="H360" s="239"/>
      <c r="I360" s="239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</row>
    <row r="361" spans="1:28" ht="24" customHeight="1" x14ac:dyDescent="0.55000000000000004">
      <c r="A361" s="238"/>
      <c r="E361" s="239"/>
      <c r="F361" s="239"/>
      <c r="G361" s="239"/>
      <c r="H361" s="239"/>
      <c r="I361" s="239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</row>
    <row r="362" spans="1:28" ht="24" customHeight="1" x14ac:dyDescent="0.55000000000000004">
      <c r="A362" s="238"/>
      <c r="E362" s="239"/>
      <c r="F362" s="239"/>
      <c r="G362" s="239"/>
      <c r="H362" s="239"/>
      <c r="I362" s="239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</row>
    <row r="363" spans="1:28" ht="24" customHeight="1" x14ac:dyDescent="0.55000000000000004">
      <c r="A363" s="238"/>
      <c r="E363" s="239"/>
      <c r="F363" s="239"/>
      <c r="G363" s="239"/>
      <c r="H363" s="239"/>
      <c r="I363" s="239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</row>
    <row r="364" spans="1:28" ht="24" customHeight="1" x14ac:dyDescent="0.55000000000000004">
      <c r="A364" s="238"/>
      <c r="E364" s="239"/>
      <c r="F364" s="239"/>
      <c r="G364" s="239"/>
      <c r="H364" s="239"/>
      <c r="I364" s="239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</row>
    <row r="365" spans="1:28" ht="24" customHeight="1" x14ac:dyDescent="0.55000000000000004">
      <c r="A365" s="238"/>
      <c r="E365" s="239"/>
      <c r="F365" s="239"/>
      <c r="G365" s="239"/>
      <c r="H365" s="239"/>
      <c r="I365" s="239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</row>
    <row r="366" spans="1:28" ht="24" customHeight="1" x14ac:dyDescent="0.55000000000000004">
      <c r="A366" s="238"/>
      <c r="E366" s="239"/>
      <c r="F366" s="239"/>
      <c r="G366" s="239"/>
      <c r="H366" s="239"/>
      <c r="I366" s="239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</row>
    <row r="367" spans="1:28" ht="24" customHeight="1" x14ac:dyDescent="0.55000000000000004">
      <c r="A367" s="238"/>
      <c r="E367" s="239"/>
      <c r="F367" s="239"/>
      <c r="G367" s="239"/>
      <c r="H367" s="239"/>
      <c r="I367" s="239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</row>
    <row r="368" spans="1:28" ht="24" customHeight="1" x14ac:dyDescent="0.55000000000000004">
      <c r="A368" s="238"/>
      <c r="E368" s="239"/>
      <c r="F368" s="239"/>
      <c r="G368" s="239"/>
      <c r="H368" s="239"/>
      <c r="I368" s="239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</row>
    <row r="369" spans="1:28" ht="24" customHeight="1" x14ac:dyDescent="0.55000000000000004">
      <c r="A369" s="238"/>
      <c r="E369" s="239"/>
      <c r="F369" s="239"/>
      <c r="G369" s="239"/>
      <c r="H369" s="239"/>
      <c r="I369" s="239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</row>
    <row r="370" spans="1:28" ht="24" customHeight="1" x14ac:dyDescent="0.55000000000000004">
      <c r="A370" s="238"/>
      <c r="E370" s="239"/>
      <c r="F370" s="239"/>
      <c r="G370" s="239"/>
      <c r="H370" s="239"/>
      <c r="I370" s="239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</row>
    <row r="371" spans="1:28" ht="24" customHeight="1" x14ac:dyDescent="0.55000000000000004">
      <c r="A371" s="238"/>
      <c r="E371" s="239"/>
      <c r="F371" s="239"/>
      <c r="G371" s="239"/>
      <c r="H371" s="239"/>
      <c r="I371" s="239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</row>
    <row r="372" spans="1:28" ht="24" customHeight="1" x14ac:dyDescent="0.55000000000000004">
      <c r="A372" s="238"/>
      <c r="E372" s="239"/>
      <c r="F372" s="239"/>
      <c r="G372" s="239"/>
      <c r="H372" s="239"/>
      <c r="I372" s="239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</row>
    <row r="373" spans="1:28" ht="24" customHeight="1" x14ac:dyDescent="0.55000000000000004">
      <c r="A373" s="238"/>
      <c r="E373" s="239"/>
      <c r="F373" s="239"/>
      <c r="G373" s="239"/>
      <c r="H373" s="239"/>
      <c r="I373" s="239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</row>
    <row r="374" spans="1:28" ht="24" customHeight="1" x14ac:dyDescent="0.55000000000000004">
      <c r="A374" s="238"/>
      <c r="E374" s="239"/>
      <c r="F374" s="239"/>
      <c r="G374" s="239"/>
      <c r="H374" s="239"/>
      <c r="I374" s="239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</row>
    <row r="375" spans="1:28" ht="24" customHeight="1" x14ac:dyDescent="0.55000000000000004">
      <c r="A375" s="238"/>
      <c r="E375" s="239"/>
      <c r="F375" s="239"/>
      <c r="G375" s="239"/>
      <c r="H375" s="239"/>
      <c r="I375" s="239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</row>
    <row r="376" spans="1:28" ht="24" customHeight="1" x14ac:dyDescent="0.55000000000000004">
      <c r="A376" s="238"/>
      <c r="E376" s="239"/>
      <c r="F376" s="239"/>
      <c r="G376" s="239"/>
      <c r="H376" s="239"/>
      <c r="I376" s="239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</row>
    <row r="377" spans="1:28" ht="24" customHeight="1" x14ac:dyDescent="0.55000000000000004">
      <c r="A377" s="238"/>
      <c r="E377" s="239"/>
      <c r="F377" s="239"/>
      <c r="G377" s="239"/>
      <c r="H377" s="239"/>
      <c r="I377" s="239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</row>
    <row r="378" spans="1:28" ht="24" customHeight="1" x14ac:dyDescent="0.55000000000000004">
      <c r="A378" s="238"/>
      <c r="E378" s="239"/>
      <c r="F378" s="239"/>
      <c r="G378" s="239"/>
      <c r="H378" s="239"/>
      <c r="I378" s="239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</row>
    <row r="379" spans="1:28" ht="24" customHeight="1" x14ac:dyDescent="0.55000000000000004">
      <c r="A379" s="238"/>
      <c r="E379" s="239"/>
      <c r="F379" s="239"/>
      <c r="G379" s="239"/>
      <c r="H379" s="239"/>
      <c r="I379" s="239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</row>
    <row r="380" spans="1:28" ht="24" customHeight="1" x14ac:dyDescent="0.55000000000000004">
      <c r="A380" s="238"/>
      <c r="E380" s="239"/>
      <c r="F380" s="239"/>
      <c r="G380" s="239"/>
      <c r="H380" s="239"/>
      <c r="I380" s="239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</row>
    <row r="381" spans="1:28" ht="24" customHeight="1" x14ac:dyDescent="0.55000000000000004">
      <c r="A381" s="238"/>
      <c r="E381" s="239"/>
      <c r="F381" s="239"/>
      <c r="G381" s="239"/>
      <c r="H381" s="239"/>
      <c r="I381" s="239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</row>
    <row r="382" spans="1:28" ht="24" customHeight="1" x14ac:dyDescent="0.55000000000000004">
      <c r="A382" s="238"/>
      <c r="E382" s="239"/>
      <c r="F382" s="239"/>
      <c r="G382" s="239"/>
      <c r="H382" s="239"/>
      <c r="I382" s="239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</row>
    <row r="383" spans="1:28" ht="24" customHeight="1" x14ac:dyDescent="0.55000000000000004">
      <c r="A383" s="238"/>
      <c r="E383" s="239"/>
      <c r="F383" s="239"/>
      <c r="G383" s="239"/>
      <c r="H383" s="239"/>
      <c r="I383" s="239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</row>
    <row r="384" spans="1:28" ht="24" customHeight="1" x14ac:dyDescent="0.55000000000000004">
      <c r="A384" s="238"/>
      <c r="E384" s="239"/>
      <c r="F384" s="239"/>
      <c r="G384" s="239"/>
      <c r="H384" s="239"/>
      <c r="I384" s="239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</row>
    <row r="385" spans="1:28" ht="24" customHeight="1" x14ac:dyDescent="0.55000000000000004">
      <c r="A385" s="238"/>
      <c r="E385" s="239"/>
      <c r="F385" s="239"/>
      <c r="G385" s="239"/>
      <c r="H385" s="239"/>
      <c r="I385" s="239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</row>
    <row r="386" spans="1:28" ht="24" customHeight="1" x14ac:dyDescent="0.55000000000000004">
      <c r="A386" s="238"/>
      <c r="E386" s="239"/>
      <c r="F386" s="239"/>
      <c r="G386" s="239"/>
      <c r="H386" s="239"/>
      <c r="I386" s="239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</row>
    <row r="387" spans="1:28" ht="24" customHeight="1" x14ac:dyDescent="0.55000000000000004">
      <c r="A387" s="238"/>
      <c r="E387" s="239"/>
      <c r="F387" s="239"/>
      <c r="G387" s="239"/>
      <c r="H387" s="239"/>
      <c r="I387" s="239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</row>
    <row r="388" spans="1:28" ht="24" customHeight="1" x14ac:dyDescent="0.55000000000000004">
      <c r="A388" s="238"/>
      <c r="E388" s="239"/>
      <c r="F388" s="239"/>
      <c r="G388" s="239"/>
      <c r="H388" s="239"/>
      <c r="I388" s="239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</row>
    <row r="389" spans="1:28" ht="24" customHeight="1" x14ac:dyDescent="0.55000000000000004">
      <c r="A389" s="238"/>
      <c r="E389" s="239"/>
      <c r="F389" s="239"/>
      <c r="G389" s="239"/>
      <c r="H389" s="239"/>
      <c r="I389" s="239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</row>
    <row r="390" spans="1:28" ht="24" customHeight="1" x14ac:dyDescent="0.55000000000000004">
      <c r="A390" s="238"/>
      <c r="E390" s="239"/>
      <c r="F390" s="239"/>
      <c r="G390" s="239"/>
      <c r="H390" s="239"/>
      <c r="I390" s="239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</row>
    <row r="391" spans="1:28" ht="24" customHeight="1" x14ac:dyDescent="0.55000000000000004">
      <c r="A391" s="238"/>
      <c r="E391" s="239"/>
      <c r="F391" s="239"/>
      <c r="G391" s="239"/>
      <c r="H391" s="239"/>
      <c r="I391" s="239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</row>
    <row r="392" spans="1:28" ht="24" customHeight="1" x14ac:dyDescent="0.55000000000000004">
      <c r="A392" s="238"/>
      <c r="E392" s="239"/>
      <c r="F392" s="239"/>
      <c r="G392" s="239"/>
      <c r="H392" s="239"/>
      <c r="I392" s="239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</row>
    <row r="393" spans="1:28" ht="24" customHeight="1" x14ac:dyDescent="0.55000000000000004">
      <c r="A393" s="238"/>
      <c r="E393" s="239"/>
      <c r="F393" s="239"/>
      <c r="G393" s="239"/>
      <c r="H393" s="239"/>
      <c r="I393" s="239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</row>
    <row r="394" spans="1:28" ht="24" customHeight="1" x14ac:dyDescent="0.55000000000000004">
      <c r="A394" s="238"/>
      <c r="E394" s="239"/>
      <c r="F394" s="239"/>
      <c r="G394" s="239"/>
      <c r="H394" s="239"/>
      <c r="I394" s="239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</row>
    <row r="395" spans="1:28" ht="24" customHeight="1" x14ac:dyDescent="0.55000000000000004">
      <c r="A395" s="238"/>
      <c r="E395" s="239"/>
      <c r="F395" s="239"/>
      <c r="G395" s="239"/>
      <c r="H395" s="239"/>
      <c r="I395" s="239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</row>
    <row r="396" spans="1:28" ht="24" customHeight="1" x14ac:dyDescent="0.55000000000000004">
      <c r="A396" s="238"/>
      <c r="E396" s="239"/>
      <c r="F396" s="239"/>
      <c r="G396" s="239"/>
      <c r="H396" s="239"/>
      <c r="I396" s="239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</row>
    <row r="397" spans="1:28" ht="24" customHeight="1" x14ac:dyDescent="0.55000000000000004">
      <c r="A397" s="238"/>
      <c r="E397" s="239"/>
      <c r="F397" s="239"/>
      <c r="G397" s="239"/>
      <c r="H397" s="239"/>
      <c r="I397" s="239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</row>
    <row r="398" spans="1:28" ht="24" customHeight="1" x14ac:dyDescent="0.55000000000000004">
      <c r="A398" s="238"/>
      <c r="E398" s="239"/>
      <c r="F398" s="239"/>
      <c r="G398" s="239"/>
      <c r="H398" s="239"/>
      <c r="I398" s="239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</row>
    <row r="399" spans="1:28" ht="24" customHeight="1" x14ac:dyDescent="0.55000000000000004">
      <c r="A399" s="238"/>
      <c r="E399" s="239"/>
      <c r="F399" s="239"/>
      <c r="G399" s="239"/>
      <c r="H399" s="239"/>
      <c r="I399" s="239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</row>
    <row r="400" spans="1:28" ht="24" customHeight="1" x14ac:dyDescent="0.55000000000000004">
      <c r="A400" s="238"/>
      <c r="E400" s="239"/>
      <c r="F400" s="239"/>
      <c r="G400" s="239"/>
      <c r="H400" s="239"/>
      <c r="I400" s="239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</row>
    <row r="401" spans="1:28" ht="24" customHeight="1" x14ac:dyDescent="0.55000000000000004">
      <c r="A401" s="238"/>
      <c r="E401" s="239"/>
      <c r="F401" s="239"/>
      <c r="G401" s="239"/>
      <c r="H401" s="239"/>
      <c r="I401" s="239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</row>
    <row r="402" spans="1:28" ht="24" customHeight="1" x14ac:dyDescent="0.55000000000000004">
      <c r="A402" s="238"/>
      <c r="E402" s="239"/>
      <c r="F402" s="239"/>
      <c r="G402" s="239"/>
      <c r="H402" s="239"/>
      <c r="I402" s="239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</row>
    <row r="403" spans="1:28" ht="24" customHeight="1" x14ac:dyDescent="0.55000000000000004">
      <c r="A403" s="238"/>
      <c r="E403" s="239"/>
      <c r="F403" s="239"/>
      <c r="G403" s="239"/>
      <c r="H403" s="239"/>
      <c r="I403" s="239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</row>
    <row r="404" spans="1:28" ht="24" customHeight="1" x14ac:dyDescent="0.55000000000000004">
      <c r="A404" s="238"/>
      <c r="E404" s="239"/>
      <c r="F404" s="239"/>
      <c r="G404" s="239"/>
      <c r="H404" s="239"/>
      <c r="I404" s="239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</row>
    <row r="405" spans="1:28" ht="24" customHeight="1" x14ac:dyDescent="0.55000000000000004">
      <c r="A405" s="238"/>
      <c r="E405" s="239"/>
      <c r="F405" s="239"/>
      <c r="G405" s="239"/>
      <c r="H405" s="239"/>
      <c r="I405" s="239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</row>
    <row r="406" spans="1:28" ht="24" customHeight="1" x14ac:dyDescent="0.55000000000000004">
      <c r="A406" s="238"/>
      <c r="E406" s="239"/>
      <c r="F406" s="239"/>
      <c r="G406" s="239"/>
      <c r="H406" s="239"/>
      <c r="I406" s="239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</row>
    <row r="407" spans="1:28" ht="24" customHeight="1" x14ac:dyDescent="0.55000000000000004">
      <c r="A407" s="238"/>
      <c r="E407" s="239"/>
      <c r="F407" s="239"/>
      <c r="G407" s="239"/>
      <c r="H407" s="239"/>
      <c r="I407" s="239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</row>
    <row r="408" spans="1:28" ht="24" customHeight="1" x14ac:dyDescent="0.55000000000000004">
      <c r="A408" s="238"/>
      <c r="E408" s="239"/>
      <c r="F408" s="239"/>
      <c r="G408" s="239"/>
      <c r="H408" s="239"/>
      <c r="I408" s="239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</row>
    <row r="409" spans="1:28" ht="24" customHeight="1" x14ac:dyDescent="0.55000000000000004">
      <c r="A409" s="238"/>
      <c r="E409" s="239"/>
      <c r="F409" s="239"/>
      <c r="G409" s="239"/>
      <c r="H409" s="239"/>
      <c r="I409" s="239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</row>
    <row r="410" spans="1:28" ht="24" customHeight="1" x14ac:dyDescent="0.55000000000000004">
      <c r="A410" s="238"/>
      <c r="E410" s="239"/>
      <c r="F410" s="239"/>
      <c r="G410" s="239"/>
      <c r="H410" s="239"/>
      <c r="I410" s="239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</row>
    <row r="411" spans="1:28" ht="24" customHeight="1" x14ac:dyDescent="0.55000000000000004">
      <c r="A411" s="238"/>
      <c r="E411" s="239"/>
      <c r="F411" s="239"/>
      <c r="G411" s="239"/>
      <c r="H411" s="239"/>
      <c r="I411" s="239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</row>
    <row r="412" spans="1:28" ht="24" customHeight="1" x14ac:dyDescent="0.55000000000000004">
      <c r="A412" s="238"/>
      <c r="E412" s="239"/>
      <c r="F412" s="239"/>
      <c r="G412" s="239"/>
      <c r="H412" s="239"/>
      <c r="I412" s="239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</row>
    <row r="413" spans="1:28" ht="24" customHeight="1" x14ac:dyDescent="0.55000000000000004">
      <c r="A413" s="238"/>
      <c r="E413" s="239"/>
      <c r="F413" s="239"/>
      <c r="G413" s="239"/>
      <c r="H413" s="239"/>
      <c r="I413" s="239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</row>
    <row r="414" spans="1:28" ht="24" customHeight="1" x14ac:dyDescent="0.55000000000000004">
      <c r="A414" s="238"/>
      <c r="E414" s="239"/>
      <c r="F414" s="239"/>
      <c r="G414" s="239"/>
      <c r="H414" s="239"/>
      <c r="I414" s="239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</row>
    <row r="415" spans="1:28" ht="24" customHeight="1" x14ac:dyDescent="0.55000000000000004">
      <c r="A415" s="238"/>
      <c r="E415" s="239"/>
      <c r="F415" s="239"/>
      <c r="G415" s="239"/>
      <c r="H415" s="239"/>
      <c r="I415" s="239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</row>
    <row r="416" spans="1:28" ht="24" customHeight="1" x14ac:dyDescent="0.55000000000000004">
      <c r="A416" s="238"/>
      <c r="E416" s="239"/>
      <c r="F416" s="239"/>
      <c r="G416" s="239"/>
      <c r="H416" s="239"/>
      <c r="I416" s="239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</row>
    <row r="417" spans="1:28" ht="24" customHeight="1" x14ac:dyDescent="0.55000000000000004">
      <c r="A417" s="238"/>
      <c r="E417" s="239"/>
      <c r="F417" s="239"/>
      <c r="G417" s="239"/>
      <c r="H417" s="239"/>
      <c r="I417" s="239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</row>
    <row r="418" spans="1:28" ht="24" customHeight="1" x14ac:dyDescent="0.55000000000000004">
      <c r="A418" s="238"/>
      <c r="E418" s="239"/>
      <c r="F418" s="239"/>
      <c r="G418" s="239"/>
      <c r="H418" s="239"/>
      <c r="I418" s="239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</row>
    <row r="419" spans="1:28" ht="24" customHeight="1" x14ac:dyDescent="0.55000000000000004">
      <c r="A419" s="238"/>
      <c r="E419" s="239"/>
      <c r="F419" s="239"/>
      <c r="G419" s="239"/>
      <c r="H419" s="239"/>
      <c r="I419" s="239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</row>
    <row r="420" spans="1:28" ht="24" customHeight="1" x14ac:dyDescent="0.55000000000000004">
      <c r="A420" s="238"/>
      <c r="E420" s="239"/>
      <c r="F420" s="239"/>
      <c r="G420" s="239"/>
      <c r="H420" s="239"/>
      <c r="I420" s="239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</row>
    <row r="421" spans="1:28" ht="24" customHeight="1" x14ac:dyDescent="0.55000000000000004">
      <c r="A421" s="238"/>
      <c r="E421" s="239"/>
      <c r="F421" s="239"/>
      <c r="G421" s="239"/>
      <c r="H421" s="239"/>
      <c r="I421" s="239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</row>
    <row r="422" spans="1:28" ht="24" customHeight="1" x14ac:dyDescent="0.55000000000000004">
      <c r="A422" s="238"/>
      <c r="E422" s="239"/>
      <c r="F422" s="239"/>
      <c r="G422" s="239"/>
      <c r="H422" s="239"/>
      <c r="I422" s="239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</row>
    <row r="423" spans="1:28" ht="24" customHeight="1" x14ac:dyDescent="0.55000000000000004">
      <c r="A423" s="238"/>
      <c r="E423" s="239"/>
      <c r="F423" s="239"/>
      <c r="G423" s="239"/>
      <c r="H423" s="239"/>
      <c r="I423" s="239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</row>
    <row r="424" spans="1:28" ht="24" customHeight="1" x14ac:dyDescent="0.55000000000000004">
      <c r="A424" s="238"/>
      <c r="E424" s="239"/>
      <c r="F424" s="239"/>
      <c r="G424" s="239"/>
      <c r="H424" s="239"/>
      <c r="I424" s="239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</row>
    <row r="425" spans="1:28" ht="24" customHeight="1" x14ac:dyDescent="0.55000000000000004">
      <c r="A425" s="238"/>
      <c r="E425" s="239"/>
      <c r="F425" s="239"/>
      <c r="G425" s="239"/>
      <c r="H425" s="239"/>
      <c r="I425" s="239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</row>
    <row r="426" spans="1:28" ht="24" customHeight="1" x14ac:dyDescent="0.55000000000000004">
      <c r="A426" s="238"/>
      <c r="E426" s="239"/>
      <c r="F426" s="239"/>
      <c r="G426" s="239"/>
      <c r="H426" s="239"/>
      <c r="I426" s="239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</row>
    <row r="427" spans="1:28" ht="24" customHeight="1" x14ac:dyDescent="0.55000000000000004">
      <c r="A427" s="238"/>
      <c r="E427" s="239"/>
      <c r="F427" s="239"/>
      <c r="G427" s="239"/>
      <c r="H427" s="239"/>
      <c r="I427" s="239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</row>
    <row r="428" spans="1:28" ht="24" customHeight="1" x14ac:dyDescent="0.55000000000000004">
      <c r="A428" s="238"/>
      <c r="E428" s="239"/>
      <c r="F428" s="239"/>
      <c r="G428" s="239"/>
      <c r="H428" s="239"/>
      <c r="I428" s="239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</row>
    <row r="429" spans="1:28" ht="24" customHeight="1" x14ac:dyDescent="0.55000000000000004">
      <c r="A429" s="238"/>
      <c r="E429" s="239"/>
      <c r="F429" s="239"/>
      <c r="G429" s="239"/>
      <c r="H429" s="239"/>
      <c r="I429" s="239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</row>
    <row r="430" spans="1:28" ht="24" customHeight="1" x14ac:dyDescent="0.55000000000000004">
      <c r="A430" s="238"/>
      <c r="E430" s="239"/>
      <c r="F430" s="239"/>
      <c r="G430" s="239"/>
      <c r="H430" s="239"/>
      <c r="I430" s="239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</row>
    <row r="431" spans="1:28" ht="24" customHeight="1" x14ac:dyDescent="0.55000000000000004">
      <c r="A431" s="238"/>
      <c r="E431" s="239"/>
      <c r="F431" s="239"/>
      <c r="G431" s="239"/>
      <c r="H431" s="239"/>
      <c r="I431" s="239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</row>
    <row r="432" spans="1:28" ht="24" customHeight="1" x14ac:dyDescent="0.55000000000000004">
      <c r="A432" s="238"/>
      <c r="E432" s="239"/>
      <c r="F432" s="239"/>
      <c r="G432" s="239"/>
      <c r="H432" s="239"/>
      <c r="I432" s="239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</row>
    <row r="433" spans="1:28" ht="24" customHeight="1" x14ac:dyDescent="0.55000000000000004">
      <c r="A433" s="238"/>
      <c r="E433" s="239"/>
      <c r="F433" s="239"/>
      <c r="G433" s="239"/>
      <c r="H433" s="239"/>
      <c r="I433" s="239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</row>
    <row r="434" spans="1:28" ht="24" customHeight="1" x14ac:dyDescent="0.55000000000000004">
      <c r="A434" s="238"/>
      <c r="E434" s="239"/>
      <c r="F434" s="239"/>
      <c r="G434" s="239"/>
      <c r="H434" s="239"/>
      <c r="I434" s="239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</row>
    <row r="435" spans="1:28" ht="24" customHeight="1" x14ac:dyDescent="0.55000000000000004">
      <c r="A435" s="238"/>
      <c r="E435" s="239"/>
      <c r="F435" s="239"/>
      <c r="G435" s="239"/>
      <c r="H435" s="239"/>
      <c r="I435" s="239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</row>
    <row r="436" spans="1:28" ht="24" customHeight="1" x14ac:dyDescent="0.55000000000000004">
      <c r="A436" s="238"/>
      <c r="E436" s="239"/>
      <c r="F436" s="239"/>
      <c r="G436" s="239"/>
      <c r="H436" s="239"/>
      <c r="I436" s="239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</row>
    <row r="437" spans="1:28" ht="24" customHeight="1" x14ac:dyDescent="0.55000000000000004">
      <c r="A437" s="238"/>
      <c r="E437" s="239"/>
      <c r="F437" s="239"/>
      <c r="G437" s="239"/>
      <c r="H437" s="239"/>
      <c r="I437" s="239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</row>
    <row r="438" spans="1:28" ht="24" customHeight="1" x14ac:dyDescent="0.55000000000000004">
      <c r="A438" s="238"/>
      <c r="E438" s="239"/>
      <c r="F438" s="239"/>
      <c r="G438" s="239"/>
      <c r="H438" s="239"/>
      <c r="I438" s="239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</row>
    <row r="439" spans="1:28" ht="24" customHeight="1" x14ac:dyDescent="0.55000000000000004">
      <c r="A439" s="238"/>
      <c r="E439" s="239"/>
      <c r="F439" s="239"/>
      <c r="G439" s="239"/>
      <c r="H439" s="239"/>
      <c r="I439" s="239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</row>
    <row r="440" spans="1:28" ht="24" customHeight="1" x14ac:dyDescent="0.55000000000000004">
      <c r="A440" s="238"/>
      <c r="E440" s="239"/>
      <c r="F440" s="239"/>
      <c r="G440" s="239"/>
      <c r="H440" s="239"/>
      <c r="I440" s="239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</row>
    <row r="441" spans="1:28" ht="24" customHeight="1" x14ac:dyDescent="0.55000000000000004">
      <c r="A441" s="238"/>
      <c r="E441" s="239"/>
      <c r="F441" s="239"/>
      <c r="G441" s="239"/>
      <c r="H441" s="239"/>
      <c r="I441" s="239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</row>
    <row r="442" spans="1:28" ht="24" customHeight="1" x14ac:dyDescent="0.55000000000000004">
      <c r="A442" s="238"/>
      <c r="E442" s="239"/>
      <c r="F442" s="239"/>
      <c r="G442" s="239"/>
      <c r="H442" s="239"/>
      <c r="I442" s="239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</row>
    <row r="443" spans="1:28" ht="24" customHeight="1" x14ac:dyDescent="0.55000000000000004">
      <c r="A443" s="238"/>
      <c r="E443" s="239"/>
      <c r="F443" s="239"/>
      <c r="G443" s="239"/>
      <c r="H443" s="239"/>
      <c r="I443" s="239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</row>
    <row r="444" spans="1:28" ht="24" customHeight="1" x14ac:dyDescent="0.55000000000000004">
      <c r="A444" s="238"/>
      <c r="E444" s="239"/>
      <c r="F444" s="239"/>
      <c r="G444" s="239"/>
      <c r="H444" s="239"/>
      <c r="I444" s="239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</row>
    <row r="445" spans="1:28" ht="24" customHeight="1" x14ac:dyDescent="0.55000000000000004">
      <c r="A445" s="238"/>
      <c r="E445" s="239"/>
      <c r="F445" s="239"/>
      <c r="G445" s="239"/>
      <c r="H445" s="239"/>
      <c r="I445" s="239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</row>
    <row r="446" spans="1:28" ht="24" customHeight="1" x14ac:dyDescent="0.55000000000000004">
      <c r="A446" s="238"/>
      <c r="E446" s="239"/>
      <c r="F446" s="239"/>
      <c r="G446" s="239"/>
      <c r="H446" s="239"/>
      <c r="I446" s="239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</row>
    <row r="447" spans="1:28" ht="24" customHeight="1" x14ac:dyDescent="0.55000000000000004">
      <c r="A447" s="238"/>
      <c r="E447" s="239"/>
      <c r="F447" s="239"/>
      <c r="G447" s="239"/>
      <c r="H447" s="239"/>
      <c r="I447" s="239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</row>
    <row r="448" spans="1:28" ht="24" customHeight="1" x14ac:dyDescent="0.55000000000000004">
      <c r="A448" s="238"/>
      <c r="E448" s="239"/>
      <c r="F448" s="239"/>
      <c r="G448" s="239"/>
      <c r="H448" s="239"/>
      <c r="I448" s="239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</row>
    <row r="449" spans="1:28" ht="24" customHeight="1" x14ac:dyDescent="0.55000000000000004">
      <c r="A449" s="238"/>
      <c r="E449" s="239"/>
      <c r="F449" s="239"/>
      <c r="G449" s="239"/>
      <c r="H449" s="239"/>
      <c r="I449" s="239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</row>
    <row r="450" spans="1:28" ht="24" customHeight="1" x14ac:dyDescent="0.55000000000000004">
      <c r="A450" s="238"/>
      <c r="E450" s="239"/>
      <c r="F450" s="239"/>
      <c r="G450" s="239"/>
      <c r="H450" s="239"/>
      <c r="I450" s="239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</row>
    <row r="451" spans="1:28" ht="24" customHeight="1" x14ac:dyDescent="0.55000000000000004">
      <c r="A451" s="238"/>
      <c r="E451" s="239"/>
      <c r="F451" s="239"/>
      <c r="G451" s="239"/>
      <c r="H451" s="239"/>
      <c r="I451" s="239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</row>
    <row r="452" spans="1:28" ht="24" customHeight="1" x14ac:dyDescent="0.55000000000000004">
      <c r="A452" s="238"/>
      <c r="E452" s="239"/>
      <c r="F452" s="239"/>
      <c r="G452" s="239"/>
      <c r="H452" s="239"/>
      <c r="I452" s="239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</row>
    <row r="453" spans="1:28" ht="24" customHeight="1" x14ac:dyDescent="0.55000000000000004">
      <c r="A453" s="238"/>
      <c r="E453" s="239"/>
      <c r="F453" s="239"/>
      <c r="G453" s="239"/>
      <c r="H453" s="239"/>
      <c r="I453" s="239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</row>
    <row r="454" spans="1:28" ht="24" customHeight="1" x14ac:dyDescent="0.55000000000000004">
      <c r="A454" s="238"/>
      <c r="E454" s="239"/>
      <c r="F454" s="239"/>
      <c r="G454" s="239"/>
      <c r="H454" s="239"/>
      <c r="I454" s="239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</row>
    <row r="455" spans="1:28" ht="24" customHeight="1" x14ac:dyDescent="0.55000000000000004">
      <c r="A455" s="238"/>
      <c r="E455" s="239"/>
      <c r="F455" s="239"/>
      <c r="G455" s="239"/>
      <c r="H455" s="239"/>
      <c r="I455" s="239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</row>
    <row r="456" spans="1:28" ht="24" customHeight="1" x14ac:dyDescent="0.55000000000000004">
      <c r="A456" s="238"/>
      <c r="E456" s="239"/>
      <c r="F456" s="239"/>
      <c r="G456" s="239"/>
      <c r="H456" s="239"/>
      <c r="I456" s="239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</row>
    <row r="457" spans="1:28" ht="24" customHeight="1" x14ac:dyDescent="0.55000000000000004">
      <c r="A457" s="238"/>
      <c r="E457" s="239"/>
      <c r="F457" s="239"/>
      <c r="G457" s="239"/>
      <c r="H457" s="239"/>
      <c r="I457" s="239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</row>
    <row r="458" spans="1:28" ht="24" customHeight="1" x14ac:dyDescent="0.55000000000000004">
      <c r="A458" s="238"/>
      <c r="E458" s="239"/>
      <c r="F458" s="239"/>
      <c r="G458" s="239"/>
      <c r="H458" s="239"/>
      <c r="I458" s="239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</row>
    <row r="459" spans="1:28" ht="24" customHeight="1" x14ac:dyDescent="0.55000000000000004">
      <c r="A459" s="238"/>
      <c r="E459" s="239"/>
      <c r="F459" s="239"/>
      <c r="G459" s="239"/>
      <c r="H459" s="239"/>
      <c r="I459" s="239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</row>
    <row r="460" spans="1:28" ht="24" customHeight="1" x14ac:dyDescent="0.55000000000000004">
      <c r="A460" s="238"/>
      <c r="E460" s="239"/>
      <c r="F460" s="239"/>
      <c r="G460" s="239"/>
      <c r="H460" s="239"/>
      <c r="I460" s="239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</row>
    <row r="461" spans="1:28" ht="24" customHeight="1" x14ac:dyDescent="0.55000000000000004">
      <c r="A461" s="238"/>
      <c r="E461" s="239"/>
      <c r="F461" s="239"/>
      <c r="G461" s="239"/>
      <c r="H461" s="239"/>
      <c r="I461" s="239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</row>
    <row r="462" spans="1:28" ht="24" customHeight="1" x14ac:dyDescent="0.55000000000000004">
      <c r="A462" s="238"/>
      <c r="E462" s="239"/>
      <c r="F462" s="239"/>
      <c r="G462" s="239"/>
      <c r="H462" s="239"/>
      <c r="I462" s="239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</row>
    <row r="463" spans="1:28" ht="24" customHeight="1" x14ac:dyDescent="0.55000000000000004">
      <c r="A463" s="238"/>
      <c r="E463" s="239"/>
      <c r="F463" s="239"/>
      <c r="G463" s="239"/>
      <c r="H463" s="239"/>
      <c r="I463" s="239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</row>
    <row r="464" spans="1:28" ht="24" customHeight="1" x14ac:dyDescent="0.55000000000000004">
      <c r="A464" s="238"/>
      <c r="E464" s="239"/>
      <c r="F464" s="239"/>
      <c r="G464" s="239"/>
      <c r="H464" s="239"/>
      <c r="I464" s="239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</row>
    <row r="465" spans="1:28" ht="24" customHeight="1" x14ac:dyDescent="0.55000000000000004">
      <c r="A465" s="238"/>
      <c r="E465" s="239"/>
      <c r="F465" s="239"/>
      <c r="G465" s="239"/>
      <c r="H465" s="239"/>
      <c r="I465" s="239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</row>
    <row r="466" spans="1:28" ht="24" customHeight="1" x14ac:dyDescent="0.55000000000000004">
      <c r="A466" s="238"/>
      <c r="E466" s="239"/>
      <c r="F466" s="239"/>
      <c r="G466" s="239"/>
      <c r="H466" s="239"/>
      <c r="I466" s="239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</row>
    <row r="467" spans="1:28" ht="24" customHeight="1" x14ac:dyDescent="0.55000000000000004">
      <c r="A467" s="238"/>
      <c r="E467" s="239"/>
      <c r="F467" s="239"/>
      <c r="G467" s="239"/>
      <c r="H467" s="239"/>
      <c r="I467" s="239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</row>
    <row r="468" spans="1:28" ht="24" customHeight="1" x14ac:dyDescent="0.55000000000000004">
      <c r="A468" s="238"/>
      <c r="E468" s="239"/>
      <c r="F468" s="239"/>
      <c r="G468" s="239"/>
      <c r="H468" s="239"/>
      <c r="I468" s="239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</row>
    <row r="469" spans="1:28" ht="24" customHeight="1" x14ac:dyDescent="0.55000000000000004">
      <c r="A469" s="238"/>
      <c r="E469" s="239"/>
      <c r="F469" s="239"/>
      <c r="G469" s="239"/>
      <c r="H469" s="239"/>
      <c r="I469" s="239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</row>
    <row r="470" spans="1:28" ht="24" customHeight="1" x14ac:dyDescent="0.55000000000000004">
      <c r="A470" s="238"/>
      <c r="E470" s="239"/>
      <c r="F470" s="239"/>
      <c r="G470" s="239"/>
      <c r="H470" s="239"/>
      <c r="I470" s="239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</row>
    <row r="471" spans="1:28" ht="24" customHeight="1" x14ac:dyDescent="0.55000000000000004">
      <c r="A471" s="238"/>
      <c r="E471" s="239"/>
      <c r="F471" s="239"/>
      <c r="G471" s="239"/>
      <c r="H471" s="239"/>
      <c r="I471" s="239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</row>
    <row r="472" spans="1:28" ht="24" customHeight="1" x14ac:dyDescent="0.55000000000000004">
      <c r="A472" s="238"/>
      <c r="E472" s="239"/>
      <c r="F472" s="239"/>
      <c r="G472" s="239"/>
      <c r="H472" s="239"/>
      <c r="I472" s="239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</row>
    <row r="473" spans="1:28" ht="24" customHeight="1" x14ac:dyDescent="0.55000000000000004">
      <c r="A473" s="238"/>
      <c r="E473" s="239"/>
      <c r="F473" s="239"/>
      <c r="G473" s="239"/>
      <c r="H473" s="239"/>
      <c r="I473" s="239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</row>
    <row r="474" spans="1:28" ht="24" customHeight="1" x14ac:dyDescent="0.55000000000000004">
      <c r="A474" s="238"/>
      <c r="E474" s="239"/>
      <c r="F474" s="239"/>
      <c r="G474" s="239"/>
      <c r="H474" s="239"/>
      <c r="I474" s="239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</row>
    <row r="475" spans="1:28" ht="24" customHeight="1" x14ac:dyDescent="0.55000000000000004">
      <c r="A475" s="238"/>
      <c r="E475" s="239"/>
      <c r="F475" s="239"/>
      <c r="G475" s="239"/>
      <c r="H475" s="239"/>
      <c r="I475" s="239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</row>
    <row r="476" spans="1:28" ht="24" customHeight="1" x14ac:dyDescent="0.55000000000000004">
      <c r="A476" s="238"/>
      <c r="E476" s="239"/>
      <c r="F476" s="239"/>
      <c r="G476" s="239"/>
      <c r="H476" s="239"/>
      <c r="I476" s="239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</row>
    <row r="477" spans="1:28" ht="24" customHeight="1" x14ac:dyDescent="0.55000000000000004">
      <c r="A477" s="238"/>
      <c r="E477" s="239"/>
      <c r="F477" s="239"/>
      <c r="G477" s="239"/>
      <c r="H477" s="239"/>
      <c r="I477" s="239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</row>
    <row r="478" spans="1:28" ht="24" customHeight="1" x14ac:dyDescent="0.55000000000000004">
      <c r="A478" s="238"/>
      <c r="E478" s="239"/>
      <c r="F478" s="239"/>
      <c r="G478" s="239"/>
      <c r="H478" s="239"/>
      <c r="I478" s="239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</row>
    <row r="479" spans="1:28" ht="24" customHeight="1" x14ac:dyDescent="0.55000000000000004">
      <c r="A479" s="238"/>
      <c r="E479" s="239"/>
      <c r="F479" s="239"/>
      <c r="G479" s="239"/>
      <c r="H479" s="239"/>
      <c r="I479" s="239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</row>
    <row r="480" spans="1:28" ht="24" customHeight="1" x14ac:dyDescent="0.55000000000000004">
      <c r="A480" s="238"/>
      <c r="E480" s="239"/>
      <c r="F480" s="239"/>
      <c r="G480" s="239"/>
      <c r="H480" s="239"/>
      <c r="I480" s="239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</row>
    <row r="481" spans="1:28" ht="24" customHeight="1" x14ac:dyDescent="0.55000000000000004">
      <c r="A481" s="238"/>
      <c r="E481" s="239"/>
      <c r="F481" s="239"/>
      <c r="G481" s="239"/>
      <c r="H481" s="239"/>
      <c r="I481" s="239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</row>
    <row r="482" spans="1:28" ht="24" customHeight="1" x14ac:dyDescent="0.55000000000000004">
      <c r="A482" s="238"/>
      <c r="E482" s="239"/>
      <c r="F482" s="239"/>
      <c r="G482" s="239"/>
      <c r="H482" s="239"/>
      <c r="I482" s="239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</row>
    <row r="483" spans="1:28" ht="24" customHeight="1" x14ac:dyDescent="0.55000000000000004">
      <c r="A483" s="238"/>
      <c r="E483" s="239"/>
      <c r="F483" s="239"/>
      <c r="G483" s="239"/>
      <c r="H483" s="239"/>
      <c r="I483" s="239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</row>
    <row r="484" spans="1:28" ht="24" customHeight="1" x14ac:dyDescent="0.55000000000000004">
      <c r="A484" s="238"/>
      <c r="E484" s="239"/>
      <c r="F484" s="239"/>
      <c r="G484" s="239"/>
      <c r="H484" s="239"/>
      <c r="I484" s="239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</row>
    <row r="485" spans="1:28" ht="24" customHeight="1" x14ac:dyDescent="0.55000000000000004">
      <c r="A485" s="238"/>
      <c r="E485" s="239"/>
      <c r="F485" s="239"/>
      <c r="G485" s="239"/>
      <c r="H485" s="239"/>
      <c r="I485" s="239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</row>
    <row r="486" spans="1:28" ht="24" customHeight="1" x14ac:dyDescent="0.55000000000000004">
      <c r="A486" s="238"/>
      <c r="E486" s="239"/>
      <c r="F486" s="239"/>
      <c r="G486" s="239"/>
      <c r="H486" s="239"/>
      <c r="I486" s="239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</row>
    <row r="487" spans="1:28" ht="24" customHeight="1" x14ac:dyDescent="0.55000000000000004">
      <c r="A487" s="238"/>
      <c r="E487" s="239"/>
      <c r="F487" s="239"/>
      <c r="G487" s="239"/>
      <c r="H487" s="239"/>
      <c r="I487" s="239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</row>
    <row r="488" spans="1:28" ht="24" customHeight="1" x14ac:dyDescent="0.55000000000000004">
      <c r="A488" s="238"/>
      <c r="E488" s="239"/>
      <c r="F488" s="239"/>
      <c r="G488" s="239"/>
      <c r="H488" s="239"/>
      <c r="I488" s="239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</row>
    <row r="489" spans="1:28" ht="24" customHeight="1" x14ac:dyDescent="0.55000000000000004">
      <c r="A489" s="238"/>
      <c r="E489" s="239"/>
      <c r="F489" s="239"/>
      <c r="G489" s="239"/>
      <c r="H489" s="239"/>
      <c r="I489" s="239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</row>
    <row r="490" spans="1:28" ht="24" customHeight="1" x14ac:dyDescent="0.55000000000000004">
      <c r="A490" s="238"/>
      <c r="E490" s="239"/>
      <c r="F490" s="239"/>
      <c r="G490" s="239"/>
      <c r="H490" s="239"/>
      <c r="I490" s="239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</row>
    <row r="491" spans="1:28" ht="24" customHeight="1" x14ac:dyDescent="0.55000000000000004">
      <c r="A491" s="238"/>
      <c r="E491" s="239"/>
      <c r="F491" s="239"/>
      <c r="G491" s="239"/>
      <c r="H491" s="239"/>
      <c r="I491" s="239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</row>
    <row r="492" spans="1:28" ht="24" customHeight="1" x14ac:dyDescent="0.55000000000000004">
      <c r="A492" s="238"/>
      <c r="E492" s="239"/>
      <c r="F492" s="239"/>
      <c r="G492" s="239"/>
      <c r="H492" s="239"/>
      <c r="I492" s="239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</row>
    <row r="493" spans="1:28" ht="24" customHeight="1" x14ac:dyDescent="0.55000000000000004">
      <c r="A493" s="238"/>
      <c r="E493" s="239"/>
      <c r="F493" s="239"/>
      <c r="G493" s="239"/>
      <c r="H493" s="239"/>
      <c r="I493" s="239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</row>
    <row r="494" spans="1:28" ht="24" customHeight="1" x14ac:dyDescent="0.55000000000000004">
      <c r="A494" s="238"/>
      <c r="E494" s="239"/>
      <c r="F494" s="239"/>
      <c r="G494" s="239"/>
      <c r="H494" s="239"/>
      <c r="I494" s="239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</row>
    <row r="495" spans="1:28" ht="24" customHeight="1" x14ac:dyDescent="0.55000000000000004">
      <c r="A495" s="238"/>
      <c r="E495" s="239"/>
      <c r="F495" s="239"/>
      <c r="G495" s="239"/>
      <c r="H495" s="239"/>
      <c r="I495" s="239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</row>
    <row r="496" spans="1:28" ht="24" customHeight="1" x14ac:dyDescent="0.55000000000000004">
      <c r="A496" s="238"/>
      <c r="E496" s="239"/>
      <c r="F496" s="239"/>
      <c r="G496" s="239"/>
      <c r="H496" s="239"/>
      <c r="I496" s="239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</row>
    <row r="497" spans="1:28" ht="24" customHeight="1" x14ac:dyDescent="0.55000000000000004">
      <c r="A497" s="238"/>
      <c r="E497" s="239"/>
      <c r="F497" s="239"/>
      <c r="G497" s="239"/>
      <c r="H497" s="239"/>
      <c r="I497" s="239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</row>
    <row r="498" spans="1:28" ht="24" customHeight="1" x14ac:dyDescent="0.55000000000000004">
      <c r="A498" s="238"/>
      <c r="E498" s="239"/>
      <c r="F498" s="239"/>
      <c r="G498" s="239"/>
      <c r="H498" s="239"/>
      <c r="I498" s="239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</row>
    <row r="499" spans="1:28" ht="24" customHeight="1" x14ac:dyDescent="0.55000000000000004">
      <c r="A499" s="238"/>
      <c r="E499" s="239"/>
      <c r="F499" s="239"/>
      <c r="G499" s="239"/>
      <c r="H499" s="239"/>
      <c r="I499" s="239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</row>
    <row r="500" spans="1:28" ht="24" customHeight="1" x14ac:dyDescent="0.55000000000000004">
      <c r="A500" s="238"/>
      <c r="E500" s="239"/>
      <c r="F500" s="239"/>
      <c r="G500" s="239"/>
      <c r="H500" s="239"/>
      <c r="I500" s="239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</row>
    <row r="501" spans="1:28" ht="24" customHeight="1" x14ac:dyDescent="0.55000000000000004">
      <c r="A501" s="238"/>
      <c r="E501" s="239"/>
      <c r="F501" s="239"/>
      <c r="G501" s="239"/>
      <c r="H501" s="239"/>
      <c r="I501" s="239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</row>
    <row r="502" spans="1:28" ht="24" customHeight="1" x14ac:dyDescent="0.55000000000000004">
      <c r="A502" s="238"/>
      <c r="E502" s="239"/>
      <c r="F502" s="239"/>
      <c r="G502" s="239"/>
      <c r="H502" s="239"/>
      <c r="I502" s="239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</row>
    <row r="503" spans="1:28" ht="24" customHeight="1" x14ac:dyDescent="0.55000000000000004">
      <c r="A503" s="238"/>
      <c r="E503" s="239"/>
      <c r="F503" s="239"/>
      <c r="G503" s="239"/>
      <c r="H503" s="239"/>
      <c r="I503" s="239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</row>
    <row r="504" spans="1:28" ht="24" customHeight="1" x14ac:dyDescent="0.55000000000000004">
      <c r="A504" s="238"/>
      <c r="E504" s="239"/>
      <c r="F504" s="239"/>
      <c r="G504" s="239"/>
      <c r="H504" s="239"/>
      <c r="I504" s="239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</row>
    <row r="505" spans="1:28" ht="24" customHeight="1" x14ac:dyDescent="0.55000000000000004">
      <c r="A505" s="238"/>
      <c r="E505" s="239"/>
      <c r="F505" s="239"/>
      <c r="G505" s="239"/>
      <c r="H505" s="239"/>
      <c r="I505" s="239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</row>
    <row r="506" spans="1:28" ht="24" customHeight="1" x14ac:dyDescent="0.55000000000000004">
      <c r="A506" s="238"/>
      <c r="E506" s="239"/>
      <c r="F506" s="239"/>
      <c r="G506" s="239"/>
      <c r="H506" s="239"/>
      <c r="I506" s="239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</row>
    <row r="507" spans="1:28" ht="24" customHeight="1" x14ac:dyDescent="0.55000000000000004">
      <c r="A507" s="238"/>
      <c r="E507" s="239"/>
      <c r="F507" s="239"/>
      <c r="G507" s="239"/>
      <c r="H507" s="239"/>
      <c r="I507" s="239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</row>
    <row r="508" spans="1:28" ht="24" customHeight="1" x14ac:dyDescent="0.55000000000000004">
      <c r="A508" s="238"/>
      <c r="E508" s="239"/>
      <c r="F508" s="239"/>
      <c r="G508" s="239"/>
      <c r="H508" s="239"/>
      <c r="I508" s="239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</row>
    <row r="509" spans="1:28" ht="24" customHeight="1" x14ac:dyDescent="0.55000000000000004">
      <c r="A509" s="238"/>
      <c r="E509" s="239"/>
      <c r="F509" s="239"/>
      <c r="G509" s="239"/>
      <c r="H509" s="239"/>
      <c r="I509" s="239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</row>
    <row r="510" spans="1:28" ht="24" customHeight="1" x14ac:dyDescent="0.55000000000000004">
      <c r="A510" s="238"/>
      <c r="E510" s="239"/>
      <c r="F510" s="239"/>
      <c r="G510" s="239"/>
      <c r="H510" s="239"/>
      <c r="I510" s="239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</row>
    <row r="511" spans="1:28" ht="24" customHeight="1" x14ac:dyDescent="0.55000000000000004">
      <c r="A511" s="238"/>
      <c r="E511" s="239"/>
      <c r="F511" s="239"/>
      <c r="G511" s="239"/>
      <c r="H511" s="239"/>
      <c r="I511" s="239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</row>
    <row r="512" spans="1:28" ht="24" customHeight="1" x14ac:dyDescent="0.55000000000000004">
      <c r="A512" s="238"/>
      <c r="E512" s="239"/>
      <c r="F512" s="239"/>
      <c r="G512" s="239"/>
      <c r="H512" s="239"/>
      <c r="I512" s="239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</row>
    <row r="513" spans="1:28" ht="24" customHeight="1" x14ac:dyDescent="0.55000000000000004">
      <c r="A513" s="238"/>
      <c r="E513" s="239"/>
      <c r="F513" s="239"/>
      <c r="G513" s="239"/>
      <c r="H513" s="239"/>
      <c r="I513" s="239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</row>
    <row r="514" spans="1:28" ht="24" customHeight="1" x14ac:dyDescent="0.55000000000000004">
      <c r="A514" s="238"/>
      <c r="E514" s="239"/>
      <c r="F514" s="239"/>
      <c r="G514" s="239"/>
      <c r="H514" s="239"/>
      <c r="I514" s="239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</row>
    <row r="515" spans="1:28" ht="24" customHeight="1" x14ac:dyDescent="0.55000000000000004">
      <c r="A515" s="238"/>
      <c r="E515" s="239"/>
      <c r="F515" s="239"/>
      <c r="G515" s="239"/>
      <c r="H515" s="239"/>
      <c r="I515" s="239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</row>
    <row r="516" spans="1:28" ht="24" customHeight="1" x14ac:dyDescent="0.55000000000000004">
      <c r="A516" s="238"/>
      <c r="E516" s="239"/>
      <c r="F516" s="239"/>
      <c r="G516" s="239"/>
      <c r="H516" s="239"/>
      <c r="I516" s="239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</row>
    <row r="517" spans="1:28" ht="24" customHeight="1" x14ac:dyDescent="0.55000000000000004">
      <c r="A517" s="238"/>
      <c r="E517" s="239"/>
      <c r="F517" s="239"/>
      <c r="G517" s="239"/>
      <c r="H517" s="239"/>
      <c r="I517" s="239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</row>
    <row r="518" spans="1:28" ht="24" customHeight="1" x14ac:dyDescent="0.55000000000000004">
      <c r="A518" s="238"/>
      <c r="E518" s="239"/>
      <c r="F518" s="239"/>
      <c r="G518" s="239"/>
      <c r="H518" s="239"/>
      <c r="I518" s="239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</row>
    <row r="519" spans="1:28" ht="24" customHeight="1" x14ac:dyDescent="0.55000000000000004">
      <c r="A519" s="238"/>
      <c r="E519" s="239"/>
      <c r="F519" s="239"/>
      <c r="G519" s="239"/>
      <c r="H519" s="239"/>
      <c r="I519" s="239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</row>
    <row r="520" spans="1:28" ht="24" customHeight="1" x14ac:dyDescent="0.55000000000000004">
      <c r="A520" s="238"/>
      <c r="E520" s="239"/>
      <c r="F520" s="239"/>
      <c r="G520" s="239"/>
      <c r="H520" s="239"/>
      <c r="I520" s="239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</row>
    <row r="521" spans="1:28" ht="24" customHeight="1" x14ac:dyDescent="0.55000000000000004">
      <c r="A521" s="238"/>
      <c r="E521" s="239"/>
      <c r="F521" s="239"/>
      <c r="G521" s="239"/>
      <c r="H521" s="239"/>
      <c r="I521" s="239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</row>
    <row r="522" spans="1:28" ht="24" customHeight="1" x14ac:dyDescent="0.55000000000000004">
      <c r="A522" s="238"/>
      <c r="E522" s="239"/>
      <c r="F522" s="239"/>
      <c r="G522" s="239"/>
      <c r="H522" s="239"/>
      <c r="I522" s="239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</row>
    <row r="523" spans="1:28" ht="24" customHeight="1" x14ac:dyDescent="0.55000000000000004">
      <c r="A523" s="238"/>
      <c r="E523" s="239"/>
      <c r="F523" s="239"/>
      <c r="G523" s="239"/>
      <c r="H523" s="239"/>
      <c r="I523" s="239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</row>
    <row r="524" spans="1:28" ht="24" customHeight="1" x14ac:dyDescent="0.55000000000000004">
      <c r="A524" s="238"/>
      <c r="E524" s="239"/>
      <c r="F524" s="239"/>
      <c r="G524" s="239"/>
      <c r="H524" s="239"/>
      <c r="I524" s="239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</row>
    <row r="525" spans="1:28" ht="24" customHeight="1" x14ac:dyDescent="0.55000000000000004">
      <c r="A525" s="238"/>
      <c r="E525" s="239"/>
      <c r="F525" s="239"/>
      <c r="G525" s="239"/>
      <c r="H525" s="239"/>
      <c r="I525" s="239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</row>
    <row r="526" spans="1:28" ht="24" customHeight="1" x14ac:dyDescent="0.55000000000000004">
      <c r="A526" s="238"/>
      <c r="E526" s="239"/>
      <c r="F526" s="239"/>
      <c r="G526" s="239"/>
      <c r="H526" s="239"/>
      <c r="I526" s="239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</row>
    <row r="527" spans="1:28" ht="24" customHeight="1" x14ac:dyDescent="0.55000000000000004">
      <c r="A527" s="238"/>
      <c r="E527" s="239"/>
      <c r="F527" s="239"/>
      <c r="G527" s="239"/>
      <c r="H527" s="239"/>
      <c r="I527" s="239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</row>
    <row r="528" spans="1:28" ht="24" customHeight="1" x14ac:dyDescent="0.55000000000000004">
      <c r="A528" s="238"/>
      <c r="E528" s="239"/>
      <c r="F528" s="239"/>
      <c r="G528" s="239"/>
      <c r="H528" s="239"/>
      <c r="I528" s="239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</row>
    <row r="529" spans="1:28" ht="24" customHeight="1" x14ac:dyDescent="0.55000000000000004">
      <c r="A529" s="238"/>
      <c r="E529" s="239"/>
      <c r="F529" s="239"/>
      <c r="G529" s="239"/>
      <c r="H529" s="239"/>
      <c r="I529" s="239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</row>
    <row r="530" spans="1:28" ht="24" customHeight="1" x14ac:dyDescent="0.55000000000000004">
      <c r="A530" s="238"/>
      <c r="E530" s="239"/>
      <c r="F530" s="239"/>
      <c r="G530" s="239"/>
      <c r="H530" s="239"/>
      <c r="I530" s="239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</row>
    <row r="531" spans="1:28" ht="24" customHeight="1" x14ac:dyDescent="0.55000000000000004">
      <c r="A531" s="238"/>
      <c r="E531" s="239"/>
      <c r="F531" s="239"/>
      <c r="G531" s="239"/>
      <c r="H531" s="239"/>
      <c r="I531" s="239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</row>
    <row r="532" spans="1:28" ht="24" customHeight="1" x14ac:dyDescent="0.55000000000000004">
      <c r="A532" s="238"/>
      <c r="E532" s="239"/>
      <c r="F532" s="239"/>
      <c r="G532" s="239"/>
      <c r="H532" s="239"/>
      <c r="I532" s="239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</row>
    <row r="533" spans="1:28" ht="24" customHeight="1" x14ac:dyDescent="0.55000000000000004">
      <c r="A533" s="238"/>
      <c r="E533" s="239"/>
      <c r="F533" s="239"/>
      <c r="G533" s="239"/>
      <c r="H533" s="239"/>
      <c r="I533" s="239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</row>
    <row r="534" spans="1:28" ht="24" customHeight="1" x14ac:dyDescent="0.55000000000000004">
      <c r="A534" s="238"/>
      <c r="E534" s="239"/>
      <c r="F534" s="239"/>
      <c r="G534" s="239"/>
      <c r="H534" s="239"/>
      <c r="I534" s="239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</row>
    <row r="535" spans="1:28" ht="24" customHeight="1" x14ac:dyDescent="0.55000000000000004">
      <c r="A535" s="238"/>
      <c r="E535" s="239"/>
      <c r="F535" s="239"/>
      <c r="G535" s="239"/>
      <c r="H535" s="239"/>
      <c r="I535" s="239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</row>
    <row r="536" spans="1:28" ht="24" customHeight="1" x14ac:dyDescent="0.55000000000000004">
      <c r="A536" s="238"/>
      <c r="E536" s="239"/>
      <c r="F536" s="239"/>
      <c r="G536" s="239"/>
      <c r="H536" s="239"/>
      <c r="I536" s="239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</row>
    <row r="537" spans="1:28" ht="24" customHeight="1" x14ac:dyDescent="0.55000000000000004">
      <c r="A537" s="238"/>
      <c r="E537" s="239"/>
      <c r="F537" s="239"/>
      <c r="G537" s="239"/>
      <c r="H537" s="239"/>
      <c r="I537" s="239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</row>
    <row r="538" spans="1:28" ht="24" customHeight="1" x14ac:dyDescent="0.55000000000000004">
      <c r="A538" s="238"/>
      <c r="E538" s="239"/>
      <c r="F538" s="239"/>
      <c r="G538" s="239"/>
      <c r="H538" s="239"/>
      <c r="I538" s="239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</row>
    <row r="539" spans="1:28" ht="24" customHeight="1" x14ac:dyDescent="0.55000000000000004">
      <c r="A539" s="238"/>
      <c r="E539" s="239"/>
      <c r="F539" s="239"/>
      <c r="G539" s="239"/>
      <c r="H539" s="239"/>
      <c r="I539" s="239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</row>
    <row r="540" spans="1:28" ht="24" customHeight="1" x14ac:dyDescent="0.55000000000000004">
      <c r="A540" s="238"/>
      <c r="E540" s="239"/>
      <c r="F540" s="239"/>
      <c r="G540" s="239"/>
      <c r="H540" s="239"/>
      <c r="I540" s="239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</row>
    <row r="541" spans="1:28" ht="24" customHeight="1" x14ac:dyDescent="0.55000000000000004">
      <c r="A541" s="238"/>
      <c r="E541" s="239"/>
      <c r="F541" s="239"/>
      <c r="G541" s="239"/>
      <c r="H541" s="239"/>
      <c r="I541" s="239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</row>
    <row r="542" spans="1:28" ht="24" customHeight="1" x14ac:dyDescent="0.55000000000000004">
      <c r="A542" s="238"/>
      <c r="E542" s="239"/>
      <c r="F542" s="239"/>
      <c r="G542" s="239"/>
      <c r="H542" s="239"/>
      <c r="I542" s="239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</row>
    <row r="543" spans="1:28" ht="24" customHeight="1" x14ac:dyDescent="0.55000000000000004">
      <c r="A543" s="238"/>
      <c r="E543" s="239"/>
      <c r="F543" s="239"/>
      <c r="G543" s="239"/>
      <c r="H543" s="239"/>
      <c r="I543" s="239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</row>
    <row r="544" spans="1:28" ht="24" customHeight="1" x14ac:dyDescent="0.55000000000000004">
      <c r="A544" s="238"/>
      <c r="E544" s="239"/>
      <c r="F544" s="239"/>
      <c r="G544" s="239"/>
      <c r="H544" s="239"/>
      <c r="I544" s="239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</row>
    <row r="545" spans="1:28" ht="24" customHeight="1" x14ac:dyDescent="0.55000000000000004">
      <c r="A545" s="238"/>
      <c r="E545" s="239"/>
      <c r="F545" s="239"/>
      <c r="G545" s="239"/>
      <c r="H545" s="239"/>
      <c r="I545" s="239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</row>
    <row r="546" spans="1:28" ht="24" customHeight="1" x14ac:dyDescent="0.55000000000000004">
      <c r="A546" s="238"/>
      <c r="E546" s="239"/>
      <c r="F546" s="239"/>
      <c r="G546" s="239"/>
      <c r="H546" s="239"/>
      <c r="I546" s="239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</row>
    <row r="547" spans="1:28" ht="24" customHeight="1" x14ac:dyDescent="0.55000000000000004">
      <c r="A547" s="238"/>
      <c r="E547" s="239"/>
      <c r="F547" s="239"/>
      <c r="G547" s="239"/>
      <c r="H547" s="239"/>
      <c r="I547" s="239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</row>
    <row r="548" spans="1:28" ht="24" customHeight="1" x14ac:dyDescent="0.55000000000000004">
      <c r="A548" s="238"/>
      <c r="E548" s="239"/>
      <c r="F548" s="239"/>
      <c r="G548" s="239"/>
      <c r="H548" s="239"/>
      <c r="I548" s="239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</row>
    <row r="549" spans="1:28" ht="24" customHeight="1" x14ac:dyDescent="0.55000000000000004">
      <c r="A549" s="238"/>
      <c r="E549" s="239"/>
      <c r="F549" s="239"/>
      <c r="G549" s="239"/>
      <c r="H549" s="239"/>
      <c r="I549" s="239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</row>
    <row r="550" spans="1:28" ht="24" customHeight="1" x14ac:dyDescent="0.55000000000000004">
      <c r="A550" s="238"/>
      <c r="E550" s="239"/>
      <c r="F550" s="239"/>
      <c r="G550" s="239"/>
      <c r="H550" s="239"/>
      <c r="I550" s="239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</row>
    <row r="551" spans="1:28" ht="24" customHeight="1" x14ac:dyDescent="0.55000000000000004">
      <c r="A551" s="238"/>
      <c r="E551" s="239"/>
      <c r="F551" s="239"/>
      <c r="G551" s="239"/>
      <c r="H551" s="239"/>
      <c r="I551" s="239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</row>
    <row r="552" spans="1:28" ht="24" customHeight="1" x14ac:dyDescent="0.55000000000000004">
      <c r="A552" s="238"/>
      <c r="E552" s="239"/>
      <c r="F552" s="239"/>
      <c r="G552" s="239"/>
      <c r="H552" s="239"/>
      <c r="I552" s="239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</row>
    <row r="553" spans="1:28" ht="24" customHeight="1" x14ac:dyDescent="0.55000000000000004">
      <c r="A553" s="238"/>
      <c r="E553" s="239"/>
      <c r="F553" s="239"/>
      <c r="G553" s="239"/>
      <c r="H553" s="239"/>
      <c r="I553" s="239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</row>
    <row r="554" spans="1:28" ht="24" customHeight="1" x14ac:dyDescent="0.55000000000000004">
      <c r="A554" s="238"/>
      <c r="E554" s="239"/>
      <c r="F554" s="239"/>
      <c r="G554" s="239"/>
      <c r="H554" s="239"/>
      <c r="I554" s="239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</row>
    <row r="555" spans="1:28" ht="24" customHeight="1" x14ac:dyDescent="0.55000000000000004">
      <c r="A555" s="238"/>
      <c r="E555" s="239"/>
      <c r="F555" s="239"/>
      <c r="G555" s="239"/>
      <c r="H555" s="239"/>
      <c r="I555" s="239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</row>
    <row r="556" spans="1:28" ht="24" customHeight="1" x14ac:dyDescent="0.55000000000000004">
      <c r="A556" s="238"/>
      <c r="E556" s="239"/>
      <c r="F556" s="239"/>
      <c r="G556" s="239"/>
      <c r="H556" s="239"/>
      <c r="I556" s="239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</row>
    <row r="557" spans="1:28" ht="24" customHeight="1" x14ac:dyDescent="0.55000000000000004">
      <c r="A557" s="238"/>
      <c r="E557" s="239"/>
      <c r="F557" s="239"/>
      <c r="G557" s="239"/>
      <c r="H557" s="239"/>
      <c r="I557" s="239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</row>
    <row r="558" spans="1:28" ht="24" customHeight="1" x14ac:dyDescent="0.55000000000000004">
      <c r="A558" s="238"/>
      <c r="E558" s="239"/>
      <c r="F558" s="239"/>
      <c r="G558" s="239"/>
      <c r="H558" s="239"/>
      <c r="I558" s="239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</row>
    <row r="559" spans="1:28" ht="24" customHeight="1" x14ac:dyDescent="0.55000000000000004">
      <c r="A559" s="238"/>
      <c r="E559" s="239"/>
      <c r="F559" s="239"/>
      <c r="G559" s="239"/>
      <c r="H559" s="239"/>
      <c r="I559" s="239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</row>
    <row r="560" spans="1:28" ht="24" customHeight="1" x14ac:dyDescent="0.55000000000000004">
      <c r="A560" s="238"/>
      <c r="E560" s="239"/>
      <c r="F560" s="239"/>
      <c r="G560" s="239"/>
      <c r="H560" s="239"/>
      <c r="I560" s="239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</row>
    <row r="561" spans="1:28" ht="24" customHeight="1" x14ac:dyDescent="0.55000000000000004">
      <c r="A561" s="238"/>
      <c r="E561" s="239"/>
      <c r="F561" s="239"/>
      <c r="G561" s="239"/>
      <c r="H561" s="239"/>
      <c r="I561" s="239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</row>
    <row r="562" spans="1:28" ht="24" customHeight="1" x14ac:dyDescent="0.55000000000000004">
      <c r="A562" s="238"/>
      <c r="E562" s="239"/>
      <c r="F562" s="239"/>
      <c r="G562" s="239"/>
      <c r="H562" s="239"/>
      <c r="I562" s="239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</row>
    <row r="563" spans="1:28" ht="24" customHeight="1" x14ac:dyDescent="0.55000000000000004">
      <c r="A563" s="238"/>
      <c r="E563" s="239"/>
      <c r="F563" s="239"/>
      <c r="G563" s="239"/>
      <c r="H563" s="239"/>
      <c r="I563" s="239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</row>
    <row r="564" spans="1:28" ht="24" customHeight="1" x14ac:dyDescent="0.55000000000000004">
      <c r="A564" s="238"/>
      <c r="E564" s="239"/>
      <c r="F564" s="239"/>
      <c r="G564" s="239"/>
      <c r="H564" s="239"/>
      <c r="I564" s="239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</row>
    <row r="565" spans="1:28" ht="24" customHeight="1" x14ac:dyDescent="0.55000000000000004">
      <c r="A565" s="238"/>
      <c r="E565" s="239"/>
      <c r="F565" s="239"/>
      <c r="G565" s="239"/>
      <c r="H565" s="239"/>
      <c r="I565" s="239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</row>
    <row r="566" spans="1:28" ht="24" customHeight="1" x14ac:dyDescent="0.55000000000000004">
      <c r="A566" s="238"/>
      <c r="E566" s="239"/>
      <c r="F566" s="239"/>
      <c r="G566" s="239"/>
      <c r="H566" s="239"/>
      <c r="I566" s="239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</row>
    <row r="567" spans="1:28" ht="24" customHeight="1" x14ac:dyDescent="0.55000000000000004">
      <c r="A567" s="238"/>
      <c r="E567" s="239"/>
      <c r="F567" s="239"/>
      <c r="G567" s="239"/>
      <c r="H567" s="239"/>
      <c r="I567" s="239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</row>
    <row r="568" spans="1:28" ht="24" customHeight="1" x14ac:dyDescent="0.55000000000000004">
      <c r="A568" s="238"/>
      <c r="E568" s="239"/>
      <c r="F568" s="239"/>
      <c r="G568" s="239"/>
      <c r="H568" s="239"/>
      <c r="I568" s="239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</row>
    <row r="569" spans="1:28" ht="24" customHeight="1" x14ac:dyDescent="0.55000000000000004">
      <c r="A569" s="238"/>
      <c r="E569" s="239"/>
      <c r="F569" s="239"/>
      <c r="G569" s="239"/>
      <c r="H569" s="239"/>
      <c r="I569" s="239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</row>
    <row r="570" spans="1:28" ht="24" customHeight="1" x14ac:dyDescent="0.55000000000000004">
      <c r="A570" s="238"/>
      <c r="E570" s="239"/>
      <c r="F570" s="239"/>
      <c r="G570" s="239"/>
      <c r="H570" s="239"/>
      <c r="I570" s="239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</row>
    <row r="571" spans="1:28" ht="24" customHeight="1" x14ac:dyDescent="0.55000000000000004">
      <c r="A571" s="238"/>
      <c r="E571" s="239"/>
      <c r="F571" s="239"/>
      <c r="G571" s="239"/>
      <c r="H571" s="239"/>
      <c r="I571" s="239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</row>
    <row r="572" spans="1:28" ht="24" customHeight="1" x14ac:dyDescent="0.55000000000000004">
      <c r="A572" s="238"/>
      <c r="E572" s="239"/>
      <c r="F572" s="239"/>
      <c r="G572" s="239"/>
      <c r="H572" s="239"/>
      <c r="I572" s="239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</row>
    <row r="573" spans="1:28" ht="24" customHeight="1" x14ac:dyDescent="0.55000000000000004">
      <c r="A573" s="238"/>
      <c r="E573" s="239"/>
      <c r="F573" s="239"/>
      <c r="G573" s="239"/>
      <c r="H573" s="239"/>
      <c r="I573" s="239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</row>
    <row r="574" spans="1:28" ht="24" customHeight="1" x14ac:dyDescent="0.55000000000000004">
      <c r="A574" s="238"/>
      <c r="E574" s="239"/>
      <c r="F574" s="239"/>
      <c r="G574" s="239"/>
      <c r="H574" s="239"/>
      <c r="I574" s="239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</row>
    <row r="575" spans="1:28" ht="24" customHeight="1" x14ac:dyDescent="0.55000000000000004">
      <c r="A575" s="238"/>
      <c r="E575" s="239"/>
      <c r="F575" s="239"/>
      <c r="G575" s="239"/>
      <c r="H575" s="239"/>
      <c r="I575" s="239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</row>
    <row r="576" spans="1:28" ht="24" customHeight="1" x14ac:dyDescent="0.55000000000000004">
      <c r="A576" s="238"/>
      <c r="E576" s="239"/>
      <c r="F576" s="239"/>
      <c r="G576" s="239"/>
      <c r="H576" s="239"/>
      <c r="I576" s="239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</row>
    <row r="577" spans="1:28" ht="24" customHeight="1" x14ac:dyDescent="0.55000000000000004">
      <c r="A577" s="238"/>
      <c r="E577" s="239"/>
      <c r="F577" s="239"/>
      <c r="G577" s="239"/>
      <c r="H577" s="239"/>
      <c r="I577" s="239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</row>
    <row r="578" spans="1:28" ht="24" customHeight="1" x14ac:dyDescent="0.55000000000000004">
      <c r="A578" s="238"/>
      <c r="E578" s="239"/>
      <c r="F578" s="239"/>
      <c r="G578" s="239"/>
      <c r="H578" s="239"/>
      <c r="I578" s="239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</row>
    <row r="579" spans="1:28" ht="24" customHeight="1" x14ac:dyDescent="0.55000000000000004">
      <c r="A579" s="238"/>
      <c r="E579" s="239"/>
      <c r="F579" s="239"/>
      <c r="G579" s="239"/>
      <c r="H579" s="239"/>
      <c r="I579" s="239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</row>
    <row r="580" spans="1:28" ht="24" customHeight="1" x14ac:dyDescent="0.55000000000000004">
      <c r="A580" s="238"/>
      <c r="E580" s="239"/>
      <c r="F580" s="239"/>
      <c r="G580" s="239"/>
      <c r="H580" s="239"/>
      <c r="I580" s="239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</row>
    <row r="581" spans="1:28" ht="24" customHeight="1" x14ac:dyDescent="0.55000000000000004">
      <c r="A581" s="238"/>
      <c r="E581" s="239"/>
      <c r="F581" s="239"/>
      <c r="G581" s="239"/>
      <c r="H581" s="239"/>
      <c r="I581" s="239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</row>
    <row r="582" spans="1:28" ht="24" customHeight="1" x14ac:dyDescent="0.55000000000000004">
      <c r="A582" s="238"/>
      <c r="E582" s="239"/>
      <c r="F582" s="239"/>
      <c r="G582" s="239"/>
      <c r="H582" s="239"/>
      <c r="I582" s="239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</row>
    <row r="583" spans="1:28" ht="24" customHeight="1" x14ac:dyDescent="0.55000000000000004">
      <c r="A583" s="238"/>
      <c r="E583" s="239"/>
      <c r="F583" s="239"/>
      <c r="G583" s="239"/>
      <c r="H583" s="239"/>
      <c r="I583" s="239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</row>
    <row r="584" spans="1:28" ht="24" customHeight="1" x14ac:dyDescent="0.55000000000000004">
      <c r="A584" s="238"/>
      <c r="E584" s="239"/>
      <c r="F584" s="239"/>
      <c r="G584" s="239"/>
      <c r="H584" s="239"/>
      <c r="I584" s="239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</row>
    <row r="585" spans="1:28" ht="24" customHeight="1" x14ac:dyDescent="0.55000000000000004">
      <c r="A585" s="238"/>
      <c r="E585" s="239"/>
      <c r="F585" s="239"/>
      <c r="G585" s="239"/>
      <c r="H585" s="239"/>
      <c r="I585" s="239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</row>
    <row r="586" spans="1:28" ht="24" customHeight="1" x14ac:dyDescent="0.55000000000000004">
      <c r="A586" s="238"/>
      <c r="E586" s="239"/>
      <c r="F586" s="239"/>
      <c r="G586" s="239"/>
      <c r="H586" s="239"/>
      <c r="I586" s="239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</row>
    <row r="587" spans="1:28" ht="24" customHeight="1" x14ac:dyDescent="0.55000000000000004">
      <c r="A587" s="238"/>
      <c r="E587" s="239"/>
      <c r="F587" s="239"/>
      <c r="G587" s="239"/>
      <c r="H587" s="239"/>
      <c r="I587" s="239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</row>
    <row r="588" spans="1:28" ht="24" customHeight="1" x14ac:dyDescent="0.55000000000000004">
      <c r="A588" s="238"/>
      <c r="E588" s="239"/>
      <c r="F588" s="239"/>
      <c r="G588" s="239"/>
      <c r="H588" s="239"/>
      <c r="I588" s="239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</row>
    <row r="589" spans="1:28" ht="24" customHeight="1" x14ac:dyDescent="0.55000000000000004">
      <c r="A589" s="238"/>
      <c r="E589" s="239"/>
      <c r="F589" s="239"/>
      <c r="G589" s="239"/>
      <c r="H589" s="239"/>
      <c r="I589" s="239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</row>
    <row r="590" spans="1:28" ht="24" customHeight="1" x14ac:dyDescent="0.55000000000000004">
      <c r="A590" s="238"/>
      <c r="E590" s="239"/>
      <c r="F590" s="239"/>
      <c r="G590" s="239"/>
      <c r="H590" s="239"/>
      <c r="I590" s="239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</row>
    <row r="591" spans="1:28" ht="24" customHeight="1" x14ac:dyDescent="0.55000000000000004">
      <c r="A591" s="238"/>
      <c r="E591" s="239"/>
      <c r="F591" s="239"/>
      <c r="G591" s="239"/>
      <c r="H591" s="239"/>
      <c r="I591" s="239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</row>
    <row r="592" spans="1:28" ht="24" customHeight="1" x14ac:dyDescent="0.55000000000000004">
      <c r="A592" s="238"/>
      <c r="E592" s="239"/>
      <c r="F592" s="239"/>
      <c r="G592" s="239"/>
      <c r="H592" s="239"/>
      <c r="I592" s="239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</row>
    <row r="593" spans="1:28" ht="24" customHeight="1" x14ac:dyDescent="0.55000000000000004">
      <c r="A593" s="238"/>
      <c r="E593" s="239"/>
      <c r="F593" s="239"/>
      <c r="G593" s="239"/>
      <c r="H593" s="239"/>
      <c r="I593" s="239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</row>
    <row r="594" spans="1:28" ht="24" customHeight="1" x14ac:dyDescent="0.55000000000000004">
      <c r="A594" s="238"/>
      <c r="E594" s="239"/>
      <c r="F594" s="239"/>
      <c r="G594" s="239"/>
      <c r="H594" s="239"/>
      <c r="I594" s="239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</row>
    <row r="595" spans="1:28" ht="24" customHeight="1" x14ac:dyDescent="0.55000000000000004">
      <c r="A595" s="238"/>
      <c r="E595" s="239"/>
      <c r="F595" s="239"/>
      <c r="G595" s="239"/>
      <c r="H595" s="239"/>
      <c r="I595" s="239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</row>
    <row r="596" spans="1:28" ht="24" customHeight="1" x14ac:dyDescent="0.55000000000000004">
      <c r="A596" s="238"/>
      <c r="E596" s="239"/>
      <c r="F596" s="239"/>
      <c r="G596" s="239"/>
      <c r="H596" s="239"/>
      <c r="I596" s="239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</row>
    <row r="597" spans="1:28" ht="24" customHeight="1" x14ac:dyDescent="0.55000000000000004">
      <c r="A597" s="238"/>
      <c r="E597" s="239"/>
      <c r="F597" s="239"/>
      <c r="G597" s="239"/>
      <c r="H597" s="239"/>
      <c r="I597" s="239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</row>
    <row r="598" spans="1:28" ht="24" customHeight="1" x14ac:dyDescent="0.55000000000000004">
      <c r="A598" s="238"/>
      <c r="E598" s="239"/>
      <c r="F598" s="239"/>
      <c r="G598" s="239"/>
      <c r="H598" s="239"/>
      <c r="I598" s="239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</row>
    <row r="599" spans="1:28" ht="24" customHeight="1" x14ac:dyDescent="0.55000000000000004">
      <c r="A599" s="238"/>
      <c r="E599" s="239"/>
      <c r="F599" s="239"/>
      <c r="G599" s="239"/>
      <c r="H599" s="239"/>
      <c r="I599" s="239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</row>
    <row r="600" spans="1:28" ht="24" customHeight="1" x14ac:dyDescent="0.55000000000000004">
      <c r="A600" s="238"/>
      <c r="E600" s="239"/>
      <c r="F600" s="239"/>
      <c r="G600" s="239"/>
      <c r="H600" s="239"/>
      <c r="I600" s="239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/>
    </row>
    <row r="601" spans="1:28" ht="24" customHeight="1" x14ac:dyDescent="0.55000000000000004">
      <c r="A601" s="238"/>
      <c r="E601" s="239"/>
      <c r="F601" s="239"/>
      <c r="G601" s="239"/>
      <c r="H601" s="239"/>
      <c r="I601" s="239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/>
    </row>
    <row r="602" spans="1:28" ht="24" customHeight="1" x14ac:dyDescent="0.55000000000000004">
      <c r="A602" s="238"/>
      <c r="E602" s="239"/>
      <c r="F602" s="239"/>
      <c r="G602" s="239"/>
      <c r="H602" s="239"/>
      <c r="I602" s="239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101"/>
    </row>
    <row r="603" spans="1:28" ht="24" customHeight="1" x14ac:dyDescent="0.55000000000000004">
      <c r="A603" s="238"/>
      <c r="E603" s="239"/>
      <c r="F603" s="239"/>
      <c r="G603" s="239"/>
      <c r="H603" s="239"/>
      <c r="I603" s="239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101"/>
    </row>
    <row r="604" spans="1:28" ht="24" customHeight="1" x14ac:dyDescent="0.55000000000000004">
      <c r="A604" s="238"/>
      <c r="E604" s="239"/>
      <c r="F604" s="239"/>
      <c r="G604" s="239"/>
      <c r="H604" s="239"/>
      <c r="I604" s="239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</row>
    <row r="605" spans="1:28" ht="24" customHeight="1" x14ac:dyDescent="0.55000000000000004">
      <c r="A605" s="238"/>
      <c r="E605" s="239"/>
      <c r="F605" s="239"/>
      <c r="G605" s="239"/>
      <c r="H605" s="239"/>
      <c r="I605" s="239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  <c r="AA605" s="101"/>
      <c r="AB605" s="101"/>
    </row>
    <row r="606" spans="1:28" ht="24" customHeight="1" x14ac:dyDescent="0.55000000000000004">
      <c r="A606" s="238"/>
      <c r="E606" s="239"/>
      <c r="F606" s="239"/>
      <c r="G606" s="239"/>
      <c r="H606" s="239"/>
      <c r="I606" s="239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</row>
    <row r="607" spans="1:28" ht="24" customHeight="1" x14ac:dyDescent="0.55000000000000004">
      <c r="A607" s="238"/>
      <c r="E607" s="239"/>
      <c r="F607" s="239"/>
      <c r="G607" s="239"/>
      <c r="H607" s="239"/>
      <c r="I607" s="239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101"/>
    </row>
    <row r="608" spans="1:28" ht="24" customHeight="1" x14ac:dyDescent="0.55000000000000004">
      <c r="A608" s="238"/>
      <c r="E608" s="239"/>
      <c r="F608" s="239"/>
      <c r="G608" s="239"/>
      <c r="H608" s="239"/>
      <c r="I608" s="239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101"/>
    </row>
    <row r="609" spans="1:28" ht="24" customHeight="1" x14ac:dyDescent="0.55000000000000004">
      <c r="A609" s="238"/>
      <c r="E609" s="239"/>
      <c r="F609" s="239"/>
      <c r="G609" s="239"/>
      <c r="H609" s="239"/>
      <c r="I609" s="239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</row>
    <row r="610" spans="1:28" ht="24" customHeight="1" x14ac:dyDescent="0.55000000000000004">
      <c r="A610" s="238"/>
      <c r="E610" s="239"/>
      <c r="F610" s="239"/>
      <c r="G610" s="239"/>
      <c r="H610" s="239"/>
      <c r="I610" s="239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101"/>
    </row>
    <row r="611" spans="1:28" ht="24" customHeight="1" x14ac:dyDescent="0.55000000000000004">
      <c r="A611" s="238"/>
      <c r="E611" s="239"/>
      <c r="F611" s="239"/>
      <c r="G611" s="239"/>
      <c r="H611" s="239"/>
      <c r="I611" s="239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</row>
    <row r="612" spans="1:28" ht="24" customHeight="1" x14ac:dyDescent="0.55000000000000004">
      <c r="A612" s="238"/>
      <c r="E612" s="239"/>
      <c r="F612" s="239"/>
      <c r="G612" s="239"/>
      <c r="H612" s="239"/>
      <c r="I612" s="239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</row>
    <row r="613" spans="1:28" ht="24" customHeight="1" x14ac:dyDescent="0.55000000000000004">
      <c r="A613" s="238"/>
      <c r="E613" s="239"/>
      <c r="F613" s="239"/>
      <c r="G613" s="239"/>
      <c r="H613" s="239"/>
      <c r="I613" s="239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</row>
    <row r="614" spans="1:28" ht="24" customHeight="1" x14ac:dyDescent="0.55000000000000004">
      <c r="A614" s="238"/>
      <c r="E614" s="239"/>
      <c r="F614" s="239"/>
      <c r="G614" s="239"/>
      <c r="H614" s="239"/>
      <c r="I614" s="239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</row>
    <row r="615" spans="1:28" ht="24" customHeight="1" x14ac:dyDescent="0.55000000000000004">
      <c r="A615" s="238"/>
      <c r="E615" s="239"/>
      <c r="F615" s="239"/>
      <c r="G615" s="239"/>
      <c r="H615" s="239"/>
      <c r="I615" s="239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</row>
    <row r="616" spans="1:28" ht="24" customHeight="1" x14ac:dyDescent="0.55000000000000004">
      <c r="A616" s="238"/>
      <c r="E616" s="239"/>
      <c r="F616" s="239"/>
      <c r="G616" s="239"/>
      <c r="H616" s="239"/>
      <c r="I616" s="239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</row>
    <row r="617" spans="1:28" ht="24" customHeight="1" x14ac:dyDescent="0.55000000000000004">
      <c r="A617" s="238"/>
      <c r="E617" s="239"/>
      <c r="F617" s="239"/>
      <c r="G617" s="239"/>
      <c r="H617" s="239"/>
      <c r="I617" s="239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</row>
    <row r="618" spans="1:28" ht="24" customHeight="1" x14ac:dyDescent="0.55000000000000004">
      <c r="A618" s="238"/>
      <c r="E618" s="239"/>
      <c r="F618" s="239"/>
      <c r="G618" s="239"/>
      <c r="H618" s="239"/>
      <c r="I618" s="239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</row>
    <row r="619" spans="1:28" ht="24" customHeight="1" x14ac:dyDescent="0.55000000000000004">
      <c r="A619" s="238"/>
      <c r="E619" s="239"/>
      <c r="F619" s="239"/>
      <c r="G619" s="239"/>
      <c r="H619" s="239"/>
      <c r="I619" s="239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</row>
    <row r="620" spans="1:28" ht="24" customHeight="1" x14ac:dyDescent="0.55000000000000004">
      <c r="A620" s="238"/>
      <c r="E620" s="239"/>
      <c r="F620" s="239"/>
      <c r="G620" s="239"/>
      <c r="H620" s="239"/>
      <c r="I620" s="239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101"/>
    </row>
    <row r="621" spans="1:28" ht="24" customHeight="1" x14ac:dyDescent="0.55000000000000004">
      <c r="A621" s="238"/>
      <c r="E621" s="239"/>
      <c r="F621" s="239"/>
      <c r="G621" s="239"/>
      <c r="H621" s="239"/>
      <c r="I621" s="239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</row>
    <row r="622" spans="1:28" ht="24" customHeight="1" x14ac:dyDescent="0.55000000000000004">
      <c r="A622" s="238"/>
      <c r="E622" s="239"/>
      <c r="F622" s="239"/>
      <c r="G622" s="239"/>
      <c r="H622" s="239"/>
      <c r="I622" s="239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101"/>
    </row>
    <row r="623" spans="1:28" ht="24" customHeight="1" x14ac:dyDescent="0.55000000000000004">
      <c r="A623" s="238"/>
      <c r="E623" s="239"/>
      <c r="F623" s="239"/>
      <c r="G623" s="239"/>
      <c r="H623" s="239"/>
      <c r="I623" s="239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</row>
    <row r="624" spans="1:28" ht="24" customHeight="1" x14ac:dyDescent="0.55000000000000004">
      <c r="A624" s="238"/>
      <c r="E624" s="239"/>
      <c r="F624" s="239"/>
      <c r="G624" s="239"/>
      <c r="H624" s="239"/>
      <c r="I624" s="239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</row>
    <row r="625" spans="1:28" ht="24" customHeight="1" x14ac:dyDescent="0.55000000000000004">
      <c r="A625" s="238"/>
      <c r="E625" s="239"/>
      <c r="F625" s="239"/>
      <c r="G625" s="239"/>
      <c r="H625" s="239"/>
      <c r="I625" s="239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</row>
    <row r="626" spans="1:28" ht="24" customHeight="1" x14ac:dyDescent="0.55000000000000004">
      <c r="A626" s="238"/>
      <c r="E626" s="239"/>
      <c r="F626" s="239"/>
      <c r="G626" s="239"/>
      <c r="H626" s="239"/>
      <c r="I626" s="239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</row>
    <row r="627" spans="1:28" ht="24" customHeight="1" x14ac:dyDescent="0.55000000000000004">
      <c r="A627" s="238"/>
      <c r="E627" s="239"/>
      <c r="F627" s="239"/>
      <c r="G627" s="239"/>
      <c r="H627" s="239"/>
      <c r="I627" s="239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/>
    </row>
    <row r="628" spans="1:28" ht="24" customHeight="1" x14ac:dyDescent="0.55000000000000004">
      <c r="A628" s="238"/>
      <c r="E628" s="239"/>
      <c r="F628" s="239"/>
      <c r="G628" s="239"/>
      <c r="H628" s="239"/>
      <c r="I628" s="239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</row>
    <row r="629" spans="1:28" ht="24" customHeight="1" x14ac:dyDescent="0.55000000000000004">
      <c r="A629" s="238"/>
      <c r="E629" s="239"/>
      <c r="F629" s="239"/>
      <c r="G629" s="239"/>
      <c r="H629" s="239"/>
      <c r="I629" s="239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</row>
    <row r="630" spans="1:28" ht="24" customHeight="1" x14ac:dyDescent="0.55000000000000004">
      <c r="A630" s="238"/>
      <c r="E630" s="239"/>
      <c r="F630" s="239"/>
      <c r="G630" s="239"/>
      <c r="H630" s="239"/>
      <c r="I630" s="239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101"/>
    </row>
    <row r="631" spans="1:28" ht="24" customHeight="1" x14ac:dyDescent="0.55000000000000004">
      <c r="A631" s="238"/>
      <c r="E631" s="239"/>
      <c r="F631" s="239"/>
      <c r="G631" s="239"/>
      <c r="H631" s="239"/>
      <c r="I631" s="239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  <c r="AA631" s="101"/>
      <c r="AB631" s="101"/>
    </row>
    <row r="632" spans="1:28" ht="24" customHeight="1" x14ac:dyDescent="0.55000000000000004">
      <c r="A632" s="238"/>
      <c r="E632" s="239"/>
      <c r="F632" s="239"/>
      <c r="G632" s="239"/>
      <c r="H632" s="239"/>
      <c r="I632" s="239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</row>
    <row r="633" spans="1:28" ht="24" customHeight="1" x14ac:dyDescent="0.55000000000000004">
      <c r="A633" s="238"/>
      <c r="E633" s="239"/>
      <c r="F633" s="239"/>
      <c r="G633" s="239"/>
      <c r="H633" s="239"/>
      <c r="I633" s="239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101"/>
    </row>
    <row r="634" spans="1:28" ht="24" customHeight="1" x14ac:dyDescent="0.55000000000000004">
      <c r="A634" s="238"/>
      <c r="E634" s="239"/>
      <c r="F634" s="239"/>
      <c r="G634" s="239"/>
      <c r="H634" s="239"/>
      <c r="I634" s="239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</row>
    <row r="635" spans="1:28" ht="24" customHeight="1" x14ac:dyDescent="0.55000000000000004">
      <c r="A635" s="238"/>
      <c r="E635" s="239"/>
      <c r="F635" s="239"/>
      <c r="G635" s="239"/>
      <c r="H635" s="239"/>
      <c r="I635" s="239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101"/>
    </row>
    <row r="636" spans="1:28" ht="24" customHeight="1" x14ac:dyDescent="0.55000000000000004">
      <c r="A636" s="238"/>
      <c r="E636" s="239"/>
      <c r="F636" s="239"/>
      <c r="G636" s="239"/>
      <c r="H636" s="239"/>
      <c r="I636" s="239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</row>
    <row r="637" spans="1:28" ht="24" customHeight="1" x14ac:dyDescent="0.55000000000000004">
      <c r="A637" s="238"/>
      <c r="E637" s="239"/>
      <c r="F637" s="239"/>
      <c r="G637" s="239"/>
      <c r="H637" s="239"/>
      <c r="I637" s="239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  <c r="AA637" s="101"/>
      <c r="AB637" s="101"/>
    </row>
    <row r="638" spans="1:28" ht="24" customHeight="1" x14ac:dyDescent="0.55000000000000004">
      <c r="A638" s="238"/>
      <c r="E638" s="239"/>
      <c r="F638" s="239"/>
      <c r="G638" s="239"/>
      <c r="H638" s="239"/>
      <c r="I638" s="239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  <c r="AA638" s="101"/>
      <c r="AB638" s="101"/>
    </row>
    <row r="639" spans="1:28" ht="24" customHeight="1" x14ac:dyDescent="0.55000000000000004">
      <c r="A639" s="238"/>
      <c r="E639" s="239"/>
      <c r="F639" s="239"/>
      <c r="G639" s="239"/>
      <c r="H639" s="239"/>
      <c r="I639" s="239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101"/>
    </row>
    <row r="640" spans="1:28" ht="24" customHeight="1" x14ac:dyDescent="0.55000000000000004">
      <c r="A640" s="238"/>
      <c r="E640" s="239"/>
      <c r="F640" s="239"/>
      <c r="G640" s="239"/>
      <c r="H640" s="239"/>
      <c r="I640" s="239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</row>
    <row r="641" spans="1:28" ht="24" customHeight="1" x14ac:dyDescent="0.55000000000000004">
      <c r="A641" s="238"/>
      <c r="E641" s="239"/>
      <c r="F641" s="239"/>
      <c r="G641" s="239"/>
      <c r="H641" s="239"/>
      <c r="I641" s="239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</row>
    <row r="642" spans="1:28" ht="24" customHeight="1" x14ac:dyDescent="0.55000000000000004">
      <c r="A642" s="238"/>
      <c r="E642" s="239"/>
      <c r="F642" s="239"/>
      <c r="G642" s="239"/>
      <c r="H642" s="239"/>
      <c r="I642" s="239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</row>
    <row r="643" spans="1:28" ht="24" customHeight="1" x14ac:dyDescent="0.55000000000000004">
      <c r="A643" s="238"/>
      <c r="E643" s="239"/>
      <c r="F643" s="239"/>
      <c r="G643" s="239"/>
      <c r="H643" s="239"/>
      <c r="I643" s="239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101"/>
    </row>
    <row r="644" spans="1:28" ht="24" customHeight="1" x14ac:dyDescent="0.55000000000000004">
      <c r="A644" s="238"/>
      <c r="E644" s="239"/>
      <c r="F644" s="239"/>
      <c r="G644" s="239"/>
      <c r="H644" s="239"/>
      <c r="I644" s="239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</row>
    <row r="645" spans="1:28" ht="24" customHeight="1" x14ac:dyDescent="0.55000000000000004">
      <c r="A645" s="238"/>
      <c r="E645" s="239"/>
      <c r="F645" s="239"/>
      <c r="G645" s="239"/>
      <c r="H645" s="239"/>
      <c r="I645" s="239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101"/>
    </row>
    <row r="646" spans="1:28" ht="24" customHeight="1" x14ac:dyDescent="0.55000000000000004">
      <c r="A646" s="238"/>
      <c r="E646" s="239"/>
      <c r="F646" s="239"/>
      <c r="G646" s="239"/>
      <c r="H646" s="239"/>
      <c r="I646" s="239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101"/>
    </row>
    <row r="647" spans="1:28" ht="24" customHeight="1" x14ac:dyDescent="0.55000000000000004">
      <c r="A647" s="238"/>
      <c r="E647" s="239"/>
      <c r="F647" s="239"/>
      <c r="G647" s="239"/>
      <c r="H647" s="239"/>
      <c r="I647" s="239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</row>
    <row r="648" spans="1:28" ht="24" customHeight="1" x14ac:dyDescent="0.55000000000000004">
      <c r="A648" s="238"/>
      <c r="E648" s="239"/>
      <c r="F648" s="239"/>
      <c r="G648" s="239"/>
      <c r="H648" s="239"/>
      <c r="I648" s="239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</row>
    <row r="649" spans="1:28" ht="24" customHeight="1" x14ac:dyDescent="0.55000000000000004">
      <c r="A649" s="238"/>
      <c r="E649" s="239"/>
      <c r="F649" s="239"/>
      <c r="G649" s="239"/>
      <c r="H649" s="239"/>
      <c r="I649" s="239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</row>
    <row r="650" spans="1:28" ht="24" customHeight="1" x14ac:dyDescent="0.55000000000000004">
      <c r="A650" s="238"/>
      <c r="E650" s="239"/>
      <c r="F650" s="239"/>
      <c r="G650" s="239"/>
      <c r="H650" s="239"/>
      <c r="I650" s="239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101"/>
    </row>
    <row r="651" spans="1:28" ht="24" customHeight="1" x14ac:dyDescent="0.55000000000000004">
      <c r="A651" s="238"/>
      <c r="E651" s="239"/>
      <c r="F651" s="239"/>
      <c r="G651" s="239"/>
      <c r="H651" s="239"/>
      <c r="I651" s="239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101"/>
    </row>
    <row r="652" spans="1:28" ht="24" customHeight="1" x14ac:dyDescent="0.55000000000000004">
      <c r="A652" s="238"/>
      <c r="E652" s="239"/>
      <c r="F652" s="239"/>
      <c r="G652" s="239"/>
      <c r="H652" s="239"/>
      <c r="I652" s="239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101"/>
    </row>
    <row r="653" spans="1:28" ht="24" customHeight="1" x14ac:dyDescent="0.55000000000000004">
      <c r="A653" s="238"/>
      <c r="E653" s="239"/>
      <c r="F653" s="239"/>
      <c r="G653" s="239"/>
      <c r="H653" s="239"/>
      <c r="I653" s="239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101"/>
    </row>
    <row r="654" spans="1:28" ht="24" customHeight="1" x14ac:dyDescent="0.55000000000000004">
      <c r="A654" s="238"/>
      <c r="E654" s="239"/>
      <c r="F654" s="239"/>
      <c r="G654" s="239"/>
      <c r="H654" s="239"/>
      <c r="I654" s="239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</row>
    <row r="655" spans="1:28" ht="24" customHeight="1" x14ac:dyDescent="0.55000000000000004">
      <c r="A655" s="238"/>
      <c r="E655" s="239"/>
      <c r="F655" s="239"/>
      <c r="G655" s="239"/>
      <c r="H655" s="239"/>
      <c r="I655" s="239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101"/>
    </row>
    <row r="656" spans="1:28" ht="24" customHeight="1" x14ac:dyDescent="0.55000000000000004">
      <c r="A656" s="238"/>
      <c r="E656" s="239"/>
      <c r="F656" s="239"/>
      <c r="G656" s="239"/>
      <c r="H656" s="239"/>
      <c r="I656" s="239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</row>
    <row r="657" spans="1:28" ht="24" customHeight="1" x14ac:dyDescent="0.55000000000000004">
      <c r="A657" s="238"/>
      <c r="E657" s="239"/>
      <c r="F657" s="239"/>
      <c r="G657" s="239"/>
      <c r="H657" s="239"/>
      <c r="I657" s="239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</row>
    <row r="658" spans="1:28" ht="24" customHeight="1" x14ac:dyDescent="0.55000000000000004">
      <c r="A658" s="238"/>
      <c r="E658" s="239"/>
      <c r="F658" s="239"/>
      <c r="G658" s="239"/>
      <c r="H658" s="239"/>
      <c r="I658" s="239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</row>
    <row r="659" spans="1:28" ht="24" customHeight="1" x14ac:dyDescent="0.55000000000000004">
      <c r="A659" s="238"/>
      <c r="E659" s="239"/>
      <c r="F659" s="239"/>
      <c r="G659" s="239"/>
      <c r="H659" s="239"/>
      <c r="I659" s="239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</row>
    <row r="660" spans="1:28" ht="24" customHeight="1" x14ac:dyDescent="0.55000000000000004">
      <c r="A660" s="238"/>
      <c r="E660" s="239"/>
      <c r="F660" s="239"/>
      <c r="G660" s="239"/>
      <c r="H660" s="239"/>
      <c r="I660" s="239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</row>
    <row r="661" spans="1:28" ht="24" customHeight="1" x14ac:dyDescent="0.55000000000000004">
      <c r="A661" s="238"/>
      <c r="E661" s="239"/>
      <c r="F661" s="239"/>
      <c r="G661" s="239"/>
      <c r="H661" s="239"/>
      <c r="I661" s="239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</row>
    <row r="662" spans="1:28" ht="24" customHeight="1" x14ac:dyDescent="0.55000000000000004">
      <c r="A662" s="238"/>
      <c r="E662" s="239"/>
      <c r="F662" s="239"/>
      <c r="G662" s="239"/>
      <c r="H662" s="239"/>
      <c r="I662" s="239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</row>
    <row r="663" spans="1:28" ht="24" customHeight="1" x14ac:dyDescent="0.55000000000000004">
      <c r="A663" s="238"/>
      <c r="E663" s="239"/>
      <c r="F663" s="239"/>
      <c r="G663" s="239"/>
      <c r="H663" s="239"/>
      <c r="I663" s="239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101"/>
    </row>
    <row r="664" spans="1:28" ht="24" customHeight="1" x14ac:dyDescent="0.55000000000000004">
      <c r="A664" s="238"/>
      <c r="E664" s="239"/>
      <c r="F664" s="239"/>
      <c r="G664" s="239"/>
      <c r="H664" s="239"/>
      <c r="I664" s="239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</row>
    <row r="665" spans="1:28" ht="24" customHeight="1" x14ac:dyDescent="0.55000000000000004">
      <c r="A665" s="238"/>
      <c r="E665" s="239"/>
      <c r="F665" s="239"/>
      <c r="G665" s="239"/>
      <c r="H665" s="239"/>
      <c r="I665" s="239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</row>
    <row r="666" spans="1:28" ht="24" customHeight="1" x14ac:dyDescent="0.55000000000000004">
      <c r="A666" s="238"/>
      <c r="E666" s="239"/>
      <c r="F666" s="239"/>
      <c r="G666" s="239"/>
      <c r="H666" s="239"/>
      <c r="I666" s="239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</row>
    <row r="667" spans="1:28" ht="24" customHeight="1" x14ac:dyDescent="0.55000000000000004">
      <c r="A667" s="238"/>
      <c r="E667" s="239"/>
      <c r="F667" s="239"/>
      <c r="G667" s="239"/>
      <c r="H667" s="239"/>
      <c r="I667" s="239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</row>
    <row r="668" spans="1:28" ht="24" customHeight="1" x14ac:dyDescent="0.55000000000000004">
      <c r="A668" s="238"/>
      <c r="E668" s="239"/>
      <c r="F668" s="239"/>
      <c r="G668" s="239"/>
      <c r="H668" s="239"/>
      <c r="I668" s="239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</row>
    <row r="669" spans="1:28" ht="24" customHeight="1" x14ac:dyDescent="0.55000000000000004">
      <c r="A669" s="238"/>
      <c r="E669" s="239"/>
      <c r="F669" s="239"/>
      <c r="G669" s="239"/>
      <c r="H669" s="239"/>
      <c r="I669" s="239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</row>
    <row r="670" spans="1:28" ht="24" customHeight="1" x14ac:dyDescent="0.55000000000000004">
      <c r="A670" s="238"/>
      <c r="E670" s="239"/>
      <c r="F670" s="239"/>
      <c r="G670" s="239"/>
      <c r="H670" s="239"/>
      <c r="I670" s="239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</row>
    <row r="671" spans="1:28" ht="24" customHeight="1" x14ac:dyDescent="0.55000000000000004">
      <c r="A671" s="238"/>
      <c r="E671" s="239"/>
      <c r="F671" s="239"/>
      <c r="G671" s="239"/>
      <c r="H671" s="239"/>
      <c r="I671" s="239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</row>
    <row r="672" spans="1:28" ht="24" customHeight="1" x14ac:dyDescent="0.55000000000000004">
      <c r="A672" s="238"/>
      <c r="E672" s="239"/>
      <c r="F672" s="239"/>
      <c r="G672" s="239"/>
      <c r="H672" s="239"/>
      <c r="I672" s="239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</row>
    <row r="673" spans="1:28" ht="24" customHeight="1" x14ac:dyDescent="0.55000000000000004">
      <c r="A673" s="238"/>
      <c r="E673" s="239"/>
      <c r="F673" s="239"/>
      <c r="G673" s="239"/>
      <c r="H673" s="239"/>
      <c r="I673" s="239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</row>
    <row r="674" spans="1:28" ht="24" customHeight="1" x14ac:dyDescent="0.55000000000000004">
      <c r="A674" s="238"/>
      <c r="E674" s="239"/>
      <c r="F674" s="239"/>
      <c r="G674" s="239"/>
      <c r="H674" s="239"/>
      <c r="I674" s="239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</row>
    <row r="675" spans="1:28" ht="24" customHeight="1" x14ac:dyDescent="0.55000000000000004">
      <c r="A675" s="238"/>
      <c r="E675" s="239"/>
      <c r="F675" s="239"/>
      <c r="G675" s="239"/>
      <c r="H675" s="239"/>
      <c r="I675" s="239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</row>
    <row r="676" spans="1:28" ht="24" customHeight="1" x14ac:dyDescent="0.55000000000000004">
      <c r="A676" s="238"/>
      <c r="E676" s="239"/>
      <c r="F676" s="239"/>
      <c r="G676" s="239"/>
      <c r="H676" s="239"/>
      <c r="I676" s="239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</row>
    <row r="677" spans="1:28" ht="24" customHeight="1" x14ac:dyDescent="0.55000000000000004">
      <c r="A677" s="238"/>
      <c r="E677" s="239"/>
      <c r="F677" s="239"/>
      <c r="G677" s="239"/>
      <c r="H677" s="239"/>
      <c r="I677" s="239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</row>
    <row r="678" spans="1:28" ht="24" customHeight="1" x14ac:dyDescent="0.55000000000000004">
      <c r="A678" s="238"/>
      <c r="E678" s="239"/>
      <c r="F678" s="239"/>
      <c r="G678" s="239"/>
      <c r="H678" s="239"/>
      <c r="I678" s="239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</row>
    <row r="679" spans="1:28" ht="24" customHeight="1" x14ac:dyDescent="0.55000000000000004">
      <c r="A679" s="238"/>
      <c r="E679" s="239"/>
      <c r="F679" s="239"/>
      <c r="G679" s="239"/>
      <c r="H679" s="239"/>
      <c r="I679" s="239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101"/>
    </row>
    <row r="680" spans="1:28" ht="24" customHeight="1" x14ac:dyDescent="0.55000000000000004">
      <c r="A680" s="238"/>
      <c r="E680" s="239"/>
      <c r="F680" s="239"/>
      <c r="G680" s="239"/>
      <c r="H680" s="239"/>
      <c r="I680" s="239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</row>
    <row r="681" spans="1:28" ht="24" customHeight="1" x14ac:dyDescent="0.55000000000000004">
      <c r="A681" s="238"/>
      <c r="E681" s="239"/>
      <c r="F681" s="239"/>
      <c r="G681" s="239"/>
      <c r="H681" s="239"/>
      <c r="I681" s="239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</row>
    <row r="682" spans="1:28" ht="24" customHeight="1" x14ac:dyDescent="0.55000000000000004">
      <c r="A682" s="238"/>
      <c r="E682" s="239"/>
      <c r="F682" s="239"/>
      <c r="G682" s="239"/>
      <c r="H682" s="239"/>
      <c r="I682" s="239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</row>
    <row r="683" spans="1:28" ht="24" customHeight="1" x14ac:dyDescent="0.55000000000000004">
      <c r="A683" s="238"/>
      <c r="E683" s="239"/>
      <c r="F683" s="239"/>
      <c r="G683" s="239"/>
      <c r="H683" s="239"/>
      <c r="I683" s="239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</row>
    <row r="684" spans="1:28" ht="24" customHeight="1" x14ac:dyDescent="0.55000000000000004">
      <c r="A684" s="238"/>
      <c r="E684" s="239"/>
      <c r="F684" s="239"/>
      <c r="G684" s="239"/>
      <c r="H684" s="239"/>
      <c r="I684" s="239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101"/>
    </row>
    <row r="685" spans="1:28" ht="24" customHeight="1" x14ac:dyDescent="0.55000000000000004">
      <c r="A685" s="238"/>
      <c r="E685" s="239"/>
      <c r="F685" s="239"/>
      <c r="G685" s="239"/>
      <c r="H685" s="239"/>
      <c r="I685" s="239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  <c r="AA685" s="101"/>
      <c r="AB685" s="101"/>
    </row>
    <row r="686" spans="1:28" ht="24" customHeight="1" x14ac:dyDescent="0.55000000000000004">
      <c r="A686" s="238"/>
      <c r="E686" s="239"/>
      <c r="F686" s="239"/>
      <c r="G686" s="239"/>
      <c r="H686" s="239"/>
      <c r="I686" s="239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  <c r="AA686" s="101"/>
      <c r="AB686" s="101"/>
    </row>
    <row r="687" spans="1:28" ht="24" customHeight="1" x14ac:dyDescent="0.55000000000000004">
      <c r="A687" s="238"/>
      <c r="E687" s="239"/>
      <c r="F687" s="239"/>
      <c r="G687" s="239"/>
      <c r="H687" s="239"/>
      <c r="I687" s="239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101"/>
    </row>
    <row r="688" spans="1:28" ht="24" customHeight="1" x14ac:dyDescent="0.55000000000000004">
      <c r="A688" s="238"/>
      <c r="E688" s="239"/>
      <c r="F688" s="239"/>
      <c r="G688" s="239"/>
      <c r="H688" s="239"/>
      <c r="I688" s="239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101"/>
    </row>
    <row r="689" spans="1:28" ht="24" customHeight="1" x14ac:dyDescent="0.55000000000000004">
      <c r="A689" s="238"/>
      <c r="E689" s="239"/>
      <c r="F689" s="239"/>
      <c r="G689" s="239"/>
      <c r="H689" s="239"/>
      <c r="I689" s="239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101"/>
    </row>
    <row r="690" spans="1:28" ht="24" customHeight="1" x14ac:dyDescent="0.55000000000000004">
      <c r="A690" s="238"/>
      <c r="E690" s="239"/>
      <c r="F690" s="239"/>
      <c r="G690" s="239"/>
      <c r="H690" s="239"/>
      <c r="I690" s="239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101"/>
    </row>
    <row r="691" spans="1:28" ht="24" customHeight="1" x14ac:dyDescent="0.55000000000000004">
      <c r="A691" s="238"/>
      <c r="E691" s="239"/>
      <c r="F691" s="239"/>
      <c r="G691" s="239"/>
      <c r="H691" s="239"/>
      <c r="I691" s="239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101"/>
    </row>
    <row r="692" spans="1:28" ht="24" customHeight="1" x14ac:dyDescent="0.55000000000000004">
      <c r="A692" s="238"/>
      <c r="E692" s="239"/>
      <c r="F692" s="239"/>
      <c r="G692" s="239"/>
      <c r="H692" s="239"/>
      <c r="I692" s="239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</row>
    <row r="693" spans="1:28" ht="24" customHeight="1" x14ac:dyDescent="0.55000000000000004">
      <c r="A693" s="238"/>
      <c r="E693" s="239"/>
      <c r="F693" s="239"/>
      <c r="G693" s="239"/>
      <c r="H693" s="239"/>
      <c r="I693" s="239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101"/>
    </row>
    <row r="694" spans="1:28" ht="24" customHeight="1" x14ac:dyDescent="0.55000000000000004">
      <c r="A694" s="238"/>
      <c r="E694" s="239"/>
      <c r="F694" s="239"/>
      <c r="G694" s="239"/>
      <c r="H694" s="239"/>
      <c r="I694" s="239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</row>
    <row r="695" spans="1:28" ht="24" customHeight="1" x14ac:dyDescent="0.55000000000000004">
      <c r="A695" s="238"/>
      <c r="E695" s="239"/>
      <c r="F695" s="239"/>
      <c r="G695" s="239"/>
      <c r="H695" s="239"/>
      <c r="I695" s="239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</row>
    <row r="696" spans="1:28" ht="24" customHeight="1" x14ac:dyDescent="0.55000000000000004">
      <c r="A696" s="238"/>
      <c r="E696" s="239"/>
      <c r="F696" s="239"/>
      <c r="G696" s="239"/>
      <c r="H696" s="239"/>
      <c r="I696" s="239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101"/>
    </row>
    <row r="697" spans="1:28" ht="24" customHeight="1" x14ac:dyDescent="0.55000000000000004">
      <c r="A697" s="238"/>
      <c r="E697" s="239"/>
      <c r="F697" s="239"/>
      <c r="G697" s="239"/>
      <c r="H697" s="239"/>
      <c r="I697" s="239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</row>
    <row r="698" spans="1:28" ht="24" customHeight="1" x14ac:dyDescent="0.55000000000000004">
      <c r="A698" s="238"/>
      <c r="E698" s="239"/>
      <c r="F698" s="239"/>
      <c r="G698" s="239"/>
      <c r="H698" s="239"/>
      <c r="I698" s="239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</row>
    <row r="699" spans="1:28" ht="24" customHeight="1" x14ac:dyDescent="0.55000000000000004">
      <c r="A699" s="238"/>
      <c r="E699" s="239"/>
      <c r="F699" s="239"/>
      <c r="G699" s="239"/>
      <c r="H699" s="239"/>
      <c r="I699" s="239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</row>
    <row r="700" spans="1:28" ht="24" customHeight="1" x14ac:dyDescent="0.55000000000000004">
      <c r="A700" s="238"/>
      <c r="E700" s="239"/>
      <c r="F700" s="239"/>
      <c r="G700" s="239"/>
      <c r="H700" s="239"/>
      <c r="I700" s="239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</row>
    <row r="701" spans="1:28" ht="24" customHeight="1" x14ac:dyDescent="0.55000000000000004">
      <c r="A701" s="238"/>
      <c r="E701" s="239"/>
      <c r="F701" s="239"/>
      <c r="G701" s="239"/>
      <c r="H701" s="239"/>
      <c r="I701" s="239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101"/>
    </row>
    <row r="702" spans="1:28" ht="24" customHeight="1" x14ac:dyDescent="0.55000000000000004">
      <c r="A702" s="238"/>
      <c r="E702" s="239"/>
      <c r="F702" s="239"/>
      <c r="G702" s="239"/>
      <c r="H702" s="239"/>
      <c r="I702" s="239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</row>
    <row r="703" spans="1:28" ht="24" customHeight="1" x14ac:dyDescent="0.55000000000000004">
      <c r="A703" s="238"/>
      <c r="E703" s="239"/>
      <c r="F703" s="239"/>
      <c r="G703" s="239"/>
      <c r="H703" s="239"/>
      <c r="I703" s="239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101"/>
    </row>
    <row r="704" spans="1:28" ht="24" customHeight="1" x14ac:dyDescent="0.55000000000000004">
      <c r="A704" s="238"/>
      <c r="E704" s="239"/>
      <c r="F704" s="239"/>
      <c r="G704" s="239"/>
      <c r="H704" s="239"/>
      <c r="I704" s="239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101"/>
    </row>
    <row r="705" spans="1:28" ht="24" customHeight="1" x14ac:dyDescent="0.55000000000000004">
      <c r="A705" s="238"/>
      <c r="E705" s="239"/>
      <c r="F705" s="239"/>
      <c r="G705" s="239"/>
      <c r="H705" s="239"/>
      <c r="I705" s="239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</row>
    <row r="706" spans="1:28" ht="24" customHeight="1" x14ac:dyDescent="0.55000000000000004">
      <c r="A706" s="238"/>
      <c r="E706" s="239"/>
      <c r="F706" s="239"/>
      <c r="G706" s="239"/>
      <c r="H706" s="239"/>
      <c r="I706" s="239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101"/>
    </row>
    <row r="707" spans="1:28" ht="24" customHeight="1" x14ac:dyDescent="0.55000000000000004">
      <c r="A707" s="238"/>
      <c r="E707" s="239"/>
      <c r="F707" s="239"/>
      <c r="G707" s="239"/>
      <c r="H707" s="239"/>
      <c r="I707" s="239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101"/>
    </row>
    <row r="708" spans="1:28" ht="24" customHeight="1" x14ac:dyDescent="0.55000000000000004">
      <c r="A708" s="238"/>
      <c r="E708" s="239"/>
      <c r="F708" s="239"/>
      <c r="G708" s="239"/>
      <c r="H708" s="239"/>
      <c r="I708" s="239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101"/>
    </row>
    <row r="709" spans="1:28" ht="24" customHeight="1" x14ac:dyDescent="0.55000000000000004">
      <c r="A709" s="238"/>
      <c r="E709" s="239"/>
      <c r="F709" s="239"/>
      <c r="G709" s="239"/>
      <c r="H709" s="239"/>
      <c r="I709" s="239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101"/>
    </row>
    <row r="710" spans="1:28" ht="24" customHeight="1" x14ac:dyDescent="0.55000000000000004">
      <c r="A710" s="238"/>
      <c r="E710" s="239"/>
      <c r="F710" s="239"/>
      <c r="G710" s="239"/>
      <c r="H710" s="239"/>
      <c r="I710" s="239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101"/>
    </row>
    <row r="711" spans="1:28" ht="24" customHeight="1" x14ac:dyDescent="0.55000000000000004">
      <c r="A711" s="238"/>
      <c r="E711" s="239"/>
      <c r="F711" s="239"/>
      <c r="G711" s="239"/>
      <c r="H711" s="239"/>
      <c r="I711" s="239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  <c r="AA711" s="101"/>
      <c r="AB711" s="101"/>
    </row>
    <row r="712" spans="1:28" ht="24" customHeight="1" x14ac:dyDescent="0.55000000000000004">
      <c r="A712" s="238"/>
      <c r="E712" s="239"/>
      <c r="F712" s="239"/>
      <c r="G712" s="239"/>
      <c r="H712" s="239"/>
      <c r="I712" s="239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  <c r="AA712" s="101"/>
      <c r="AB712" s="101"/>
    </row>
    <row r="713" spans="1:28" ht="24" customHeight="1" x14ac:dyDescent="0.55000000000000004">
      <c r="A713" s="238"/>
      <c r="E713" s="239"/>
      <c r="F713" s="239"/>
      <c r="G713" s="239"/>
      <c r="H713" s="239"/>
      <c r="I713" s="239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  <c r="AA713" s="101"/>
      <c r="AB713" s="101"/>
    </row>
    <row r="714" spans="1:28" ht="24" customHeight="1" x14ac:dyDescent="0.55000000000000004">
      <c r="A714" s="238"/>
      <c r="E714" s="239"/>
      <c r="F714" s="239"/>
      <c r="G714" s="239"/>
      <c r="H714" s="239"/>
      <c r="I714" s="239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101"/>
    </row>
    <row r="715" spans="1:28" ht="24" customHeight="1" x14ac:dyDescent="0.55000000000000004">
      <c r="A715" s="238"/>
      <c r="E715" s="239"/>
      <c r="F715" s="239"/>
      <c r="G715" s="239"/>
      <c r="H715" s="239"/>
      <c r="I715" s="239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</row>
    <row r="716" spans="1:28" ht="24" customHeight="1" x14ac:dyDescent="0.55000000000000004">
      <c r="A716" s="238"/>
      <c r="E716" s="239"/>
      <c r="F716" s="239"/>
      <c r="G716" s="239"/>
      <c r="H716" s="239"/>
      <c r="I716" s="239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101"/>
    </row>
    <row r="717" spans="1:28" ht="24" customHeight="1" x14ac:dyDescent="0.55000000000000004">
      <c r="A717" s="238"/>
      <c r="E717" s="239"/>
      <c r="F717" s="239"/>
      <c r="G717" s="239"/>
      <c r="H717" s="239"/>
      <c r="I717" s="239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101"/>
    </row>
    <row r="718" spans="1:28" ht="24" customHeight="1" x14ac:dyDescent="0.55000000000000004">
      <c r="A718" s="238"/>
      <c r="E718" s="239"/>
      <c r="F718" s="239"/>
      <c r="G718" s="239"/>
      <c r="H718" s="239"/>
      <c r="I718" s="239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101"/>
    </row>
    <row r="719" spans="1:28" ht="24" customHeight="1" x14ac:dyDescent="0.55000000000000004">
      <c r="A719" s="238"/>
      <c r="E719" s="239"/>
      <c r="F719" s="239"/>
      <c r="G719" s="239"/>
      <c r="H719" s="239"/>
      <c r="I719" s="239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101"/>
    </row>
    <row r="720" spans="1:28" ht="24" customHeight="1" x14ac:dyDescent="0.55000000000000004">
      <c r="A720" s="238"/>
      <c r="E720" s="239"/>
      <c r="F720" s="239"/>
      <c r="G720" s="239"/>
      <c r="H720" s="239"/>
      <c r="I720" s="239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</row>
    <row r="721" spans="1:28" ht="24" customHeight="1" x14ac:dyDescent="0.55000000000000004">
      <c r="A721" s="238"/>
      <c r="E721" s="239"/>
      <c r="F721" s="239"/>
      <c r="G721" s="239"/>
      <c r="H721" s="239"/>
      <c r="I721" s="239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101"/>
    </row>
    <row r="722" spans="1:28" ht="24" customHeight="1" x14ac:dyDescent="0.55000000000000004">
      <c r="A722" s="238"/>
      <c r="E722" s="239"/>
      <c r="F722" s="239"/>
      <c r="G722" s="239"/>
      <c r="H722" s="239"/>
      <c r="I722" s="239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101"/>
    </row>
    <row r="723" spans="1:28" ht="24" customHeight="1" x14ac:dyDescent="0.55000000000000004">
      <c r="A723" s="238"/>
      <c r="E723" s="239"/>
      <c r="F723" s="239"/>
      <c r="G723" s="239"/>
      <c r="H723" s="239"/>
      <c r="I723" s="239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</row>
    <row r="724" spans="1:28" ht="24" customHeight="1" x14ac:dyDescent="0.55000000000000004">
      <c r="A724" s="238"/>
      <c r="E724" s="239"/>
      <c r="F724" s="239"/>
      <c r="G724" s="239"/>
      <c r="H724" s="239"/>
      <c r="I724" s="239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</row>
    <row r="725" spans="1:28" ht="24" customHeight="1" x14ac:dyDescent="0.55000000000000004">
      <c r="A725" s="238"/>
      <c r="E725" s="239"/>
      <c r="F725" s="239"/>
      <c r="G725" s="239"/>
      <c r="H725" s="239"/>
      <c r="I725" s="239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</row>
    <row r="726" spans="1:28" ht="24" customHeight="1" x14ac:dyDescent="0.55000000000000004">
      <c r="A726" s="238"/>
      <c r="E726" s="239"/>
      <c r="F726" s="239"/>
      <c r="G726" s="239"/>
      <c r="H726" s="239"/>
      <c r="I726" s="239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</row>
    <row r="727" spans="1:28" ht="24" customHeight="1" x14ac:dyDescent="0.55000000000000004">
      <c r="A727" s="238"/>
      <c r="E727" s="239"/>
      <c r="F727" s="239"/>
      <c r="G727" s="239"/>
      <c r="H727" s="239"/>
      <c r="I727" s="239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101"/>
    </row>
    <row r="728" spans="1:28" ht="24" customHeight="1" x14ac:dyDescent="0.55000000000000004">
      <c r="A728" s="238"/>
      <c r="E728" s="239"/>
      <c r="F728" s="239"/>
      <c r="G728" s="239"/>
      <c r="H728" s="239"/>
      <c r="I728" s="239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101"/>
    </row>
    <row r="729" spans="1:28" ht="24" customHeight="1" x14ac:dyDescent="0.55000000000000004">
      <c r="A729" s="238"/>
      <c r="E729" s="239"/>
      <c r="F729" s="239"/>
      <c r="G729" s="239"/>
      <c r="H729" s="239"/>
      <c r="I729" s="239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101"/>
    </row>
    <row r="730" spans="1:28" ht="24" customHeight="1" x14ac:dyDescent="0.55000000000000004">
      <c r="A730" s="238"/>
      <c r="E730" s="239"/>
      <c r="F730" s="239"/>
      <c r="G730" s="239"/>
      <c r="H730" s="239"/>
      <c r="I730" s="239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101"/>
    </row>
    <row r="731" spans="1:28" ht="24" customHeight="1" x14ac:dyDescent="0.55000000000000004">
      <c r="A731" s="238"/>
      <c r="E731" s="239"/>
      <c r="F731" s="239"/>
      <c r="G731" s="239"/>
      <c r="H731" s="239"/>
      <c r="I731" s="239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  <c r="AA731" s="101"/>
      <c r="AB731" s="101"/>
    </row>
    <row r="732" spans="1:28" ht="24" customHeight="1" x14ac:dyDescent="0.55000000000000004">
      <c r="A732" s="238"/>
      <c r="E732" s="239"/>
      <c r="F732" s="239"/>
      <c r="G732" s="239"/>
      <c r="H732" s="239"/>
      <c r="I732" s="239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101"/>
    </row>
    <row r="733" spans="1:28" ht="24" customHeight="1" x14ac:dyDescent="0.55000000000000004">
      <c r="A733" s="238"/>
      <c r="E733" s="239"/>
      <c r="F733" s="239"/>
      <c r="G733" s="239"/>
      <c r="H733" s="239"/>
      <c r="I733" s="239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</row>
    <row r="734" spans="1:28" ht="24" customHeight="1" x14ac:dyDescent="0.55000000000000004">
      <c r="A734" s="238"/>
      <c r="E734" s="239"/>
      <c r="F734" s="239"/>
      <c r="G734" s="239"/>
      <c r="H734" s="239"/>
      <c r="I734" s="239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</row>
    <row r="735" spans="1:28" ht="24" customHeight="1" x14ac:dyDescent="0.55000000000000004">
      <c r="A735" s="238"/>
      <c r="E735" s="239"/>
      <c r="F735" s="239"/>
      <c r="G735" s="239"/>
      <c r="H735" s="239"/>
      <c r="I735" s="239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101"/>
    </row>
    <row r="736" spans="1:28" ht="24" customHeight="1" x14ac:dyDescent="0.55000000000000004">
      <c r="A736" s="238"/>
      <c r="E736" s="239"/>
      <c r="F736" s="239"/>
      <c r="G736" s="239"/>
      <c r="H736" s="239"/>
      <c r="I736" s="239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</row>
    <row r="737" spans="1:28" ht="24" customHeight="1" x14ac:dyDescent="0.55000000000000004">
      <c r="A737" s="238"/>
      <c r="E737" s="239"/>
      <c r="F737" s="239"/>
      <c r="G737" s="239"/>
      <c r="H737" s="239"/>
      <c r="I737" s="239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  <c r="AA737" s="101"/>
      <c r="AB737" s="101"/>
    </row>
    <row r="738" spans="1:28" ht="24" customHeight="1" x14ac:dyDescent="0.55000000000000004">
      <c r="A738" s="238"/>
      <c r="E738" s="239"/>
      <c r="F738" s="239"/>
      <c r="G738" s="239"/>
      <c r="H738" s="239"/>
      <c r="I738" s="239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101"/>
    </row>
    <row r="739" spans="1:28" ht="24" customHeight="1" x14ac:dyDescent="0.55000000000000004">
      <c r="A739" s="238"/>
      <c r="E739" s="239"/>
      <c r="F739" s="239"/>
      <c r="G739" s="239"/>
      <c r="H739" s="239"/>
      <c r="I739" s="239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</row>
    <row r="740" spans="1:28" ht="24" customHeight="1" x14ac:dyDescent="0.55000000000000004">
      <c r="A740" s="238"/>
      <c r="E740" s="239"/>
      <c r="F740" s="239"/>
      <c r="G740" s="239"/>
      <c r="H740" s="239"/>
      <c r="I740" s="239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</row>
    <row r="741" spans="1:28" ht="24" customHeight="1" x14ac:dyDescent="0.55000000000000004">
      <c r="A741" s="238"/>
      <c r="E741" s="239"/>
      <c r="F741" s="239"/>
      <c r="G741" s="239"/>
      <c r="H741" s="239"/>
      <c r="I741" s="239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</row>
    <row r="742" spans="1:28" ht="24" customHeight="1" x14ac:dyDescent="0.55000000000000004">
      <c r="A742" s="238"/>
      <c r="E742" s="239"/>
      <c r="F742" s="239"/>
      <c r="G742" s="239"/>
      <c r="H742" s="239"/>
      <c r="I742" s="239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101"/>
    </row>
    <row r="743" spans="1:28" ht="24" customHeight="1" x14ac:dyDescent="0.55000000000000004">
      <c r="A743" s="238"/>
      <c r="E743" s="239"/>
      <c r="F743" s="239"/>
      <c r="G743" s="239"/>
      <c r="H743" s="239"/>
      <c r="I743" s="239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101"/>
    </row>
    <row r="744" spans="1:28" ht="24" customHeight="1" x14ac:dyDescent="0.55000000000000004">
      <c r="A744" s="238"/>
      <c r="E744" s="239"/>
      <c r="F744" s="239"/>
      <c r="G744" s="239"/>
      <c r="H744" s="239"/>
      <c r="I744" s="239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101"/>
    </row>
    <row r="745" spans="1:28" ht="24" customHeight="1" x14ac:dyDescent="0.55000000000000004">
      <c r="A745" s="238"/>
      <c r="E745" s="239"/>
      <c r="F745" s="239"/>
      <c r="G745" s="239"/>
      <c r="H745" s="239"/>
      <c r="I745" s="239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101"/>
    </row>
    <row r="746" spans="1:28" ht="24" customHeight="1" x14ac:dyDescent="0.55000000000000004">
      <c r="A746" s="238"/>
      <c r="E746" s="239"/>
      <c r="F746" s="239"/>
      <c r="G746" s="239"/>
      <c r="H746" s="239"/>
      <c r="I746" s="239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</row>
    <row r="747" spans="1:28" ht="24" customHeight="1" x14ac:dyDescent="0.55000000000000004">
      <c r="A747" s="238"/>
      <c r="E747" s="239"/>
      <c r="F747" s="239"/>
      <c r="G747" s="239"/>
      <c r="H747" s="239"/>
      <c r="I747" s="239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</row>
    <row r="748" spans="1:28" ht="24" customHeight="1" x14ac:dyDescent="0.55000000000000004">
      <c r="A748" s="238"/>
      <c r="E748" s="239"/>
      <c r="F748" s="239"/>
      <c r="G748" s="239"/>
      <c r="H748" s="239"/>
      <c r="I748" s="239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101"/>
    </row>
    <row r="749" spans="1:28" ht="24" customHeight="1" x14ac:dyDescent="0.55000000000000004">
      <c r="A749" s="238"/>
      <c r="E749" s="239"/>
      <c r="F749" s="239"/>
      <c r="G749" s="239"/>
      <c r="H749" s="239"/>
      <c r="I749" s="239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</row>
    <row r="750" spans="1:28" ht="24" customHeight="1" x14ac:dyDescent="0.55000000000000004">
      <c r="A750" s="238"/>
      <c r="E750" s="239"/>
      <c r="F750" s="239"/>
      <c r="G750" s="239"/>
      <c r="H750" s="239"/>
      <c r="I750" s="239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</row>
    <row r="751" spans="1:28" ht="24" customHeight="1" x14ac:dyDescent="0.55000000000000004">
      <c r="A751" s="238"/>
      <c r="E751" s="239"/>
      <c r="F751" s="239"/>
      <c r="G751" s="239"/>
      <c r="H751" s="239"/>
      <c r="I751" s="239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101"/>
    </row>
    <row r="752" spans="1:28" ht="24" customHeight="1" x14ac:dyDescent="0.55000000000000004">
      <c r="A752" s="238"/>
      <c r="E752" s="239"/>
      <c r="F752" s="239"/>
      <c r="G752" s="239"/>
      <c r="H752" s="239"/>
      <c r="I752" s="239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101"/>
    </row>
    <row r="753" spans="1:28" ht="24" customHeight="1" x14ac:dyDescent="0.55000000000000004">
      <c r="A753" s="238"/>
      <c r="E753" s="239"/>
      <c r="F753" s="239"/>
      <c r="G753" s="239"/>
      <c r="H753" s="239"/>
      <c r="I753" s="239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</row>
    <row r="754" spans="1:28" ht="24" customHeight="1" x14ac:dyDescent="0.55000000000000004">
      <c r="A754" s="238"/>
      <c r="E754" s="239"/>
      <c r="F754" s="239"/>
      <c r="G754" s="239"/>
      <c r="H754" s="239"/>
      <c r="I754" s="239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101"/>
    </row>
    <row r="755" spans="1:28" ht="24" customHeight="1" x14ac:dyDescent="0.55000000000000004">
      <c r="A755" s="238"/>
      <c r="E755" s="239"/>
      <c r="F755" s="239"/>
      <c r="G755" s="239"/>
      <c r="H755" s="239"/>
      <c r="I755" s="239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</row>
    <row r="756" spans="1:28" ht="24" customHeight="1" x14ac:dyDescent="0.55000000000000004">
      <c r="A756" s="238"/>
      <c r="E756" s="239"/>
      <c r="F756" s="239"/>
      <c r="G756" s="239"/>
      <c r="H756" s="239"/>
      <c r="I756" s="239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</row>
    <row r="757" spans="1:28" ht="24" customHeight="1" x14ac:dyDescent="0.55000000000000004">
      <c r="A757" s="238"/>
      <c r="E757" s="239"/>
      <c r="F757" s="239"/>
      <c r="G757" s="239"/>
      <c r="H757" s="239"/>
      <c r="I757" s="239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  <c r="AA757" s="101"/>
      <c r="AB757" s="101"/>
    </row>
    <row r="758" spans="1:28" ht="24" customHeight="1" x14ac:dyDescent="0.55000000000000004">
      <c r="A758" s="238"/>
      <c r="E758" s="239"/>
      <c r="F758" s="239"/>
      <c r="G758" s="239"/>
      <c r="H758" s="239"/>
      <c r="I758" s="239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  <c r="AA758" s="101"/>
      <c r="AB758" s="101"/>
    </row>
    <row r="759" spans="1:28" ht="24" customHeight="1" x14ac:dyDescent="0.55000000000000004">
      <c r="A759" s="238"/>
      <c r="E759" s="239"/>
      <c r="F759" s="239"/>
      <c r="G759" s="239"/>
      <c r="H759" s="239"/>
      <c r="I759" s="239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  <c r="AA759" s="101"/>
      <c r="AB759" s="101"/>
    </row>
    <row r="760" spans="1:28" ht="24" customHeight="1" x14ac:dyDescent="0.55000000000000004">
      <c r="A760" s="238"/>
      <c r="E760" s="239"/>
      <c r="F760" s="239"/>
      <c r="G760" s="239"/>
      <c r="H760" s="239"/>
      <c r="I760" s="239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  <c r="AA760" s="101"/>
      <c r="AB760" s="101"/>
    </row>
    <row r="761" spans="1:28" ht="24" customHeight="1" x14ac:dyDescent="0.55000000000000004">
      <c r="A761" s="238"/>
      <c r="E761" s="239"/>
      <c r="F761" s="239"/>
      <c r="G761" s="239"/>
      <c r="H761" s="239"/>
      <c r="I761" s="239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  <c r="AA761" s="101"/>
      <c r="AB761" s="101"/>
    </row>
    <row r="762" spans="1:28" ht="24" customHeight="1" x14ac:dyDescent="0.55000000000000004">
      <c r="A762" s="238"/>
      <c r="E762" s="239"/>
      <c r="F762" s="239"/>
      <c r="G762" s="239"/>
      <c r="H762" s="239"/>
      <c r="I762" s="239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  <c r="AA762" s="101"/>
      <c r="AB762" s="101"/>
    </row>
    <row r="763" spans="1:28" ht="24" customHeight="1" x14ac:dyDescent="0.55000000000000004">
      <c r="A763" s="238"/>
      <c r="E763" s="239"/>
      <c r="F763" s="239"/>
      <c r="G763" s="239"/>
      <c r="H763" s="239"/>
      <c r="I763" s="239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  <c r="AA763" s="101"/>
      <c r="AB763" s="101"/>
    </row>
    <row r="764" spans="1:28" ht="24" customHeight="1" x14ac:dyDescent="0.55000000000000004">
      <c r="A764" s="238"/>
      <c r="E764" s="239"/>
      <c r="F764" s="239"/>
      <c r="G764" s="239"/>
      <c r="H764" s="239"/>
      <c r="I764" s="239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  <c r="AA764" s="101"/>
      <c r="AB764" s="101"/>
    </row>
    <row r="765" spans="1:28" ht="24" customHeight="1" x14ac:dyDescent="0.55000000000000004">
      <c r="A765" s="238"/>
      <c r="E765" s="239"/>
      <c r="F765" s="239"/>
      <c r="G765" s="239"/>
      <c r="H765" s="239"/>
      <c r="I765" s="239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  <c r="AA765" s="101"/>
      <c r="AB765" s="101"/>
    </row>
    <row r="766" spans="1:28" ht="24" customHeight="1" x14ac:dyDescent="0.55000000000000004">
      <c r="A766" s="238"/>
      <c r="E766" s="239"/>
      <c r="F766" s="239"/>
      <c r="G766" s="239"/>
      <c r="H766" s="239"/>
      <c r="I766" s="239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  <c r="AA766" s="101"/>
      <c r="AB766" s="101"/>
    </row>
    <row r="767" spans="1:28" ht="24" customHeight="1" x14ac:dyDescent="0.55000000000000004">
      <c r="A767" s="238"/>
      <c r="E767" s="239"/>
      <c r="F767" s="239"/>
      <c r="G767" s="239"/>
      <c r="H767" s="239"/>
      <c r="I767" s="239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  <c r="AA767" s="101"/>
      <c r="AB767" s="101"/>
    </row>
    <row r="768" spans="1:28" ht="24" customHeight="1" x14ac:dyDescent="0.55000000000000004">
      <c r="A768" s="238"/>
      <c r="E768" s="239"/>
      <c r="F768" s="239"/>
      <c r="G768" s="239"/>
      <c r="H768" s="239"/>
      <c r="I768" s="239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  <c r="AA768" s="101"/>
      <c r="AB768" s="101"/>
    </row>
    <row r="769" spans="1:28" ht="24" customHeight="1" x14ac:dyDescent="0.55000000000000004">
      <c r="A769" s="238"/>
      <c r="E769" s="239"/>
      <c r="F769" s="239"/>
      <c r="G769" s="239"/>
      <c r="H769" s="239"/>
      <c r="I769" s="239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  <c r="AA769" s="101"/>
      <c r="AB769" s="101"/>
    </row>
    <row r="770" spans="1:28" ht="24" customHeight="1" x14ac:dyDescent="0.55000000000000004">
      <c r="A770" s="238"/>
      <c r="E770" s="239"/>
      <c r="F770" s="239"/>
      <c r="G770" s="239"/>
      <c r="H770" s="239"/>
      <c r="I770" s="239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  <c r="AA770" s="101"/>
      <c r="AB770" s="101"/>
    </row>
    <row r="771" spans="1:28" ht="24" customHeight="1" x14ac:dyDescent="0.55000000000000004">
      <c r="A771" s="238"/>
      <c r="E771" s="239"/>
      <c r="F771" s="239"/>
      <c r="G771" s="239"/>
      <c r="H771" s="239"/>
      <c r="I771" s="239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  <c r="AA771" s="101"/>
      <c r="AB771" s="101"/>
    </row>
    <row r="772" spans="1:28" ht="24" customHeight="1" x14ac:dyDescent="0.55000000000000004">
      <c r="A772" s="238"/>
      <c r="E772" s="239"/>
      <c r="F772" s="239"/>
      <c r="G772" s="239"/>
      <c r="H772" s="239"/>
      <c r="I772" s="239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  <c r="AA772" s="101"/>
      <c r="AB772" s="101"/>
    </row>
    <row r="773" spans="1:28" ht="24" customHeight="1" x14ac:dyDescent="0.55000000000000004">
      <c r="A773" s="238"/>
      <c r="E773" s="239"/>
      <c r="F773" s="239"/>
      <c r="G773" s="239"/>
      <c r="H773" s="239"/>
      <c r="I773" s="239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  <c r="AA773" s="101"/>
      <c r="AB773" s="101"/>
    </row>
    <row r="774" spans="1:28" ht="24" customHeight="1" x14ac:dyDescent="0.55000000000000004">
      <c r="A774" s="238"/>
      <c r="E774" s="239"/>
      <c r="F774" s="239"/>
      <c r="G774" s="239"/>
      <c r="H774" s="239"/>
      <c r="I774" s="239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  <c r="AA774" s="101"/>
      <c r="AB774" s="101"/>
    </row>
    <row r="775" spans="1:28" ht="24" customHeight="1" x14ac:dyDescent="0.55000000000000004">
      <c r="A775" s="238"/>
      <c r="E775" s="239"/>
      <c r="F775" s="239"/>
      <c r="G775" s="239"/>
      <c r="H775" s="239"/>
      <c r="I775" s="239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  <c r="AA775" s="101"/>
      <c r="AB775" s="101"/>
    </row>
  </sheetData>
  <mergeCells count="16">
    <mergeCell ref="B95:C95"/>
    <mergeCell ref="B101:C101"/>
    <mergeCell ref="B109:C109"/>
    <mergeCell ref="B114:D114"/>
    <mergeCell ref="B71:C71"/>
    <mergeCell ref="B78:C78"/>
    <mergeCell ref="B81:C81"/>
    <mergeCell ref="B87:C87"/>
    <mergeCell ref="B92:C92"/>
    <mergeCell ref="B94:D94"/>
    <mergeCell ref="B5:C5"/>
    <mergeCell ref="B14:C14"/>
    <mergeCell ref="B31:C31"/>
    <mergeCell ref="B40:C40"/>
    <mergeCell ref="B51:C51"/>
    <mergeCell ref="B63:C63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1.1.4</vt:lpstr>
      <vt:lpstr>รายละเอียด 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2022-04-12T03:12:35Z</dcterms:created>
  <dcterms:modified xsi:type="dcterms:W3CDTF">2022-04-12T03:12:46Z</dcterms:modified>
</cp:coreProperties>
</file>