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5" i="2" l="1"/>
  <c r="K1336" i="2" s="1"/>
  <c r="K1334" i="2"/>
  <c r="K1332" i="2"/>
  <c r="K1331" i="2"/>
  <c r="K1333" i="2" s="1"/>
  <c r="K1329" i="2"/>
  <c r="K1330" i="2" s="1"/>
  <c r="K1328" i="2"/>
  <c r="K1327" i="2"/>
  <c r="K1326" i="2"/>
  <c r="K1325" i="2"/>
  <c r="K1324" i="2"/>
  <c r="K1323" i="2"/>
  <c r="K1321" i="2"/>
  <c r="K1320" i="2"/>
  <c r="K1319" i="2"/>
  <c r="K1322" i="2" s="1"/>
  <c r="K1318" i="2"/>
  <c r="K1317" i="2"/>
  <c r="K1315" i="2"/>
  <c r="K1314" i="2"/>
  <c r="K1313" i="2"/>
  <c r="K1316" i="2" s="1"/>
  <c r="K1311" i="2"/>
  <c r="K1310" i="2"/>
  <c r="K1309" i="2"/>
  <c r="K1308" i="2"/>
  <c r="K1307" i="2"/>
  <c r="K1312" i="2" s="1"/>
  <c r="K1305" i="2"/>
  <c r="K1304" i="2"/>
  <c r="K1303" i="2"/>
  <c r="K1306" i="2" s="1"/>
  <c r="K1302" i="2"/>
  <c r="K1301" i="2"/>
  <c r="K1299" i="2"/>
  <c r="K1298" i="2"/>
  <c r="K1297" i="2"/>
  <c r="K1296" i="2"/>
  <c r="K1295" i="2"/>
  <c r="K1300" i="2" s="1"/>
  <c r="K1293" i="2"/>
  <c r="K1292" i="2"/>
  <c r="K1291" i="2"/>
  <c r="K1290" i="2"/>
  <c r="K1294" i="2" s="1"/>
  <c r="K1288" i="2"/>
  <c r="K1287" i="2"/>
  <c r="K1289" i="2" s="1"/>
  <c r="K1286" i="2"/>
  <c r="K1284" i="2"/>
  <c r="K1283" i="2"/>
  <c r="K1282" i="2"/>
  <c r="K1281" i="2"/>
  <c r="K1285" i="2" s="1"/>
  <c r="K1279" i="2"/>
  <c r="K1278" i="2"/>
  <c r="K1277" i="2"/>
  <c r="K1276" i="2"/>
  <c r="K1275" i="2"/>
  <c r="K1280" i="2" s="1"/>
  <c r="K1273" i="2"/>
  <c r="K1272" i="2"/>
  <c r="K1271" i="2"/>
  <c r="K1270" i="2"/>
  <c r="K1269" i="2"/>
  <c r="K1268" i="2"/>
  <c r="K1267" i="2"/>
  <c r="K1274" i="2" s="1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0" i="2"/>
  <c r="K1249" i="2"/>
  <c r="K1248" i="2"/>
  <c r="K1251" i="2" s="1"/>
  <c r="K1246" i="2"/>
  <c r="K1245" i="2"/>
  <c r="K1244" i="2"/>
  <c r="K1247" i="2" s="1"/>
  <c r="K1242" i="2"/>
  <c r="K1241" i="2"/>
  <c r="K1240" i="2"/>
  <c r="K1243" i="2" s="1"/>
  <c r="K1238" i="2"/>
  <c r="K1237" i="2"/>
  <c r="K1236" i="2"/>
  <c r="K1239" i="2" s="1"/>
  <c r="K1234" i="2"/>
  <c r="K1233" i="2"/>
  <c r="K1232" i="2"/>
  <c r="K1235" i="2" s="1"/>
  <c r="K1230" i="2"/>
  <c r="K1231" i="2" s="1"/>
  <c r="K1229" i="2"/>
  <c r="K1228" i="2"/>
  <c r="K1226" i="2"/>
  <c r="K1225" i="2"/>
  <c r="K1224" i="2"/>
  <c r="K1227" i="2" s="1"/>
  <c r="K1222" i="2"/>
  <c r="K1223" i="2" s="1"/>
  <c r="K1221" i="2"/>
  <c r="K1220" i="2"/>
  <c r="K1219" i="2"/>
  <c r="K1210" i="2"/>
  <c r="K1202" i="2"/>
  <c r="K1201" i="2"/>
  <c r="K1200" i="2"/>
  <c r="K1203" i="2" s="1"/>
  <c r="K1199" i="2"/>
  <c r="K1198" i="2"/>
  <c r="K1196" i="2"/>
  <c r="K1195" i="2"/>
  <c r="K1194" i="2"/>
  <c r="K1197" i="2" s="1"/>
  <c r="K1193" i="2"/>
  <c r="K1192" i="2"/>
  <c r="K1191" i="2"/>
  <c r="K1190" i="2"/>
  <c r="K1189" i="2"/>
  <c r="K1188" i="2"/>
  <c r="K1187" i="2"/>
  <c r="K1186" i="2"/>
  <c r="K1184" i="2"/>
  <c r="K1183" i="2"/>
  <c r="K1182" i="2"/>
  <c r="K1181" i="2"/>
  <c r="K1180" i="2"/>
  <c r="K1179" i="2"/>
  <c r="K1185" i="2" s="1"/>
  <c r="K1177" i="2"/>
  <c r="K1176" i="2"/>
  <c r="K1175" i="2"/>
  <c r="K1174" i="2"/>
  <c r="K1173" i="2"/>
  <c r="K1172" i="2"/>
  <c r="K1178" i="2" s="1"/>
  <c r="K1170" i="2"/>
  <c r="K1169" i="2"/>
  <c r="K1168" i="2"/>
  <c r="K1171" i="2" s="1"/>
  <c r="K1167" i="2"/>
  <c r="K1165" i="2"/>
  <c r="K1164" i="2"/>
  <c r="K1163" i="2"/>
  <c r="K1162" i="2"/>
  <c r="K1166" i="2" s="1"/>
  <c r="K1160" i="2"/>
  <c r="K1159" i="2"/>
  <c r="K1158" i="2"/>
  <c r="K1157" i="2"/>
  <c r="K1156" i="2"/>
  <c r="K1155" i="2"/>
  <c r="K1161" i="2" s="1"/>
  <c r="K1153" i="2"/>
  <c r="K1152" i="2"/>
  <c r="K1154" i="2" s="1"/>
  <c r="K1150" i="2"/>
  <c r="K1149" i="2"/>
  <c r="K1148" i="2"/>
  <c r="K1147" i="2"/>
  <c r="K1146" i="2"/>
  <c r="K1145" i="2"/>
  <c r="K1151" i="2" s="1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4" i="2"/>
  <c r="K1123" i="2"/>
  <c r="K1122" i="2"/>
  <c r="K1121" i="2"/>
  <c r="K1120" i="2"/>
  <c r="K1125" i="2" s="1"/>
  <c r="K1119" i="2"/>
  <c r="K1117" i="2"/>
  <c r="K1116" i="2"/>
  <c r="K1115" i="2"/>
  <c r="K1114" i="2"/>
  <c r="K1113" i="2"/>
  <c r="K1112" i="2"/>
  <c r="K1118" i="2" s="1"/>
  <c r="K1111" i="2"/>
  <c r="K1109" i="2"/>
  <c r="K1108" i="2"/>
  <c r="K1110" i="2" s="1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1" i="2"/>
  <c r="K1090" i="2"/>
  <c r="K1089" i="2"/>
  <c r="K1088" i="2"/>
  <c r="K1092" i="2" s="1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2" i="2"/>
  <c r="K1071" i="2"/>
  <c r="K1070" i="2"/>
  <c r="K1073" i="2" s="1"/>
  <c r="K1069" i="2"/>
  <c r="K1067" i="2"/>
  <c r="K1066" i="2"/>
  <c r="K1068" i="2" s="1"/>
  <c r="K1065" i="2"/>
  <c r="K1064" i="2"/>
  <c r="K1062" i="2"/>
  <c r="K1061" i="2"/>
  <c r="K1060" i="2"/>
  <c r="K1063" i="2" s="1"/>
  <c r="K1058" i="2"/>
  <c r="K1057" i="2"/>
  <c r="K1056" i="2"/>
  <c r="K1055" i="2"/>
  <c r="K1059" i="2" s="1"/>
  <c r="K1054" i="2"/>
  <c r="K1053" i="2"/>
  <c r="K1052" i="2"/>
  <c r="K1051" i="2"/>
  <c r="K1049" i="2"/>
  <c r="K1048" i="2"/>
  <c r="K1047" i="2"/>
  <c r="K1046" i="2"/>
  <c r="K1050" i="2" s="1"/>
  <c r="K1044" i="2"/>
  <c r="K1045" i="2" s="1"/>
  <c r="K1043" i="2"/>
  <c r="K1041" i="2"/>
  <c r="K1040" i="2"/>
  <c r="K1039" i="2"/>
  <c r="K1038" i="2"/>
  <c r="K1037" i="2"/>
  <c r="K1036" i="2"/>
  <c r="K1035" i="2"/>
  <c r="K1034" i="2"/>
  <c r="K1033" i="2"/>
  <c r="K1031" i="2"/>
  <c r="K1030" i="2"/>
  <c r="K1029" i="2"/>
  <c r="K1032" i="2" s="1"/>
  <c r="K1027" i="2"/>
  <c r="K1026" i="2"/>
  <c r="K1025" i="2"/>
  <c r="K1024" i="2"/>
  <c r="K1023" i="2"/>
  <c r="K1022" i="2"/>
  <c r="K1021" i="2"/>
  <c r="K1020" i="2"/>
  <c r="K1019" i="2"/>
  <c r="K1018" i="2"/>
  <c r="K1017" i="2"/>
  <c r="K1028" i="2" s="1"/>
  <c r="K1016" i="2"/>
  <c r="K1015" i="2"/>
  <c r="K1013" i="2"/>
  <c r="K1012" i="2"/>
  <c r="K1011" i="2"/>
  <c r="K1010" i="2"/>
  <c r="K1009" i="2"/>
  <c r="K1008" i="2"/>
  <c r="K1007" i="2"/>
  <c r="K1006" i="2"/>
  <c r="K1005" i="2"/>
  <c r="K1004" i="2"/>
  <c r="K1014" i="2" s="1"/>
  <c r="K1002" i="2"/>
  <c r="K1001" i="2"/>
  <c r="K1000" i="2"/>
  <c r="K999" i="2"/>
  <c r="K998" i="2"/>
  <c r="K997" i="2"/>
  <c r="K996" i="2"/>
  <c r="K1003" i="2" s="1"/>
  <c r="K994" i="2"/>
  <c r="K993" i="2"/>
  <c r="K992" i="2"/>
  <c r="K991" i="2"/>
  <c r="K990" i="2"/>
  <c r="K989" i="2"/>
  <c r="K988" i="2"/>
  <c r="K987" i="2"/>
  <c r="K986" i="2"/>
  <c r="K995" i="2" s="1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69" i="2"/>
  <c r="K968" i="2"/>
  <c r="K967" i="2"/>
  <c r="K966" i="2"/>
  <c r="K965" i="2"/>
  <c r="K970" i="2" s="1"/>
  <c r="K963" i="2"/>
  <c r="K962" i="2"/>
  <c r="K964" i="2" s="1"/>
  <c r="K961" i="2"/>
  <c r="K960" i="2"/>
  <c r="K959" i="2"/>
  <c r="K957" i="2"/>
  <c r="K958" i="2" s="1"/>
  <c r="K956" i="2"/>
  <c r="K955" i="2"/>
  <c r="K953" i="2"/>
  <c r="K952" i="2"/>
  <c r="K951" i="2"/>
  <c r="K950" i="2"/>
  <c r="K949" i="2"/>
  <c r="K948" i="2"/>
  <c r="K954" i="2" s="1"/>
  <c r="K946" i="2"/>
  <c r="K945" i="2"/>
  <c r="K944" i="2"/>
  <c r="K943" i="2"/>
  <c r="K947" i="2" s="1"/>
  <c r="K941" i="2"/>
  <c r="K940" i="2"/>
  <c r="K939" i="2"/>
  <c r="K938" i="2"/>
  <c r="K937" i="2"/>
  <c r="K942" i="2" s="1"/>
  <c r="K936" i="2"/>
  <c r="K934" i="2"/>
  <c r="K933" i="2"/>
  <c r="K932" i="2"/>
  <c r="K931" i="2"/>
  <c r="K930" i="2"/>
  <c r="K935" i="2" s="1"/>
  <c r="K928" i="2"/>
  <c r="K927" i="2"/>
  <c r="K926" i="2"/>
  <c r="K925" i="2"/>
  <c r="K929" i="2" s="1"/>
  <c r="K924" i="2"/>
  <c r="K922" i="2"/>
  <c r="K921" i="2"/>
  <c r="K923" i="2" s="1"/>
  <c r="K920" i="2"/>
  <c r="K919" i="2"/>
  <c r="K917" i="2"/>
  <c r="K918" i="2" s="1"/>
  <c r="K916" i="2"/>
  <c r="K914" i="2"/>
  <c r="K913" i="2"/>
  <c r="K915" i="2" s="1"/>
  <c r="K912" i="2"/>
  <c r="K910" i="2"/>
  <c r="K909" i="2"/>
  <c r="K908" i="2"/>
  <c r="K907" i="2"/>
  <c r="K906" i="2"/>
  <c r="K905" i="2"/>
  <c r="K904" i="2"/>
  <c r="K903" i="2"/>
  <c r="K911" i="2" s="1"/>
  <c r="K901" i="2"/>
  <c r="K900" i="2"/>
  <c r="K899" i="2"/>
  <c r="K902" i="2" s="1"/>
  <c r="K898" i="2"/>
  <c r="K896" i="2"/>
  <c r="K895" i="2"/>
  <c r="K894" i="2"/>
  <c r="K893" i="2"/>
  <c r="K897" i="2" s="1"/>
  <c r="K892" i="2"/>
  <c r="K891" i="2"/>
  <c r="K889" i="2"/>
  <c r="K890" i="2" s="1"/>
  <c r="K888" i="2"/>
  <c r="K886" i="2"/>
  <c r="K885" i="2"/>
  <c r="K887" i="2" s="1"/>
  <c r="K883" i="2"/>
  <c r="K882" i="2"/>
  <c r="K884" i="2" s="1"/>
  <c r="K881" i="2"/>
  <c r="K880" i="2"/>
  <c r="K879" i="2"/>
  <c r="K875" i="2"/>
  <c r="K876" i="2" s="1"/>
  <c r="K874" i="2"/>
  <c r="K872" i="2"/>
  <c r="K871" i="2"/>
  <c r="K873" i="2" s="1"/>
  <c r="K869" i="2"/>
  <c r="K868" i="2"/>
  <c r="K870" i="2" s="1"/>
  <c r="K866" i="2"/>
  <c r="K865" i="2"/>
  <c r="K864" i="2"/>
  <c r="K863" i="2"/>
  <c r="K862" i="2"/>
  <c r="K861" i="2"/>
  <c r="K860" i="2"/>
  <c r="K859" i="2"/>
  <c r="K867" i="2" s="1"/>
  <c r="K857" i="2"/>
  <c r="K856" i="2"/>
  <c r="K855" i="2"/>
  <c r="K854" i="2"/>
  <c r="K853" i="2"/>
  <c r="K852" i="2"/>
  <c r="K851" i="2"/>
  <c r="K850" i="2"/>
  <c r="K858" i="2" s="1"/>
  <c r="K849" i="2"/>
  <c r="K848" i="2"/>
  <c r="K847" i="2"/>
  <c r="K846" i="2"/>
  <c r="K844" i="2"/>
  <c r="K843" i="2"/>
  <c r="K842" i="2"/>
  <c r="K845" i="2" s="1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1" i="2"/>
  <c r="K820" i="2"/>
  <c r="K819" i="2"/>
  <c r="K822" i="2" s="1"/>
  <c r="K817" i="2"/>
  <c r="K818" i="2" s="1"/>
  <c r="K816" i="2"/>
  <c r="K815" i="2"/>
  <c r="K813" i="2"/>
  <c r="K812" i="2"/>
  <c r="K811" i="2"/>
  <c r="K814" i="2" s="1"/>
  <c r="K810" i="2"/>
  <c r="K809" i="2"/>
  <c r="K808" i="2"/>
  <c r="K807" i="2"/>
  <c r="K803" i="2"/>
  <c r="K802" i="2"/>
  <c r="K801" i="2"/>
  <c r="K800" i="2"/>
  <c r="K799" i="2"/>
  <c r="K798" i="2"/>
  <c r="K797" i="2"/>
  <c r="K796" i="2"/>
  <c r="K795" i="2"/>
  <c r="K793" i="2"/>
  <c r="K792" i="2"/>
  <c r="K791" i="2"/>
  <c r="K790" i="2"/>
  <c r="K794" i="2" s="1"/>
  <c r="K789" i="2"/>
  <c r="K788" i="2"/>
  <c r="K787" i="2"/>
  <c r="K786" i="2"/>
  <c r="K785" i="2"/>
  <c r="K783" i="2"/>
  <c r="K782" i="2"/>
  <c r="K781" i="2"/>
  <c r="K780" i="2"/>
  <c r="K779" i="2"/>
  <c r="K778" i="2"/>
  <c r="K777" i="2"/>
  <c r="K776" i="2"/>
  <c r="K784" i="2" s="1"/>
  <c r="K775" i="2"/>
  <c r="K774" i="2"/>
  <c r="K773" i="2"/>
  <c r="K772" i="2"/>
  <c r="K771" i="2"/>
  <c r="K770" i="2"/>
  <c r="K769" i="2"/>
  <c r="K768" i="2"/>
  <c r="K767" i="2"/>
  <c r="K766" i="2"/>
  <c r="K764" i="2"/>
  <c r="K763" i="2"/>
  <c r="K762" i="2"/>
  <c r="K761" i="2"/>
  <c r="K760" i="2"/>
  <c r="K765" i="2" s="1"/>
  <c r="K759" i="2"/>
  <c r="K758" i="2"/>
  <c r="K757" i="2"/>
  <c r="K756" i="2"/>
  <c r="K755" i="2"/>
  <c r="K753" i="2"/>
  <c r="K752" i="2"/>
  <c r="K751" i="2"/>
  <c r="K750" i="2"/>
  <c r="K749" i="2"/>
  <c r="K748" i="2"/>
  <c r="K747" i="2"/>
  <c r="K754" i="2" s="1"/>
  <c r="K745" i="2"/>
  <c r="K744" i="2"/>
  <c r="K743" i="2"/>
  <c r="K742" i="2"/>
  <c r="K741" i="2"/>
  <c r="K746" i="2" s="1"/>
  <c r="K740" i="2"/>
  <c r="K739" i="2"/>
  <c r="K737" i="2"/>
  <c r="K736" i="2"/>
  <c r="K735" i="2"/>
  <c r="K738" i="2" s="1"/>
  <c r="K734" i="2"/>
  <c r="K733" i="2"/>
  <c r="K732" i="2"/>
  <c r="K731" i="2"/>
  <c r="K730" i="2"/>
  <c r="K729" i="2"/>
  <c r="K728" i="2"/>
  <c r="K727" i="2"/>
  <c r="K726" i="2"/>
  <c r="K725" i="2"/>
  <c r="K724" i="2"/>
  <c r="K721" i="2"/>
  <c r="K720" i="2"/>
  <c r="K719" i="2"/>
  <c r="K718" i="2"/>
  <c r="K722" i="2" s="1"/>
  <c r="K716" i="2"/>
  <c r="K715" i="2"/>
  <c r="K714" i="2"/>
  <c r="K717" i="2" s="1"/>
  <c r="K712" i="2"/>
  <c r="K711" i="2"/>
  <c r="K710" i="2"/>
  <c r="K708" i="2"/>
  <c r="K707" i="2"/>
  <c r="K706" i="2"/>
  <c r="K705" i="2"/>
  <c r="K704" i="2"/>
  <c r="K703" i="2"/>
  <c r="K702" i="2"/>
  <c r="K700" i="2"/>
  <c r="K699" i="2"/>
  <c r="K698" i="2"/>
  <c r="K697" i="2"/>
  <c r="K696" i="2"/>
  <c r="K695" i="2"/>
  <c r="K694" i="2"/>
  <c r="K692" i="2"/>
  <c r="K691" i="2"/>
  <c r="K690" i="2"/>
  <c r="K689" i="2"/>
  <c r="K687" i="2"/>
  <c r="K686" i="2"/>
  <c r="K685" i="2"/>
  <c r="K684" i="2"/>
  <c r="K683" i="2"/>
  <c r="K682" i="2"/>
  <c r="K680" i="2"/>
  <c r="K679" i="2"/>
  <c r="K678" i="2"/>
  <c r="K677" i="2"/>
  <c r="K675" i="2"/>
  <c r="K674" i="2"/>
  <c r="K673" i="2"/>
  <c r="K672" i="2"/>
  <c r="K671" i="2"/>
  <c r="K669" i="2"/>
  <c r="K668" i="2"/>
  <c r="K667" i="2"/>
  <c r="K666" i="2"/>
  <c r="K665" i="2"/>
  <c r="K663" i="2"/>
  <c r="K662" i="2"/>
  <c r="K661" i="2"/>
  <c r="K660" i="2"/>
  <c r="K658" i="2"/>
  <c r="K657" i="2"/>
  <c r="K656" i="2"/>
  <c r="K655" i="2"/>
  <c r="K653" i="2"/>
  <c r="K652" i="2"/>
  <c r="K651" i="2"/>
  <c r="K649" i="2"/>
  <c r="K648" i="2"/>
  <c r="K642" i="2"/>
  <c r="K641" i="2"/>
  <c r="K639" i="2"/>
  <c r="K638" i="2"/>
  <c r="K637" i="2"/>
  <c r="K636" i="2"/>
  <c r="K634" i="2"/>
  <c r="K633" i="2"/>
  <c r="K632" i="2"/>
  <c r="K631" i="2"/>
  <c r="K630" i="2"/>
  <c r="K629" i="2"/>
  <c r="K628" i="2"/>
  <c r="K627" i="2"/>
  <c r="K626" i="2"/>
  <c r="K624" i="2"/>
  <c r="K623" i="2"/>
  <c r="K622" i="2"/>
  <c r="K620" i="2"/>
  <c r="K619" i="2"/>
  <c r="K618" i="2"/>
  <c r="K617" i="2"/>
  <c r="K616" i="2"/>
  <c r="K614" i="2"/>
  <c r="K613" i="2"/>
  <c r="K612" i="2"/>
  <c r="K611" i="2"/>
  <c r="K610" i="2"/>
  <c r="K609" i="2"/>
  <c r="K608" i="2"/>
  <c r="K606" i="2"/>
  <c r="K605" i="2"/>
  <c r="K604" i="2"/>
  <c r="K603" i="2"/>
  <c r="K602" i="2"/>
  <c r="K601" i="2"/>
  <c r="K600" i="2"/>
  <c r="K599" i="2"/>
  <c r="K598" i="2"/>
  <c r="K596" i="2"/>
  <c r="K595" i="2"/>
  <c r="K594" i="2"/>
  <c r="K593" i="2"/>
  <c r="K597" i="2" s="1"/>
  <c r="K592" i="2"/>
  <c r="K591" i="2"/>
  <c r="K590" i="2"/>
  <c r="K589" i="2"/>
  <c r="K588" i="2"/>
  <c r="K586" i="2"/>
  <c r="K585" i="2"/>
  <c r="K584" i="2"/>
  <c r="K587" i="2" s="1"/>
  <c r="K583" i="2"/>
  <c r="K574" i="2"/>
  <c r="K573" i="2"/>
  <c r="K572" i="2"/>
  <c r="K570" i="2"/>
  <c r="K569" i="2"/>
  <c r="K568" i="2"/>
  <c r="K566" i="2"/>
  <c r="K565" i="2"/>
  <c r="K563" i="2"/>
  <c r="K562" i="2"/>
  <c r="K561" i="2"/>
  <c r="K559" i="2"/>
  <c r="K558" i="2"/>
  <c r="K557" i="2"/>
  <c r="K556" i="2"/>
  <c r="K555" i="2"/>
  <c r="K554" i="2"/>
  <c r="K547" i="2"/>
  <c r="K546" i="2"/>
  <c r="K545" i="2"/>
  <c r="K544" i="2"/>
  <c r="K543" i="2"/>
  <c r="K531" i="2"/>
  <c r="K530" i="2"/>
  <c r="K529" i="2"/>
  <c r="K528" i="2"/>
  <c r="K527" i="2"/>
  <c r="K526" i="2"/>
  <c r="K525" i="2"/>
  <c r="K524" i="2"/>
  <c r="K523" i="2"/>
  <c r="K522" i="2"/>
  <c r="K521" i="2"/>
  <c r="K519" i="2"/>
  <c r="K518" i="2"/>
  <c r="K517" i="2"/>
  <c r="K516" i="2"/>
  <c r="K515" i="2"/>
  <c r="K513" i="2"/>
  <c r="K512" i="2"/>
  <c r="K511" i="2"/>
  <c r="K509" i="2"/>
  <c r="K508" i="2"/>
  <c r="K507" i="2"/>
  <c r="K506" i="2"/>
  <c r="K505" i="2"/>
  <c r="K503" i="2"/>
  <c r="K502" i="2"/>
  <c r="K500" i="2"/>
  <c r="K499" i="2"/>
  <c r="K497" i="2"/>
  <c r="K496" i="2"/>
  <c r="K495" i="2"/>
  <c r="K493" i="2"/>
  <c r="K492" i="2"/>
  <c r="K490" i="2"/>
  <c r="K489" i="2"/>
  <c r="K488" i="2"/>
  <c r="K487" i="2"/>
  <c r="K485" i="2"/>
  <c r="K484" i="2"/>
  <c r="K483" i="2"/>
  <c r="K482" i="2"/>
  <c r="K480" i="2"/>
  <c r="K479" i="2"/>
  <c r="K478" i="2"/>
  <c r="K477" i="2"/>
  <c r="K475" i="2"/>
  <c r="K474" i="2"/>
  <c r="K473" i="2"/>
  <c r="K472" i="2"/>
  <c r="K471" i="2"/>
  <c r="K470" i="2"/>
  <c r="K476" i="2" s="1"/>
  <c r="K468" i="2"/>
  <c r="K467" i="2"/>
  <c r="K466" i="2"/>
  <c r="K465" i="2"/>
  <c r="K469" i="2" s="1"/>
  <c r="K463" i="2"/>
  <c r="K462" i="2"/>
  <c r="K461" i="2"/>
  <c r="K460" i="2"/>
  <c r="K464" i="2" s="1"/>
  <c r="K459" i="2"/>
  <c r="K458" i="2"/>
  <c r="K456" i="2"/>
  <c r="K457" i="2" s="1"/>
  <c r="K455" i="2"/>
  <c r="K454" i="2"/>
  <c r="K453" i="2"/>
  <c r="K452" i="2"/>
  <c r="K451" i="2"/>
  <c r="K450" i="2"/>
  <c r="K449" i="2"/>
  <c r="K448" i="2"/>
  <c r="K447" i="2"/>
  <c r="K446" i="2"/>
  <c r="K445" i="2"/>
  <c r="K444" i="2"/>
  <c r="K442" i="2"/>
  <c r="K441" i="2"/>
  <c r="K440" i="2"/>
  <c r="K443" i="2" s="1"/>
  <c r="K439" i="2"/>
  <c r="K438" i="2"/>
  <c r="K437" i="2"/>
  <c r="K436" i="2"/>
  <c r="K434" i="2"/>
  <c r="K433" i="2"/>
  <c r="K435" i="2" s="1"/>
  <c r="K432" i="2"/>
  <c r="K431" i="2"/>
  <c r="K429" i="2"/>
  <c r="K428" i="2"/>
  <c r="K427" i="2"/>
  <c r="K430" i="2" s="1"/>
  <c r="K426" i="2"/>
  <c r="K425" i="2"/>
  <c r="K424" i="2"/>
  <c r="K423" i="2"/>
  <c r="K422" i="2"/>
  <c r="K421" i="2"/>
  <c r="K419" i="2"/>
  <c r="K418" i="2"/>
  <c r="K417" i="2"/>
  <c r="K420" i="2" s="1"/>
  <c r="K416" i="2"/>
  <c r="K415" i="2"/>
  <c r="K413" i="2"/>
  <c r="K412" i="2"/>
  <c r="K411" i="2"/>
  <c r="K410" i="2"/>
  <c r="K409" i="2"/>
  <c r="K408" i="2"/>
  <c r="K407" i="2"/>
  <c r="K406" i="2"/>
  <c r="K405" i="2"/>
  <c r="K404" i="2"/>
  <c r="K414" i="2" s="1"/>
  <c r="K403" i="2"/>
  <c r="K401" i="2"/>
  <c r="K400" i="2"/>
  <c r="K399" i="2"/>
  <c r="K398" i="2"/>
  <c r="K397" i="2"/>
  <c r="K396" i="2"/>
  <c r="K395" i="2"/>
  <c r="K394" i="2"/>
  <c r="K393" i="2"/>
  <c r="K402" i="2" s="1"/>
  <c r="K392" i="2"/>
  <c r="K390" i="2"/>
  <c r="K389" i="2"/>
  <c r="K388" i="2"/>
  <c r="K387" i="2"/>
  <c r="K391" i="2" s="1"/>
  <c r="K385" i="2"/>
  <c r="K384" i="2"/>
  <c r="K383" i="2"/>
  <c r="K382" i="2"/>
  <c r="K386" i="2" s="1"/>
  <c r="K380" i="2"/>
  <c r="K379" i="2"/>
  <c r="K378" i="2"/>
  <c r="K381" i="2" s="1"/>
  <c r="K377" i="2"/>
  <c r="K376" i="2"/>
  <c r="K374" i="2"/>
  <c r="K373" i="2"/>
  <c r="K375" i="2" s="1"/>
  <c r="K371" i="2"/>
  <c r="K370" i="2"/>
  <c r="K369" i="2"/>
  <c r="K368" i="2"/>
  <c r="K367" i="2"/>
  <c r="K366" i="2"/>
  <c r="K365" i="2"/>
  <c r="K364" i="2"/>
  <c r="K363" i="2"/>
  <c r="K372" i="2" s="1"/>
  <c r="K361" i="2"/>
  <c r="K360" i="2"/>
  <c r="K359" i="2"/>
  <c r="K358" i="2"/>
  <c r="K357" i="2"/>
  <c r="K356" i="2"/>
  <c r="K355" i="2"/>
  <c r="K354" i="2"/>
  <c r="K353" i="2"/>
  <c r="K362" i="2" s="1"/>
  <c r="K351" i="2"/>
  <c r="K350" i="2"/>
  <c r="K349" i="2"/>
  <c r="K348" i="2"/>
  <c r="K347" i="2"/>
  <c r="K346" i="2"/>
  <c r="K345" i="2"/>
  <c r="K352" i="2" s="1"/>
  <c r="K343" i="2"/>
  <c r="K342" i="2"/>
  <c r="K341" i="2"/>
  <c r="K340" i="2"/>
  <c r="K339" i="2"/>
  <c r="K344" i="2" s="1"/>
  <c r="K334" i="2"/>
  <c r="K333" i="2"/>
  <c r="K332" i="2"/>
  <c r="K330" i="2"/>
  <c r="K329" i="2"/>
  <c r="K328" i="2"/>
  <c r="K327" i="2"/>
  <c r="K326" i="2"/>
  <c r="K331" i="2" s="1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1" i="2"/>
  <c r="K310" i="2"/>
  <c r="K312" i="2" s="1"/>
  <c r="K309" i="2"/>
  <c r="K308" i="2"/>
  <c r="K307" i="2"/>
  <c r="K306" i="2"/>
  <c r="K305" i="2"/>
  <c r="K304" i="2"/>
  <c r="K302" i="2"/>
  <c r="K301" i="2"/>
  <c r="K303" i="2" s="1"/>
  <c r="K300" i="2"/>
  <c r="K299" i="2"/>
  <c r="K298" i="2"/>
  <c r="K297" i="2"/>
  <c r="K296" i="2"/>
  <c r="K294" i="2"/>
  <c r="K293" i="2"/>
  <c r="K292" i="2"/>
  <c r="K291" i="2"/>
  <c r="K290" i="2"/>
  <c r="K289" i="2"/>
  <c r="K288" i="2"/>
  <c r="K287" i="2"/>
  <c r="K295" i="2" s="1"/>
  <c r="K285" i="2"/>
  <c r="K284" i="2"/>
  <c r="K283" i="2"/>
  <c r="K282" i="2"/>
  <c r="K281" i="2"/>
  <c r="K280" i="2"/>
  <c r="K279" i="2"/>
  <c r="K278" i="2"/>
  <c r="K277" i="2"/>
  <c r="K286" i="2" s="1"/>
  <c r="K275" i="2"/>
  <c r="K274" i="2"/>
  <c r="K273" i="2"/>
  <c r="K272" i="2"/>
  <c r="K271" i="2"/>
  <c r="K270" i="2"/>
  <c r="K269" i="2"/>
  <c r="K276" i="2" s="1"/>
  <c r="K267" i="2"/>
  <c r="K266" i="2"/>
  <c r="K265" i="2"/>
  <c r="K264" i="2"/>
  <c r="K263" i="2"/>
  <c r="K262" i="2"/>
  <c r="K268" i="2" s="1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5" i="2"/>
  <c r="K244" i="2"/>
  <c r="K243" i="2"/>
  <c r="K242" i="2"/>
  <c r="K246" i="2" s="1"/>
  <c r="K241" i="2"/>
  <c r="K239" i="2"/>
  <c r="K238" i="2"/>
  <c r="K237" i="2"/>
  <c r="K240" i="2" s="1"/>
  <c r="K236" i="2"/>
  <c r="K235" i="2"/>
  <c r="K234" i="2"/>
  <c r="K232" i="2"/>
  <c r="K231" i="2"/>
  <c r="K230" i="2"/>
  <c r="K229" i="2"/>
  <c r="K233" i="2" s="1"/>
  <c r="K228" i="2"/>
  <c r="K227" i="2"/>
  <c r="K226" i="2"/>
  <c r="K225" i="2"/>
  <c r="K224" i="2"/>
  <c r="K223" i="2"/>
  <c r="K221" i="2"/>
  <c r="K222" i="2" s="1"/>
  <c r="K220" i="2"/>
  <c r="K219" i="2"/>
  <c r="K218" i="2"/>
  <c r="K217" i="2"/>
  <c r="K216" i="2"/>
  <c r="K215" i="2"/>
  <c r="K213" i="2"/>
  <c r="K212" i="2"/>
  <c r="K211" i="2"/>
  <c r="K210" i="2"/>
  <c r="K214" i="2" s="1"/>
  <c r="K209" i="2"/>
  <c r="K208" i="2"/>
  <c r="K206" i="2"/>
  <c r="K205" i="2"/>
  <c r="K204" i="2"/>
  <c r="K203" i="2"/>
  <c r="K202" i="2"/>
  <c r="K201" i="2"/>
  <c r="K200" i="2"/>
  <c r="K199" i="2"/>
  <c r="K207" i="2" s="1"/>
  <c r="K197" i="2"/>
  <c r="K196" i="2"/>
  <c r="K195" i="2"/>
  <c r="K194" i="2"/>
  <c r="K198" i="2" s="1"/>
  <c r="K192" i="2"/>
  <c r="K191" i="2"/>
  <c r="K190" i="2"/>
  <c r="K189" i="2"/>
  <c r="K193" i="2" s="1"/>
  <c r="K188" i="2"/>
  <c r="K185" i="2"/>
  <c r="K184" i="2"/>
  <c r="K186" i="2" s="1"/>
  <c r="K182" i="2"/>
  <c r="K181" i="2"/>
  <c r="K183" i="2" s="1"/>
  <c r="K180" i="2"/>
  <c r="K179" i="2"/>
  <c r="K178" i="2"/>
  <c r="K177" i="2"/>
  <c r="K176" i="2"/>
  <c r="K174" i="2"/>
  <c r="K173" i="2"/>
  <c r="K172" i="2"/>
  <c r="K169" i="2"/>
  <c r="K168" i="2"/>
  <c r="K167" i="2"/>
  <c r="K166" i="2"/>
  <c r="K163" i="2"/>
  <c r="K162" i="2"/>
  <c r="K161" i="2"/>
  <c r="K159" i="2"/>
  <c r="K160" i="2" s="1"/>
  <c r="K158" i="2"/>
  <c r="K156" i="2"/>
  <c r="K155" i="2"/>
  <c r="K157" i="2" s="1"/>
  <c r="K153" i="2"/>
  <c r="K152" i="2"/>
  <c r="K151" i="2"/>
  <c r="K154" i="2" s="1"/>
  <c r="K150" i="2"/>
  <c r="K148" i="2"/>
  <c r="K147" i="2"/>
  <c r="K146" i="2"/>
  <c r="K145" i="2"/>
  <c r="K149" i="2" s="1"/>
  <c r="K142" i="2"/>
  <c r="K143" i="2" s="1"/>
  <c r="K141" i="2"/>
  <c r="K140" i="2"/>
  <c r="K139" i="2"/>
  <c r="K138" i="2"/>
  <c r="K136" i="2"/>
  <c r="K135" i="2"/>
  <c r="K132" i="2"/>
  <c r="K131" i="2"/>
  <c r="K130" i="2"/>
  <c r="K133" i="2" s="1"/>
  <c r="K128" i="2"/>
  <c r="K127" i="2"/>
  <c r="K129" i="2" s="1"/>
  <c r="K126" i="2"/>
  <c r="K125" i="2"/>
  <c r="K124" i="2"/>
  <c r="K123" i="2"/>
  <c r="K122" i="2"/>
  <c r="K121" i="2"/>
  <c r="K120" i="2"/>
  <c r="K116" i="2"/>
  <c r="K115" i="2"/>
  <c r="K117" i="2" s="1"/>
  <c r="K114" i="2"/>
  <c r="K113" i="2"/>
  <c r="K112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109" i="2" s="1"/>
  <c r="K96" i="2"/>
  <c r="K95" i="2"/>
  <c r="K94" i="2"/>
  <c r="K93" i="2"/>
  <c r="K92" i="2"/>
  <c r="K91" i="2"/>
  <c r="K89" i="2"/>
  <c r="K88" i="2"/>
  <c r="K90" i="2" s="1"/>
  <c r="K85" i="2"/>
  <c r="K84" i="2"/>
  <c r="K86" i="2" s="1"/>
  <c r="K82" i="2"/>
  <c r="K81" i="2"/>
  <c r="K80" i="2"/>
  <c r="K79" i="2"/>
  <c r="K78" i="2"/>
  <c r="K77" i="2"/>
  <c r="K83" i="2" s="1"/>
  <c r="K75" i="2"/>
  <c r="K74" i="2"/>
  <c r="K73" i="2"/>
  <c r="K72" i="2"/>
  <c r="K71" i="2"/>
  <c r="K76" i="2" s="1"/>
  <c r="K69" i="2"/>
  <c r="K68" i="2"/>
  <c r="K67" i="2"/>
  <c r="K66" i="2"/>
  <c r="K70" i="2" s="1"/>
  <c r="K64" i="2"/>
  <c r="K63" i="2"/>
  <c r="K65" i="2" s="1"/>
  <c r="K61" i="2"/>
  <c r="K60" i="2"/>
  <c r="K59" i="2"/>
  <c r="K58" i="2"/>
  <c r="K57" i="2"/>
  <c r="K56" i="2"/>
  <c r="K55" i="2"/>
  <c r="K54" i="2"/>
  <c r="K53" i="2"/>
  <c r="K52" i="2"/>
  <c r="K62" i="2" s="1"/>
  <c r="K51" i="2"/>
  <c r="K49" i="2"/>
  <c r="K50" i="2" s="1"/>
  <c r="K48" i="2"/>
  <c r="K47" i="2"/>
  <c r="K46" i="2"/>
  <c r="K45" i="2"/>
  <c r="K43" i="2"/>
  <c r="K42" i="2"/>
  <c r="K41" i="2"/>
  <c r="K40" i="2"/>
  <c r="K39" i="2"/>
  <c r="K44" i="2" s="1"/>
  <c r="K37" i="2"/>
  <c r="K36" i="2"/>
  <c r="K38" i="2" s="1"/>
  <c r="K35" i="2"/>
  <c r="K34" i="2"/>
  <c r="K32" i="2"/>
  <c r="K31" i="2"/>
  <c r="K30" i="2"/>
  <c r="K33" i="2" s="1"/>
  <c r="K28" i="2"/>
  <c r="K27" i="2"/>
  <c r="K26" i="2"/>
  <c r="K29" i="2" s="1"/>
  <c r="K24" i="2"/>
  <c r="K23" i="2"/>
  <c r="K22" i="2"/>
  <c r="K25" i="2" s="1"/>
  <c r="K21" i="2"/>
  <c r="K19" i="2"/>
  <c r="K18" i="2"/>
  <c r="K17" i="2"/>
  <c r="K16" i="2"/>
  <c r="K15" i="2"/>
  <c r="K14" i="2"/>
  <c r="K13" i="2"/>
  <c r="K12" i="2"/>
  <c r="K20" i="2" s="1"/>
  <c r="K10" i="2"/>
  <c r="K9" i="2"/>
  <c r="K8" i="2"/>
  <c r="K7" i="2"/>
  <c r="K6" i="2"/>
  <c r="K11" i="2" s="1"/>
  <c r="D73" i="1"/>
  <c r="C73" i="1"/>
  <c r="B73" i="1"/>
  <c r="A73" i="1"/>
  <c r="D72" i="1"/>
  <c r="B72" i="1"/>
  <c r="J71" i="1"/>
  <c r="H71" i="1"/>
  <c r="F71" i="1"/>
  <c r="E71" i="1"/>
  <c r="D71" i="1"/>
  <c r="B71" i="1"/>
  <c r="A71" i="1"/>
  <c r="J70" i="1"/>
  <c r="H70" i="1"/>
  <c r="F70" i="1"/>
  <c r="E70" i="1"/>
  <c r="D70" i="1"/>
  <c r="B70" i="1"/>
  <c r="D69" i="1"/>
  <c r="C69" i="1"/>
  <c r="B69" i="1"/>
  <c r="J68" i="1"/>
  <c r="H68" i="1"/>
  <c r="F68" i="1"/>
  <c r="E68" i="1"/>
  <c r="D68" i="1"/>
  <c r="B68" i="1"/>
  <c r="J67" i="1"/>
  <c r="H67" i="1"/>
  <c r="F67" i="1"/>
  <c r="E67" i="1"/>
  <c r="D67" i="1"/>
  <c r="B67" i="1"/>
  <c r="J66" i="1"/>
  <c r="F66" i="1"/>
  <c r="E66" i="1"/>
  <c r="D66" i="1"/>
  <c r="B66" i="1"/>
  <c r="J65" i="1"/>
  <c r="H65" i="1"/>
  <c r="F65" i="1"/>
  <c r="E65" i="1"/>
  <c r="D65" i="1"/>
  <c r="B65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H60" i="1"/>
  <c r="F60" i="1"/>
  <c r="E60" i="1"/>
  <c r="D60" i="1"/>
  <c r="C60" i="1"/>
  <c r="B60" i="1"/>
  <c r="J59" i="1"/>
  <c r="H59" i="1"/>
  <c r="F59" i="1"/>
  <c r="D59" i="1"/>
  <c r="B59" i="1"/>
  <c r="J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D56" i="1"/>
  <c r="B56" i="1"/>
  <c r="J55" i="1"/>
  <c r="H55" i="1"/>
  <c r="F55" i="1"/>
  <c r="E55" i="1"/>
  <c r="D55" i="1"/>
  <c r="B55" i="1"/>
  <c r="J54" i="1"/>
  <c r="H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F50" i="1"/>
  <c r="E50" i="1"/>
  <c r="D50" i="1"/>
  <c r="B50" i="1"/>
  <c r="J49" i="1"/>
  <c r="H49" i="1"/>
  <c r="F49" i="1"/>
  <c r="E49" i="1"/>
  <c r="D49" i="1"/>
  <c r="B49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H73" i="1" s="1"/>
  <c r="F32" i="1"/>
  <c r="F73" i="1" s="1"/>
  <c r="E32" i="1"/>
  <c r="E73" i="1" s="1"/>
  <c r="E31" i="1"/>
  <c r="G30" i="1"/>
  <c r="G71" i="1" s="1"/>
  <c r="G29" i="1"/>
  <c r="I29" i="1" s="1"/>
  <c r="J28" i="1"/>
  <c r="J81" i="1" s="1"/>
  <c r="H28" i="1"/>
  <c r="H69" i="1" s="1"/>
  <c r="F28" i="1"/>
  <c r="F69" i="1" s="1"/>
  <c r="E28" i="1"/>
  <c r="E69" i="1" s="1"/>
  <c r="G27" i="1"/>
  <c r="G68" i="1" s="1"/>
  <c r="G26" i="1"/>
  <c r="G67" i="1" s="1"/>
  <c r="H25" i="1"/>
  <c r="H23" i="1" s="1"/>
  <c r="H64" i="1" s="1"/>
  <c r="G25" i="1"/>
  <c r="G66" i="1" s="1"/>
  <c r="G24" i="1"/>
  <c r="I24" i="1" s="1"/>
  <c r="J23" i="1"/>
  <c r="J64" i="1" s="1"/>
  <c r="F23" i="1"/>
  <c r="F64" i="1" s="1"/>
  <c r="E23" i="1"/>
  <c r="G23" i="1" s="1"/>
  <c r="G22" i="1"/>
  <c r="G63" i="1" s="1"/>
  <c r="G21" i="1"/>
  <c r="G62" i="1" s="1"/>
  <c r="G20" i="1"/>
  <c r="G61" i="1" s="1"/>
  <c r="G19" i="1"/>
  <c r="G60" i="1" s="1"/>
  <c r="G18" i="1"/>
  <c r="G59" i="1" s="1"/>
  <c r="E18" i="1"/>
  <c r="E59" i="1" s="1"/>
  <c r="G17" i="1"/>
  <c r="G58" i="1" s="1"/>
  <c r="G16" i="1"/>
  <c r="G57" i="1" s="1"/>
  <c r="G15" i="1"/>
  <c r="G56" i="1" s="1"/>
  <c r="E15" i="1"/>
  <c r="E56" i="1" s="1"/>
  <c r="G14" i="1"/>
  <c r="I14" i="1" s="1"/>
  <c r="G13" i="1"/>
  <c r="G54" i="1" s="1"/>
  <c r="G12" i="1"/>
  <c r="I12" i="1" s="1"/>
  <c r="K11" i="1"/>
  <c r="K52" i="1" s="1"/>
  <c r="I11" i="1"/>
  <c r="I52" i="1" s="1"/>
  <c r="G11" i="1"/>
  <c r="G52" i="1" s="1"/>
  <c r="G10" i="1"/>
  <c r="G51" i="1" s="1"/>
  <c r="I9" i="1"/>
  <c r="K9" i="1" s="1"/>
  <c r="G9" i="1"/>
  <c r="G50" i="1" s="1"/>
  <c r="I8" i="1"/>
  <c r="I49" i="1" s="1"/>
  <c r="G8" i="1"/>
  <c r="G49" i="1" s="1"/>
  <c r="J7" i="1"/>
  <c r="J48" i="1" s="1"/>
  <c r="H7" i="1"/>
  <c r="G7" i="1"/>
  <c r="G48" i="1" s="1"/>
  <c r="F7" i="1"/>
  <c r="F31" i="1" s="1"/>
  <c r="F72" i="1" s="1"/>
  <c r="E7" i="1"/>
  <c r="E48" i="1" s="1"/>
  <c r="K14" i="1" l="1"/>
  <c r="I55" i="1"/>
  <c r="L9" i="1"/>
  <c r="M9" i="1" s="1"/>
  <c r="K50" i="1"/>
  <c r="G31" i="1"/>
  <c r="I23" i="1"/>
  <c r="G64" i="1"/>
  <c r="H31" i="1"/>
  <c r="H72" i="1" s="1"/>
  <c r="K24" i="1"/>
  <c r="I65" i="1"/>
  <c r="K12" i="1"/>
  <c r="I53" i="1"/>
  <c r="K29" i="1"/>
  <c r="I70" i="1"/>
  <c r="K8" i="1"/>
  <c r="L11" i="1"/>
  <c r="M11" i="1" s="1"/>
  <c r="I13" i="1"/>
  <c r="I16" i="1"/>
  <c r="I26" i="1"/>
  <c r="I30" i="1"/>
  <c r="I50" i="1"/>
  <c r="E64" i="1"/>
  <c r="J80" i="1"/>
  <c r="I7" i="1"/>
  <c r="I10" i="1"/>
  <c r="J31" i="1"/>
  <c r="J72" i="1" s="1"/>
  <c r="G53" i="1"/>
  <c r="G70" i="1"/>
  <c r="E72" i="1"/>
  <c r="I15" i="1"/>
  <c r="I18" i="1"/>
  <c r="I25" i="1"/>
  <c r="G28" i="1"/>
  <c r="F48" i="1"/>
  <c r="G55" i="1"/>
  <c r="G65" i="1"/>
  <c r="J69" i="1"/>
  <c r="I17" i="1"/>
  <c r="I27" i="1"/>
  <c r="G32" i="1"/>
  <c r="H48" i="1"/>
  <c r="H66" i="1"/>
  <c r="J79" i="1"/>
  <c r="K49" i="1" l="1"/>
  <c r="L8" i="1"/>
  <c r="M8" i="1" s="1"/>
  <c r="G73" i="1"/>
  <c r="I32" i="1"/>
  <c r="I66" i="1"/>
  <c r="K25" i="1"/>
  <c r="K27" i="1"/>
  <c r="I68" i="1"/>
  <c r="I56" i="1"/>
  <c r="K15" i="1"/>
  <c r="K70" i="1"/>
  <c r="L29" i="1"/>
  <c r="M29" i="1" s="1"/>
  <c r="G72" i="1"/>
  <c r="I31" i="1"/>
  <c r="I67" i="1"/>
  <c r="K26" i="1"/>
  <c r="I48" i="1"/>
  <c r="I79" i="1"/>
  <c r="K7" i="1"/>
  <c r="K18" i="1"/>
  <c r="I59" i="1"/>
  <c r="K17" i="1"/>
  <c r="I58" i="1"/>
  <c r="I80" i="1"/>
  <c r="I64" i="1"/>
  <c r="K23" i="1"/>
  <c r="I71" i="1"/>
  <c r="K30" i="1"/>
  <c r="K53" i="1"/>
  <c r="L12" i="1"/>
  <c r="M12" i="1" s="1"/>
  <c r="I57" i="1"/>
  <c r="K16" i="1"/>
  <c r="I28" i="1"/>
  <c r="G69" i="1"/>
  <c r="K10" i="1"/>
  <c r="I51" i="1"/>
  <c r="I54" i="1"/>
  <c r="K13" i="1"/>
  <c r="K65" i="1"/>
  <c r="L24" i="1"/>
  <c r="M24" i="1" s="1"/>
  <c r="K55" i="1"/>
  <c r="L14" i="1"/>
  <c r="M14" i="1" s="1"/>
  <c r="K28" i="1" l="1"/>
  <c r="I81" i="1"/>
  <c r="I69" i="1"/>
  <c r="L16" i="1"/>
  <c r="M16" i="1" s="1"/>
  <c r="K57" i="1"/>
  <c r="L26" i="1"/>
  <c r="M26" i="1" s="1"/>
  <c r="K67" i="1"/>
  <c r="L17" i="1"/>
  <c r="M17" i="1" s="1"/>
  <c r="K58" i="1"/>
  <c r="I72" i="1"/>
  <c r="K31" i="1"/>
  <c r="K72" i="1" s="1"/>
  <c r="L25" i="1"/>
  <c r="M25" i="1" s="1"/>
  <c r="K66" i="1"/>
  <c r="K51" i="1"/>
  <c r="L10" i="1"/>
  <c r="M10" i="1" s="1"/>
  <c r="L27" i="1"/>
  <c r="M27" i="1" s="1"/>
  <c r="K68" i="1"/>
  <c r="K54" i="1"/>
  <c r="L13" i="1"/>
  <c r="M13" i="1" s="1"/>
  <c r="K71" i="1"/>
  <c r="L30" i="1"/>
  <c r="M30" i="1" s="1"/>
  <c r="L18" i="1"/>
  <c r="M18" i="1" s="1"/>
  <c r="K59" i="1"/>
  <c r="I73" i="1"/>
  <c r="K32" i="1"/>
  <c r="K79" i="1"/>
  <c r="L7" i="1"/>
  <c r="M7" i="1" s="1"/>
  <c r="K48" i="1"/>
  <c r="K64" i="1"/>
  <c r="L23" i="1"/>
  <c r="M23" i="1" s="1"/>
  <c r="K80" i="1"/>
  <c r="L15" i="1"/>
  <c r="M15" i="1" s="1"/>
  <c r="K56" i="1"/>
  <c r="K73" i="1" l="1"/>
  <c r="L32" i="1"/>
  <c r="M32" i="1" s="1"/>
  <c r="K81" i="1"/>
  <c r="K69" i="1"/>
  <c r="L28" i="1"/>
  <c r="M28" i="1" s="1"/>
</calcChain>
</file>

<file path=xl/sharedStrings.xml><?xml version="1.0" encoding="utf-8"?>
<sst xmlns="http://schemas.openxmlformats.org/spreadsheetml/2006/main" count="3616" uniqueCount="1700">
  <si>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</si>
  <si>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</si>
  <si>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</si>
  <si>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</si>
  <si>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</si>
  <si>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</si>
  <si>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</si>
  <si>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</si>
  <si>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</si>
  <si>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</si>
  <si>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</si>
  <si>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</si>
  <si>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</si>
  <si>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</si>
  <si>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</si>
  <si>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</si>
  <si>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</si>
  <si>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</si>
  <si>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</si>
  <si>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</si>
  <si>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</si>
  <si>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</si>
  <si>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</si>
  <si>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</si>
  <si>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</si>
  <si>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</si>
  <si>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</si>
  <si>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</si>
  <si>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</si>
  <si>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หน่วยงานเจ้าภาพมีข้อมูลผลการดำเนินงานมากกว่า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</si>
  <si>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</si>
  <si>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</si>
  <si>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</si>
  <si>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</si>
  <si>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</si>
  <si>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</si>
  <si>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</si>
  <si>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</si>
  <si>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</si>
  <si>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</si>
  <si>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</si>
  <si>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</si>
  <si>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</si>
  <si>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หน่วยงานเจ้าภาพมีข้อมูลผลการดำเนินงานที่อัปเดตกว่า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</si>
  <si>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</si>
  <si>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</si>
  <si>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</si>
  <si>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</si>
  <si>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</si>
  <si>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</si>
  <si>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</si>
  <si>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</si>
  <si>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</si>
  <si>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</si>
  <si>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</si>
  <si>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</si>
  <si>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</si>
  <si>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</si>
  <si>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</si>
  <si>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</si>
  <si>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</si>
  <si>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</si>
  <si>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</si>
  <si>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</si>
  <si>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</si>
  <si>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</si>
  <si>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</si>
  <si>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</si>
  <si>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</si>
  <si>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</si>
  <si>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</si>
  <si>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</si>
  <si>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</si>
  <si>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</si>
  <si>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</si>
  <si>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</si>
  <si>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</si>
  <si>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</si>
  <si>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</si>
  <si>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</si>
  <si>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</si>
  <si>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</si>
  <si>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</si>
  <si>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</si>
  <si>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</si>
  <si>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</si>
  <si>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</si>
  <si>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</si>
  <si>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</si>
  <si>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</si>
  <si>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</si>
  <si>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</si>
  <si>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น.ส.อนุธิดา แสงใส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</si>
  <si>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</si>
  <si>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</si>
  <si>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</si>
  <si>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</si>
  <si>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</si>
  <si>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</si>
  <si>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</si>
  <si>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</si>
  <si>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</si>
  <si>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</si>
  <si>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</si>
  <si>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</si>
  <si>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</si>
  <si>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</si>
  <si>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</si>
  <si>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</si>
  <si>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</si>
  <si>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</si>
  <si>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</si>
  <si>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</si>
  <si>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</si>
  <si>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</si>
  <si>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</si>
  <si>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</si>
  <si>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</si>
  <si>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</si>
  <si>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</si>
  <si>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</si>
  <si>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</si>
  <si>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</si>
  <si>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</si>
  <si>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</si>
  <si>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</si>
  <si>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</si>
  <si>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</si>
  <si>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</si>
  <si>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</si>
  <si>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</si>
  <si>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</si>
  <si>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</si>
  <si>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</si>
  <si>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</si>
  <si>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</si>
  <si>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</si>
  <si>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</si>
  <si>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</si>
  <si>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</si>
  <si>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</si>
  <si>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10%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</si>
  <si>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</si>
  <si>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</si>
  <si>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</si>
  <si>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</si>
  <si>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</si>
  <si>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</si>
  <si>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</si>
  <si>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</si>
  <si>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</si>
  <si>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</si>
  <si>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</si>
  <si>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</si>
  <si>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</si>
  <si>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</si>
  <si>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</si>
  <si>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</si>
  <si>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</si>
  <si>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</si>
  <si>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</si>
  <si>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</si>
  <si>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</si>
  <si>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</si>
  <si>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</si>
  <si>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</si>
  <si>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</si>
  <si>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</si>
  <si>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</si>
  <si>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</si>
  <si>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</si>
  <si>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50%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</si>
  <si>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</si>
  <si>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</si>
  <si>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</si>
  <si>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</si>
  <si>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</si>
  <si>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</si>
  <si>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</si>
  <si>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</si>
  <si>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</si>
  <si>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</si>
  <si>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</si>
  <si>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</si>
  <si>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</si>
  <si>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</si>
  <si>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</si>
  <si>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</si>
  <si>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</si>
  <si>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</si>
  <si>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</si>
  <si>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</si>
  <si>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</si>
  <si>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</si>
  <si>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</si>
  <si>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</si>
  <si>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</si>
  <si>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</si>
  <si>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</si>
  <si>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</si>
  <si>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</si>
  <si>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</si>
  <si>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</si>
  <si>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</si>
  <si>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</si>
  <si>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</si>
  <si>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</si>
  <si>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</si>
  <si>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</si>
  <si>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</si>
  <si>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</si>
  <si>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</si>
  <si>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</si>
  <si>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</si>
  <si>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</si>
  <si>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</si>
  <si>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</si>
  <si>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</si>
  <si>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</si>
  <si>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</si>
  <si>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</si>
  <si>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</si>
  <si>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</si>
  <si>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</si>
  <si>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</si>
  <si>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</si>
  <si>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</si>
  <si>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</si>
  <si>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</si>
  <si>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</si>
  <si>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</si>
  <si>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</si>
  <si>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</si>
  <si>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</si>
  <si>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</si>
  <si>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</si>
  <si>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</si>
  <si>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</si>
  <si>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</si>
  <si>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</si>
  <si>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</si>
  <si>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</si>
  <si>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</si>
  <si>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</si>
  <si>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</si>
  <si>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</si>
  <si>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</si>
  <si>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</si>
  <si>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</si>
  <si>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</si>
  <si>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</si>
  <si>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</si>
  <si>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</si>
  <si>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</si>
  <si>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</si>
  <si>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</si>
  <si>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</si>
  <si>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</si>
  <si>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</si>
  <si>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</si>
  <si>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</si>
  <si>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</si>
  <si>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</si>
  <si>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</si>
  <si>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</si>
  <si>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</si>
  <si>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รองศาสตราจารยื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</si>
  <si>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</si>
  <si>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</si>
  <si>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</si>
  <si>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</si>
  <si>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</si>
  <si>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</si>
  <si>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</si>
  <si>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</si>
  <si>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</si>
  <si>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</si>
  <si>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</si>
  <si>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</si>
  <si>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</si>
  <si>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</si>
  <si>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</si>
  <si>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</si>
  <si>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</si>
  <si>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</si>
  <si>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</si>
  <si>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</si>
  <si>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</si>
  <si>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</si>
  <si>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</si>
  <si>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</si>
  <si>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</si>
  <si>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</si>
  <si>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</si>
  <si>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</si>
  <si>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</si>
  <si>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</si>
  <si>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</si>
  <si>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</si>
  <si>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</si>
  <si>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</si>
  <si>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</si>
  <si>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</si>
  <si>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</si>
  <si>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</si>
  <si>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</si>
  <si>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</si>
  <si>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</si>
  <si>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</si>
  <si>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</si>
  <si>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</si>
  <si>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</si>
  <si>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</si>
  <si>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</si>
  <si>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</si>
  <si>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</si>
  <si>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</si>
  <si>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</si>
  <si>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</si>
  <si>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</si>
  <si>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</si>
  <si>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</si>
  <si>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</si>
  <si>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</si>
  <si>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</si>
  <si>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</si>
  <si>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</si>
  <si>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</si>
  <si>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</si>
  <si>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</si>
  <si>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</si>
  <si>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</si>
  <si>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</si>
  <si>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</si>
  <si>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</si>
  <si>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</si>
  <si>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</si>
  <si>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</si>
  <si>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</si>
  <si>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</si>
  <si>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</si>
  <si>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</si>
  <si>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</si>
  <si>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</si>
  <si>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</si>
  <si>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</si>
  <si>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</si>
  <si>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</si>
  <si>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</si>
  <si>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</si>
  <si>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</si>
  <si>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</si>
  <si>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</si>
  <si>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</si>
  <si>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</si>
  <si>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</si>
  <si>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</si>
  <si>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</si>
  <si>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</si>
  <si>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</si>
  <si>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</si>
  <si>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</si>
  <si>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</si>
  <si>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</si>
  <si>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</si>
  <si>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</si>
  <si>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</si>
  <si>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</si>
  <si>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</si>
  <si>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</si>
  <si>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</si>
  <si>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</si>
  <si>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</si>
  <si>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</si>
  <si>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</si>
  <si>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</si>
  <si>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</si>
  <si>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</si>
  <si>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</si>
  <si>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</si>
  <si>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</si>
  <si>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</si>
  <si>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</si>
  <si>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</si>
  <si>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</si>
  <si>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</si>
  <si>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</si>
  <si>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</si>
  <si>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</si>
  <si>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</si>
  <si>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</si>
  <si>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</si>
  <si>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</si>
  <si>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</si>
  <si>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</si>
  <si>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</si>
  <si>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</si>
  <si>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</si>
  <si>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</si>
  <si>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</si>
  <si>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</si>
  <si>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 xml:space="preserve"> วิทยาลัยการจัดการอุตสาหกรรมบริการ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</si>
  <si>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</si>
  <si>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</si>
  <si>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</si>
  <si>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</si>
  <si>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</si>
  <si>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</si>
  <si>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</si>
  <si>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</si>
  <si>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</si>
  <si>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</si>
  <si>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</si>
  <si>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</si>
  <si>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</si>
  <si>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</si>
  <si>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</si>
  <si>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</si>
  <si>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</si>
  <si>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</si>
  <si>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</si>
  <si>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</si>
  <si>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</si>
  <si>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</si>
  <si>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</si>
  <si>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</si>
  <si>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</si>
  <si>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</si>
  <si>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</si>
  <si>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</si>
  <si>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</si>
  <si>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</si>
  <si>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</si>
  <si>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</si>
  <si>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</si>
  <si>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</si>
  <si>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</si>
  <si>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</si>
  <si>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</si>
  <si>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</si>
  <si>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</si>
  <si>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</si>
  <si>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</si>
  <si>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</si>
  <si>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</si>
  <si>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</si>
  <si>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</si>
  <si>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</si>
  <si>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</si>
  <si>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</si>
  <si>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</si>
  <si>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</si>
  <si>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</si>
  <si>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 xml:space="preserve"> คณะวิทยาการจัดการ</t>
  </si>
  <si>
    <t>10757/2565</t>
  </si>
  <si>
    <t>ผู้ช่วยศาสตราจารย์กวินพัฒน์ เลิศพงษ์มณี 5%</t>
  </si>
  <si>
    <t>อาจารยืพรรณรังสี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</si>
  <si>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</si>
  <si>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</si>
  <si>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</si>
  <si>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</si>
  <si>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</si>
  <si>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</si>
  <si>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</si>
  <si>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</si>
  <si>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</si>
  <si>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</si>
  <si>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</si>
  <si>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</si>
  <si>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</si>
  <si>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</si>
  <si>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</si>
  <si>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</si>
  <si>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</si>
  <si>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</si>
  <si>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</si>
  <si>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</si>
  <si>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</si>
  <si>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</si>
  <si>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</si>
  <si>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</si>
  <si>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</si>
  <si>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</si>
  <si>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</si>
  <si>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</si>
  <si>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</si>
  <si>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</si>
  <si>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</si>
  <si>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</si>
  <si>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</si>
  <si>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</si>
  <si>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</si>
  <si>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</si>
  <si>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</si>
  <si>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</si>
  <si>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</si>
  <si>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</si>
  <si>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</si>
  <si>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</si>
  <si>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</si>
  <si>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</si>
  <si>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</si>
  <si>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</si>
  <si>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</si>
  <si>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</si>
  <si>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</si>
  <si>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</si>
  <si>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</si>
  <si>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</si>
  <si>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</si>
  <si>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</si>
  <si>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</si>
  <si>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</si>
  <si>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</si>
  <si>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</si>
  <si>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</si>
  <si>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</si>
  <si>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</si>
  <si>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</si>
  <si>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</si>
  <si>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</si>
  <si>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</si>
  <si>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</si>
  <si>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</si>
  <si>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</si>
  <si>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</si>
  <si>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</si>
  <si>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</si>
  <si>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</si>
  <si>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</si>
  <si>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</si>
  <si>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</si>
  <si>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</si>
  <si>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</si>
  <si>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</si>
  <si>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</si>
  <si>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</si>
  <si>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</si>
  <si>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</si>
  <si>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</si>
  <si>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</si>
  <si>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</si>
  <si>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</si>
  <si>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</si>
  <si>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</si>
  <si>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</si>
  <si>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</si>
  <si>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</si>
  <si>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คณะวิทยาการจัดการ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</si>
  <si>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</si>
  <si>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</si>
  <si>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</si>
  <si>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คณะวิทยาศาสตร์และเทคโนโลยี</t>
  </si>
  <si>
    <t>ดร.วัฒนา พันธุ์พืช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</si>
  <si>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</si>
  <si>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</si>
  <si>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</si>
  <si>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</si>
  <si>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</si>
  <si>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</si>
  <si>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</si>
  <si>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</si>
  <si>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</si>
  <si>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</si>
  <si>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</si>
  <si>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</si>
  <si>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</si>
  <si>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</si>
  <si>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</si>
  <si>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</si>
  <si>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</si>
  <si>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</si>
  <si>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</si>
  <si>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</si>
  <si>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</si>
  <si>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</si>
  <si>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</si>
  <si>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</si>
  <si>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</si>
  <si>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</si>
  <si>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</si>
  <si>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</si>
  <si>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</si>
  <si>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</si>
  <si>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</si>
  <si>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</si>
  <si>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</si>
  <si>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</si>
  <si>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</si>
  <si>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</si>
  <si>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</si>
  <si>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</si>
  <si>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</si>
  <si>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</si>
  <si>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</si>
  <si>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</si>
  <si>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</si>
  <si>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</si>
  <si>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</si>
  <si>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</si>
  <si>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</si>
  <si>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</si>
  <si>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 xml:space="preserve"> โรงเรียนประถมสาธิต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</si>
  <si>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</si>
  <si>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</si>
  <si>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</si>
  <si>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</si>
  <si>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</si>
  <si>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</si>
  <si>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</si>
  <si>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</si>
  <si>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</si>
  <si>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</si>
  <si>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</si>
  <si>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</si>
  <si>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</si>
  <si>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</si>
  <si>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</si>
  <si>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</si>
  <si>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</si>
  <si>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</si>
  <si>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</si>
  <si>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</si>
  <si>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</si>
  <si>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</si>
  <si>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</si>
  <si>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</si>
  <si>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</si>
  <si>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</si>
  <si>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</si>
  <si>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</si>
  <si>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</si>
  <si>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</si>
  <si>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</si>
  <si>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</si>
  <si>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</si>
  <si>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</si>
  <si>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</si>
  <si>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</si>
  <si>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</si>
  <si>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</si>
  <si>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</si>
  <si>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</si>
  <si>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</si>
  <si>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</si>
  <si>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</si>
  <si>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</si>
  <si>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</si>
  <si>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</si>
  <si>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</si>
  <si>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</si>
  <si>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</si>
  <si>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</si>
  <si>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</si>
  <si>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</si>
  <si>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</si>
  <si>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</si>
  <si>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</si>
  <si>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</si>
  <si>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</si>
  <si>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</si>
  <si>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</si>
  <si>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</si>
  <si>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</si>
  <si>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</si>
  <si>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</si>
  <si>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</si>
  <si>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</si>
  <si>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</si>
  <si>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</si>
  <si>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</si>
  <si>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</si>
  <si>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</si>
  <si>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</si>
  <si>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</si>
  <si>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</si>
  <si>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</si>
  <si>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</si>
  <si>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</si>
  <si>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</si>
  <si>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</si>
  <si>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</si>
  <si>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</si>
  <si>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</si>
  <si>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</si>
  <si>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</si>
  <si>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</si>
  <si>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</si>
  <si>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</si>
  <si>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</si>
  <si>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</si>
  <si>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</si>
  <si>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</si>
  <si>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</si>
  <si>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</si>
  <si>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</si>
  <si>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</si>
  <si>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</si>
  <si>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</si>
  <si>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</si>
  <si>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</si>
  <si>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</si>
  <si>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</si>
  <si>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</si>
  <si>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</si>
  <si>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</si>
  <si>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</si>
  <si>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</si>
  <si>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</si>
  <si>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</si>
  <si>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</si>
  <si>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</si>
  <si>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</si>
  <si>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</si>
  <si>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</si>
  <si>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</si>
  <si>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</si>
  <si>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</si>
  <si>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</si>
  <si>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</si>
  <si>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</si>
  <si>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</si>
  <si>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</si>
  <si>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</si>
  <si>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</si>
  <si>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</si>
  <si>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</si>
  <si>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</si>
  <si>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</si>
  <si>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</si>
  <si>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</si>
  <si>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</si>
  <si>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</si>
  <si>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</si>
  <si>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</si>
  <si>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</si>
  <si>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</si>
  <si>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</si>
  <si>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</si>
  <si>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</si>
  <si>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</si>
  <si>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</si>
  <si>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</si>
  <si>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</si>
  <si>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</si>
  <si>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</si>
  <si>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</si>
  <si>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</si>
  <si>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</si>
  <si>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</si>
  <si>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</si>
  <si>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</si>
  <si>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</si>
  <si>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</si>
  <si>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</si>
  <si>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</si>
  <si>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</si>
  <si>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</si>
  <si>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</si>
  <si>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</si>
  <si>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</si>
  <si>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</si>
  <si>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</si>
  <si>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</si>
  <si>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</si>
  <si>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</si>
  <si>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</si>
  <si>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</si>
  <si>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</si>
  <si>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</si>
  <si>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</si>
  <si>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</si>
  <si>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</si>
  <si>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</si>
  <si>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</si>
  <si>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</si>
  <si>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</si>
  <si>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>วิทยาลัยนิเทศศาสตร์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</si>
  <si>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</si>
  <si>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</si>
  <si>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</si>
  <si>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</si>
  <si>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จ้างที่ปรึกษาโครงการศึกษาและพัฒนาต้นแบบการจัดทำสำมะโนประชากรและเคหะแบบบูรณาการ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</si>
  <si>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</si>
  <si>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</si>
  <si>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</si>
  <si>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</si>
  <si>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</si>
  <si>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 ดร.กันยพัชร์ ธนกุลวุฒิโรจน์ 10%</t>
  </si>
  <si>
    <t>ผู้ช่วยศาสตราจารย์มรกต วรชัยรุ่งเรือง 10%</t>
  </si>
  <si>
    <t>ดร.บุศรินทร์ เอี่ยมธนากุล 5%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</si>
  <si>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</si>
  <si>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</si>
  <si>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</si>
  <si>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</si>
  <si>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</si>
  <si>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</si>
  <si>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</si>
  <si>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</si>
  <si>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</si>
  <si>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</si>
  <si>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</si>
  <si>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</si>
  <si>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</si>
  <si>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</si>
  <si>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</si>
  <si>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</si>
  <si>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</si>
  <si>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รองศาสตราจารย์ ดร.รจนา จันทราสา </t>
  </si>
  <si>
    <t>งป 11032/2565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</si>
  <si>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</si>
  <si>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อาจารย์ ดร.ภานุ พัฒนปณิธิพงศ์ </t>
  </si>
  <si>
    <t>งป 11034/2565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</si>
  <si>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</si>
  <si>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</t>
  </si>
  <si>
    <t>งป 11043/2565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</si>
  <si>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</si>
  <si>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งป 11045/2565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</si>
  <si>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</si>
  <si>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</si>
  <si>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คณะศิลปกรรมศาสตร์</t>
  </si>
  <si>
    <t>งป 11052/2565</t>
  </si>
  <si>
    <t>อาจารย์ ดร.แก่นเพชร ศรานนทวัฒน์ 5%</t>
  </si>
  <si>
    <t>วิทยาลัยนวัตกรรมและการจัดการ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</si>
  <si>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</si>
  <si>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</si>
  <si>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</si>
  <si>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</si>
  <si>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</si>
  <si>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</si>
  <si>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</si>
  <si>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</si>
  <si>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</si>
  <si>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</si>
  <si>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</si>
  <si>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</si>
  <si>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</si>
  <si>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</si>
  <si>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</si>
  <si>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</si>
  <si>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</si>
  <si>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</si>
  <si>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</si>
  <si>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</si>
  <si>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</si>
  <si>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</si>
  <si>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</si>
  <si>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</si>
  <si>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</si>
  <si>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</si>
  <si>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</si>
  <si>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</si>
  <si>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</si>
  <si>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</si>
  <si>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</si>
  <si>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</si>
  <si>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</si>
  <si>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</si>
  <si>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</si>
  <si>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</si>
  <si>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</si>
  <si>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</si>
  <si>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</si>
  <si>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</si>
  <si>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</si>
  <si>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</si>
  <si>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</si>
  <si>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</si>
  <si>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</si>
  <si>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</si>
  <si>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ภาคเอกชน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</si>
  <si>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</si>
  <si>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</si>
  <si>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</si>
  <si>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</si>
  <si>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</si>
  <si>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คณะครุศาสตร์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</si>
  <si>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</si>
  <si>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</si>
  <si>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</si>
  <si>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</si>
  <si>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</si>
  <si>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</si>
  <si>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</si>
  <si>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</si>
  <si>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</si>
  <si>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</si>
  <si>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</si>
  <si>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</si>
  <si>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</si>
  <si>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</si>
  <si>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</si>
  <si>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50%
</t>
  </si>
  <si>
    <t>10919/2565</t>
  </si>
  <si>
    <t xml:space="preserve">ผู้ช่วยศาสตราจารย์ ดร.พท.ป.ศุภะลักษณ์ ฟักคำ  20%
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</si>
  <si>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</si>
  <si>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</si>
  <si>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</si>
  <si>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</si>
  <si>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</si>
  <si>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</si>
  <si>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</si>
  <si>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</si>
  <si>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</si>
  <si>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</si>
  <si>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</si>
  <si>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</si>
  <si>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</si>
  <si>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</si>
  <si>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</si>
  <si>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</si>
  <si>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</si>
  <si>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</si>
  <si>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</si>
  <si>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</si>
  <si>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</si>
  <si>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วิทยาลัยการเมืองและการปกครอง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</si>
  <si>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</si>
  <si>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</si>
  <si>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</si>
  <si>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</si>
  <si>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</si>
  <si>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</si>
  <si>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</si>
  <si>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</si>
  <si>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</si>
  <si>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</si>
  <si>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</si>
  <si>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</si>
  <si>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</si>
  <si>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</si>
  <si>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</si>
  <si>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</si>
  <si>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</si>
  <si>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</si>
  <si>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</si>
  <si>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 ดร.กัญญ์รัชการย์ เลิศอมรศักดิ์ 20%
</t>
  </si>
  <si>
    <t>10577/2565</t>
  </si>
  <si>
    <t>ผู้ช่วยศาสตราจารย์ ดร.วิจิตรา ศรีสอน 10%</t>
  </si>
  <si>
    <t>อาจารย์สัณหณัฐ จักรภัทรวงศ์ 50%</t>
  </si>
  <si>
    <t>ผู้ช่วยศาสตราจารย์ พิเศษ พล.ต.ท.ดร.สัณฐาน ชยนนท์ 20%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</si>
  <si>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</si>
  <si>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</si>
  <si>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</si>
  <si>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</si>
  <si>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</si>
  <si>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</si>
  <si>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</si>
  <si>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</si>
  <si>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</si>
  <si>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</si>
  <si>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</si>
  <si>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</si>
  <si>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</si>
  <si>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</si>
  <si>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</si>
  <si>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</si>
  <si>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</si>
  <si>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</si>
  <si>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</si>
  <si>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</si>
  <si>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</si>
  <si>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</si>
  <si>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</si>
  <si>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</si>
  <si>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</si>
  <si>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</si>
  <si>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</si>
  <si>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</si>
  <si>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</si>
  <si>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</si>
  <si>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</si>
  <si>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60%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</si>
  <si>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</si>
  <si>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</si>
  <si>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</si>
  <si>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</si>
  <si>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</si>
  <si>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</si>
  <si>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</si>
  <si>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</si>
  <si>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</si>
  <si>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</si>
  <si>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</si>
  <si>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</si>
  <si>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</si>
  <si>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</si>
  <si>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</si>
  <si>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</si>
  <si>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</si>
  <si>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</si>
  <si>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</si>
  <si>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</si>
  <si>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</si>
  <si>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</si>
  <si>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</si>
  <si>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</si>
  <si>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</si>
  <si>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</si>
  <si>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</si>
  <si>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</si>
  <si>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</si>
  <si>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</si>
  <si>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</si>
  <si>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</si>
  <si>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</si>
  <si>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</si>
  <si>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</si>
  <si>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</si>
  <si>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</si>
  <si>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</si>
  <si>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</si>
  <si>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</si>
  <si>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</si>
  <si>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</si>
  <si>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</si>
  <si>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</si>
  <si>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</si>
  <si>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</si>
  <si>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</si>
  <si>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</si>
  <si>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</si>
  <si>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</si>
  <si>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</si>
  <si>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</si>
  <si>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</si>
  <si>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</si>
  <si>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</si>
  <si>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</si>
  <si>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</si>
  <si>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</si>
  <si>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 xml:space="preserve"> วิทยาลัยการเมืองและการปกครอง
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</si>
  <si>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</si>
  <si>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</si>
  <si>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</si>
  <si>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</si>
  <si>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</si>
  <si>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</si>
  <si>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</si>
  <si>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</si>
  <si>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</si>
  <si>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</si>
  <si>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</si>
  <si>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</si>
  <si>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</si>
  <si>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</si>
  <si>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</si>
  <si>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</si>
  <si>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</si>
  <si>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</si>
  <si>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</si>
  <si>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</si>
  <si>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</si>
  <si>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</si>
  <si>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</si>
  <si>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</si>
  <si>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วิทยาลัยสหเวชศาสตร์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</si>
  <si>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</si>
  <si>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</si>
  <si>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</si>
  <si>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</si>
  <si>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</si>
  <si>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</si>
  <si>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</si>
  <si>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</si>
  <si>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</si>
  <si>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</si>
  <si>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</si>
  <si>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</si>
  <si>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</si>
  <si>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</si>
  <si>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</si>
  <si>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</si>
  <si>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</si>
  <si>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</si>
  <si>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</si>
  <si>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</si>
  <si>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</si>
  <si>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</si>
  <si>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</si>
  <si>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</si>
  <si>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</si>
  <si>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</si>
  <si>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</si>
  <si>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</si>
  <si>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</si>
  <si>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</si>
  <si>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</si>
  <si>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</si>
  <si>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</si>
  <si>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</si>
  <si>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</si>
  <si>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</si>
  <si>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</si>
  <si>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</si>
  <si>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</si>
  <si>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</si>
  <si>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</si>
  <si>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</si>
  <si>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</si>
  <si>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</si>
  <si>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</si>
  <si>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</si>
  <si>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</si>
  <si>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</si>
  <si>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</si>
  <si>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</si>
  <si>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</si>
  <si>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</si>
  <si>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</si>
  <si>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</si>
  <si>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</si>
  <si>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</si>
  <si>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</si>
  <si>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</si>
  <si>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</si>
  <si>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</si>
  <si>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</si>
  <si>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</si>
  <si>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</si>
  <si>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</si>
  <si>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</si>
  <si>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</si>
  <si>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</si>
  <si>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</si>
  <si>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</si>
  <si>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</si>
  <si>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</si>
  <si>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</si>
  <si>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</si>
  <si>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</si>
  <si>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</si>
  <si>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</si>
  <si>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</si>
  <si>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</si>
  <si>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</si>
  <si>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</si>
  <si>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</si>
  <si>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</si>
  <si>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</si>
  <si>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</si>
  <si>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</si>
  <si>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</si>
  <si>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</si>
  <si>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</si>
  <si>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</si>
  <si>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</si>
  <si>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</si>
  <si>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</si>
  <si>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</si>
  <si>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</si>
  <si>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</si>
  <si>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</si>
  <si>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</si>
  <si>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 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</si>
  <si>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</si>
  <si>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</si>
  <si>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</si>
  <si>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</si>
  <si>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</si>
  <si>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</si>
  <si>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</si>
  <si>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</si>
  <si>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</si>
  <si>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</si>
  <si>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</si>
  <si>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</si>
  <si>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</si>
  <si>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</si>
  <si>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</si>
  <si>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</si>
  <si>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</si>
  <si>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</si>
  <si>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</si>
  <si>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</si>
  <si>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</si>
  <si>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</si>
  <si>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</si>
  <si>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</si>
  <si>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</si>
  <si>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</si>
  <si>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</si>
  <si>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</si>
  <si>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</si>
  <si>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</si>
  <si>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</si>
  <si>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</si>
  <si>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</si>
  <si>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</si>
  <si>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</si>
  <si>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</si>
  <si>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</si>
  <si>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</si>
  <si>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</si>
  <si>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</si>
  <si>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</si>
  <si>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</si>
  <si>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</si>
  <si>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</si>
  <si>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</si>
  <si>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</si>
  <si>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</si>
  <si>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</si>
  <si>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</si>
  <si>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</si>
  <si>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</si>
  <si>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</si>
  <si>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</si>
  <si>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</si>
  <si>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</si>
  <si>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</si>
  <si>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</si>
  <si>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</si>
  <si>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</si>
  <si>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</si>
  <si>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</si>
  <si>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</si>
  <si>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</si>
  <si>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</si>
  <si>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</si>
  <si>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</si>
  <si>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</si>
  <si>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</si>
  <si>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</si>
  <si>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</si>
  <si>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</si>
  <si>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</si>
  <si>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</si>
  <si>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</si>
  <si>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40%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</si>
  <si>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</si>
  <si>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</si>
  <si>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</si>
  <si>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</si>
  <si>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</si>
  <si>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ปัจจัย  อินทรน้อย 5%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</si>
  <si>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</si>
  <si>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</si>
  <si>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</si>
  <si>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</si>
  <si>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</si>
  <si>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</si>
  <si>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</si>
  <si>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</si>
  <si>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</si>
  <si>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</si>
  <si>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</si>
  <si>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</si>
  <si>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</si>
  <si>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</si>
  <si>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</si>
  <si>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</si>
  <si>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80%
</t>
  </si>
  <si>
    <t>10771/2565</t>
  </si>
  <si>
    <t>อาจารย์ ธนะสาร พานิชยากรณ์ 5%</t>
  </si>
  <si>
    <t>อาจารย์ ธันย์ ชัยทร 5%</t>
  </si>
  <si>
    <t>อาจารย์ ชิตพงษ์ อัยสานนท์ 5%</t>
  </si>
  <si>
    <t>อาจารย์ สุรพงศ์ อินทรภักดิ์ 5%</t>
  </si>
  <si>
    <t>ศูนย์การศึกษาจังหวัดอุดรธานี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</si>
  <si>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</si>
  <si>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</si>
  <si>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</si>
  <si>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</si>
  <si>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</si>
  <si>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</si>
  <si>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</si>
  <si>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</si>
  <si>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</si>
  <si>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</si>
  <si>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</si>
  <si>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</si>
  <si>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</si>
  <si>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</si>
  <si>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</si>
  <si>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ปัจจัย  อินทรน้อย 10%
</t>
  </si>
  <si>
    <t>10560/2565</t>
  </si>
  <si>
    <t>อาจารย์ วราภรณ์ วิมุกตะลพ 60%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</si>
  <si>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</si>
  <si>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</si>
  <si>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</si>
  <si>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</si>
  <si>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</si>
  <si>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</si>
  <si>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</si>
  <si>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</si>
  <si>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</si>
  <si>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</si>
  <si>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</si>
  <si>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</si>
  <si>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</si>
  <si>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</si>
  <si>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</si>
  <si>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</si>
  <si>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</si>
  <si>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</si>
  <si>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</si>
  <si>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70%
</t>
  </si>
  <si>
    <t>10873/2565</t>
  </si>
  <si>
    <t>อาจารย์ ชิตพงษ์ อัยสานนท์ 30%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</si>
  <si>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</si>
  <si>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</si>
  <si>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</si>
  <si>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</si>
  <si>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</si>
  <si>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</si>
  <si>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</si>
  <si>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</si>
  <si>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</si>
  <si>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</si>
  <si>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</si>
  <si>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40%
</t>
  </si>
  <si>
    <t>10915/2565</t>
  </si>
  <si>
    <t>อาจารย์ ชิตพงษ์ อัยสานนท์ 10%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</si>
  <si>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</si>
  <si>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</si>
  <si>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</si>
  <si>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</si>
  <si>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</si>
  <si>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</si>
  <si>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</si>
  <si>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</si>
  <si>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</si>
  <si>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</si>
  <si>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</si>
  <si>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</si>
  <si>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</si>
  <si>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</si>
  <si>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</si>
  <si>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</si>
  <si>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</si>
  <si>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</si>
  <si>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ดร.พิมพ์พลอย ธีรสถิตย์ธรรม 5%</t>
  </si>
  <si>
    <t>อาจารย์ ภัสรา สิริกมลศิลป์ 5%</t>
  </si>
  <si>
    <t>อาจารย์ ดร.องอาจ อุ่นอนันต 5%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</si>
  <si>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</si>
  <si>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ธนะสาร พานิชยากรณ์ 25%
</t>
  </si>
  <si>
    <t xml:space="preserve"> วิทยาลัยโลจิสติกส์และซัพพลายเชน
</t>
  </si>
  <si>
    <t>10719/2565</t>
  </si>
  <si>
    <t>อาจารย์ ธนวัฒน์ วิเศษสินธุ์ 50%</t>
  </si>
  <si>
    <t>อาจารย์ พิชญ์พิสุทธิ์ ทิศอาจ 5%</t>
  </si>
  <si>
    <t>อาจารย์ กิตติอำพล สุดประเสริฐ 5%</t>
  </si>
  <si>
    <t>ผู้ช่วยศาสตราจารย์ ดร.วิริยา บุญมาเลิศ 5%</t>
  </si>
  <si>
    <t>อาจารย์ ปิยมาส กล้าแข็ง 5%</t>
  </si>
  <si>
    <t>อาจารย์ พุทธิวัฒน์ ไวยวุฒิธนาภูมิ 5%</t>
  </si>
  <si>
    <t>การยกระดับการกระจายสินค้าของสุกรของจังหวัดนครปฐม</t>
  </si>
  <si>
    <t>10895/2565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</si>
  <si>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</si>
  <si>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</si>
  <si>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</si>
  <si>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</si>
  <si>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</si>
  <si>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</si>
  <si>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</si>
  <si>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</si>
  <si>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</si>
  <si>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</si>
  <si>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</si>
  <si>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</si>
  <si>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</si>
  <si>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</si>
  <si>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</si>
  <si>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</si>
  <si>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</si>
  <si>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</si>
  <si>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</si>
  <si>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</si>
  <si>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</si>
  <si>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</si>
  <si>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</si>
  <si>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</si>
  <si>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</si>
  <si>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</si>
  <si>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</si>
  <si>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</si>
  <si>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ดร.วิจิตรา ศรีสอน 20%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</si>
  <si>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</si>
  <si>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</si>
  <si>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</si>
  <si>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</si>
  <si>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</si>
  <si>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</si>
  <si>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</si>
  <si>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</si>
  <si>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</si>
  <si>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</si>
  <si>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</si>
  <si>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</si>
  <si>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</si>
  <si>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</si>
  <si>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 ดร.กมลวรรณ อยู่วัฒนะ 20%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</si>
  <si>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</si>
  <si>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</si>
  <si>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</si>
  <si>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</si>
  <si>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</si>
  <si>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</si>
  <si>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</si>
  <si>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</si>
  <si>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</si>
  <si>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</si>
  <si>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</si>
  <si>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</si>
  <si>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</si>
  <si>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</si>
  <si>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</si>
  <si>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</si>
  <si>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</si>
  <si>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</si>
  <si>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</si>
  <si>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</si>
  <si>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</si>
  <si>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</si>
  <si>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</si>
  <si>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</si>
  <si>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</si>
  <si>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</si>
  <si>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</si>
  <si>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</si>
  <si>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</si>
  <si>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</si>
  <si>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</si>
  <si>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</si>
  <si>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</si>
  <si>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</si>
  <si>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</si>
  <si>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</si>
  <si>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</si>
  <si>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</si>
  <si>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</si>
  <si>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</si>
  <si>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</si>
  <si>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</si>
  <si>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</si>
  <si>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</si>
  <si>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</si>
  <si>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</si>
  <si>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</si>
  <si>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</si>
  <si>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</si>
  <si>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</si>
  <si>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</si>
  <si>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</si>
  <si>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</si>
  <si>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</si>
  <si>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</si>
  <si>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</si>
  <si>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</si>
  <si>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</si>
  <si>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</si>
  <si>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</si>
  <si>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</si>
  <si>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</si>
  <si>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</si>
  <si>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</si>
  <si>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</si>
  <si>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</si>
  <si>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</si>
  <si>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</si>
  <si>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</si>
  <si>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</si>
  <si>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</si>
  <si>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</si>
  <si>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</si>
  <si>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</si>
  <si>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</si>
  <si>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</si>
  <si>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</si>
  <si>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</si>
  <si>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</si>
  <si>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</si>
  <si>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</si>
  <si>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</si>
  <si>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</si>
  <si>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</si>
  <si>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</si>
  <si>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</si>
  <si>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</si>
  <si>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</si>
  <si>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</si>
  <si>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</si>
  <si>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</si>
  <si>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</si>
  <si>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</si>
  <si>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</si>
  <si>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</si>
  <si>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60%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</si>
  <si>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</si>
  <si>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</si>
  <si>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</si>
  <si>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</si>
  <si>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</si>
  <si>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</si>
  <si>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</si>
  <si>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</si>
  <si>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</si>
  <si>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</si>
  <si>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</si>
  <si>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</si>
  <si>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</si>
  <si>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</si>
  <si>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</si>
  <si>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</si>
  <si>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</si>
  <si>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</si>
  <si>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</si>
  <si>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</si>
  <si>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</si>
  <si>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</si>
  <si>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</si>
  <si>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</si>
  <si>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</si>
  <si>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</si>
  <si>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</si>
  <si>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</si>
  <si>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</si>
  <si>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</si>
  <si>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</si>
  <si>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</si>
  <si>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</si>
  <si>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</si>
  <si>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</si>
  <si>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</si>
  <si>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</si>
  <si>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</si>
  <si>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</si>
  <si>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</si>
  <si>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</si>
  <si>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</si>
  <si>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</si>
  <si>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50%</t>
  </si>
  <si>
    <t>10932/2565</t>
  </si>
  <si>
    <t>ผู้ช่วยศาสตราจารย์ ดร.ชินวัฒน์ ศาสนนันทน์ 25%</t>
  </si>
  <si>
    <t>อาจารย์ พูนทรัพย์ เศษศรี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</si>
  <si>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</si>
  <si>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</si>
  <si>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</si>
  <si>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</si>
  <si>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</si>
  <si>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</si>
  <si>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</si>
  <si>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</si>
  <si>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</si>
  <si>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</si>
  <si>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</si>
  <si>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</si>
  <si>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</si>
  <si>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</si>
  <si>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</si>
  <si>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</si>
  <si>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</si>
  <si>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</si>
  <si>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</si>
  <si>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</si>
  <si>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</si>
  <si>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</si>
  <si>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</si>
  <si>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</si>
  <si>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</si>
  <si>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</si>
  <si>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</si>
  <si>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</si>
  <si>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</si>
  <si>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</si>
  <si>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</si>
  <si>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</si>
  <si>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</si>
  <si>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</si>
  <si>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</si>
  <si>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</si>
  <si>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</si>
  <si>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</si>
  <si>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</si>
  <si>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</si>
  <si>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</si>
  <si>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</si>
  <si>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</si>
  <si>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</si>
  <si>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</si>
  <si>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</si>
  <si>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</si>
  <si>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</si>
  <si>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</si>
  <si>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</si>
  <si>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</si>
  <si>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</si>
  <si>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</si>
  <si>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</si>
  <si>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</si>
  <si>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</si>
  <si>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</si>
  <si>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</si>
  <si>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</si>
  <si>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</si>
  <si>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</si>
  <si>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</si>
  <si>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</si>
  <si>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</si>
  <si>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</si>
  <si>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</si>
  <si>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</si>
  <si>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</si>
  <si>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</si>
  <si>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</si>
  <si>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</si>
  <si>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</si>
  <si>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</si>
  <si>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</si>
  <si>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</si>
  <si>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</si>
  <si>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</si>
  <si>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</si>
  <si>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12.5%</t>
  </si>
  <si>
    <t xml:space="preserve">สัญญาเลขที่ 8640338 </t>
  </si>
  <si>
    <t>ผู้ช่วยศาสตราจารย์สุปราณี วัฒนสิน 12.5%</t>
  </si>
  <si>
    <t>รองศาสตราจารย์ สุรสิทธิ์ วิทยารัฐ 12.5%</t>
  </si>
  <si>
    <t>ผู้ช่วยศาสตราจารย์ชิโนรส ถิ่นวิไลสกุล 12.5%</t>
  </si>
  <si>
    <t>ผู้ช่วยศาสตราจารย์นารีนารถ ปานบุญ 12.5%</t>
  </si>
  <si>
    <t>ผู้ช่วยศาสตราจารย์ปาริชาต รัตนบรรณสกุล 12.5%</t>
  </si>
  <si>
    <t>อาจารย์ ดร.ดุษฎี นิลดำ 12.5%</t>
  </si>
  <si>
    <t>อาจารย์ ดร.สมทบ แก้วเชื้อ 12.5%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</si>
  <si>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</si>
  <si>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</si>
  <si>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วิทยาลัยสถาปัตยกรรมศาสตร์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</si>
  <si>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</si>
  <si>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</si>
  <si>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</si>
  <si>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</si>
  <si>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</si>
  <si>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</si>
  <si>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</si>
  <si>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</si>
  <si>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</si>
  <si>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หน่วยบริหารและจัดการทุนด้านการเพิ่มความสามารถในการแข่งขันของประเทศ (บพข.)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</si>
  <si>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</si>
  <si>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</si>
  <si>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</si>
  <si>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</si>
  <si>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</si>
  <si>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</si>
  <si>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</si>
  <si>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ศูนย์การศึกษาจังหวัดอุดรธานี (ค.มนุษย์ฯ)</t>
  </si>
  <si>
    <t>10624/2565</t>
  </si>
  <si>
    <t>อาจารย์ ธีรารัตน์ อำนาจเจริญ 30%</t>
  </si>
  <si>
    <t xml:space="preserve">ศูนย์การศึกษาจังหวัดอุดรธานี 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</si>
  <si>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</si>
  <si>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</si>
  <si>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</si>
  <si>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</si>
  <si>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</si>
  <si>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</si>
  <si>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</si>
  <si>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</si>
  <si>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</si>
  <si>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</si>
  <si>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</si>
  <si>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</si>
  <si>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(ว.นวัตกรรม)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</si>
  <si>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</si>
  <si>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</si>
  <si>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</si>
  <si>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</si>
  <si>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</si>
  <si>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</si>
  <si>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</si>
  <si>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ศูนย์การศึกษาจังหวัดอุดรธานี (ว.โลจิสฯ)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</si>
  <si>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</si>
  <si>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</si>
  <si>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</si>
  <si>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</si>
  <si>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</si>
  <si>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</si>
  <si>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</si>
  <si>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</si>
  <si>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</si>
  <si>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</si>
  <si>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</si>
  <si>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</si>
  <si>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</si>
  <si>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</si>
  <si>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</si>
  <si>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</si>
  <si>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</si>
  <si>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</si>
  <si>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</si>
  <si>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</si>
  <si>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</si>
  <si>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</si>
  <si>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</si>
  <si>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</si>
  <si>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</si>
  <si>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ศูนย์การศึกษาจังหวัดอุดรธานี (คณะมนุษย์ฯ)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</si>
  <si>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</si>
  <si>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</si>
  <si>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</si>
  <si>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</si>
  <si>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</si>
  <si>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</si>
  <si>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</si>
  <si>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
</t>
  </si>
  <si>
    <t>10707/2565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</si>
</sst>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3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187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75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left" vertical="center"/>
      <protection locked="0"/>
    </xf>
    <xf numFmtId="188" fontId="9" fillId="7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4" xfId="1" applyFont="1" applyFill="1" applyBorder="1" applyAlignment="1" applyProtection="1">
      <alignment horizontal="center" vertical="center" wrapText="1"/>
      <protection locked="0"/>
    </xf>
    <xf numFmtId="0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9" xfId="0" applyNumberFormat="1" applyFont="1" applyFill="1" applyBorder="1" applyAlignment="1" applyProtection="1">
      <alignment horizontal="center" vertical="top" wrapText="1"/>
      <protection hidden="1"/>
    </xf>
    <xf numFmtId="189" fontId="6" fillId="7" borderId="9" xfId="0" applyNumberFormat="1" applyFont="1" applyFill="1" applyBorder="1" applyAlignment="1" applyProtection="1">
      <alignment horizontal="center" vertical="top" wrapText="1"/>
      <protection hidden="1"/>
    </xf>
    <xf numFmtId="0" fontId="10" fillId="7" borderId="9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3" fontId="11" fillId="0" borderId="5" xfId="0" applyNumberFormat="1" applyFont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left" vertical="top" wrapText="1" indent="1"/>
      <protection locked="0"/>
    </xf>
    <xf numFmtId="188" fontId="11" fillId="4" borderId="8" xfId="1" applyNumberFormat="1" applyFont="1" applyFill="1" applyBorder="1" applyAlignment="1" applyProtection="1">
      <alignment horizontal="center" vertical="top" wrapText="1"/>
      <protection locked="0"/>
    </xf>
    <xf numFmtId="187" fontId="4" fillId="0" borderId="8" xfId="1" applyFont="1" applyFill="1" applyBorder="1" applyAlignment="1" applyProtection="1">
      <alignment horizontal="center" vertical="top" wrapText="1"/>
      <protection locked="0"/>
    </xf>
    <xf numFmtId="187" fontId="4" fillId="0" borderId="8" xfId="3" applyFont="1" applyFill="1" applyBorder="1" applyAlignment="1" applyProtection="1">
      <alignment horizontal="center" vertical="top" wrapText="1"/>
      <protection locked="0"/>
    </xf>
    <xf numFmtId="187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4" borderId="8" xfId="0" applyNumberFormat="1" applyFont="1" applyFill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9" fillId="8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left" vertical="top" wrapText="1" indent="1"/>
      <protection locked="0"/>
    </xf>
    <xf numFmtId="187" fontId="9" fillId="4" borderId="10" xfId="1" applyFont="1" applyFill="1" applyBorder="1" applyAlignment="1" applyProtection="1">
      <alignment horizontal="center" vertical="center" wrapText="1"/>
      <protection locked="0"/>
    </xf>
    <xf numFmtId="187" fontId="4" fillId="4" borderId="8" xfId="1" applyFont="1" applyFill="1" applyBorder="1" applyAlignment="1" applyProtection="1">
      <alignment horizontal="center" vertical="top" wrapText="1"/>
      <protection hidden="1"/>
    </xf>
    <xf numFmtId="3" fontId="11" fillId="0" borderId="8" xfId="0" applyNumberFormat="1" applyFont="1" applyBorder="1" applyAlignment="1" applyProtection="1">
      <alignment horizontal="center" vertical="top" wrapText="1"/>
    </xf>
    <xf numFmtId="187" fontId="4" fillId="4" borderId="8" xfId="1" applyFont="1" applyFill="1" applyBorder="1" applyAlignment="1" applyProtection="1">
      <alignment horizontal="center" vertical="top" wrapText="1"/>
      <protection locked="0"/>
    </xf>
    <xf numFmtId="187" fontId="4" fillId="4" borderId="8" xfId="3" applyFont="1" applyFill="1" applyBorder="1" applyAlignment="1" applyProtection="1">
      <alignment horizontal="center" vertical="top" wrapText="1"/>
      <protection locked="0"/>
    </xf>
    <xf numFmtId="4" fontId="14" fillId="4" borderId="8" xfId="0" applyNumberFormat="1" applyFont="1" applyFill="1" applyBorder="1" applyAlignment="1">
      <alignment horizontal="center" vertical="center" wrapText="1"/>
    </xf>
    <xf numFmtId="4" fontId="14" fillId="4" borderId="0" xfId="0" applyNumberFormat="1" applyFont="1" applyFill="1" applyAlignment="1">
      <alignment horizontal="center"/>
    </xf>
    <xf numFmtId="0" fontId="4" fillId="9" borderId="8" xfId="0" applyFont="1" applyFill="1" applyBorder="1" applyAlignment="1" applyProtection="1">
      <alignment horizontal="left" vertical="top"/>
      <protection locked="0"/>
    </xf>
    <xf numFmtId="187" fontId="4" fillId="0" borderId="11" xfId="1" applyFont="1" applyFill="1" applyBorder="1" applyAlignment="1" applyProtection="1">
      <alignment horizontal="center" vertical="top" wrapText="1"/>
      <protection locked="0"/>
    </xf>
    <xf numFmtId="187" fontId="4" fillId="0" borderId="11" xfId="3" applyFont="1" applyFill="1" applyBorder="1" applyAlignment="1" applyProtection="1">
      <alignment horizontal="center" vertical="top" wrapText="1"/>
      <protection locked="0"/>
    </xf>
    <xf numFmtId="187" fontId="9" fillId="0" borderId="11" xfId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188" fontId="11" fillId="4" borderId="12" xfId="1" applyNumberFormat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 indent="1"/>
      <protection locked="0"/>
    </xf>
    <xf numFmtId="188" fontId="9" fillId="10" borderId="12" xfId="1" applyNumberFormat="1" applyFont="1" applyFill="1" applyBorder="1" applyAlignment="1" applyProtection="1">
      <alignment horizontal="center" vertical="top" wrapText="1"/>
      <protection locked="0"/>
    </xf>
    <xf numFmtId="187" fontId="4" fillId="0" borderId="1" xfId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187" fontId="6" fillId="10" borderId="8" xfId="1" applyFont="1" applyFill="1" applyBorder="1" applyAlignment="1" applyProtection="1">
      <alignment horizontal="center" vertical="top" wrapText="1"/>
      <protection hidden="1"/>
    </xf>
    <xf numFmtId="189" fontId="6" fillId="10" borderId="8" xfId="0" applyNumberFormat="1" applyFont="1" applyFill="1" applyBorder="1" applyAlignment="1" applyProtection="1">
      <alignment horizontal="center" vertical="top" wrapText="1"/>
      <protection hidden="1"/>
    </xf>
    <xf numFmtId="0" fontId="12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center" vertical="top" wrapText="1"/>
      <protection hidden="1"/>
    </xf>
    <xf numFmtId="187" fontId="9" fillId="4" borderId="1" xfId="1" applyFont="1" applyFill="1" applyBorder="1" applyAlignment="1" applyProtection="1">
      <alignment horizontal="center" vertical="top" wrapText="1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10" borderId="8" xfId="0" applyFont="1" applyFill="1" applyBorder="1" applyProtection="1">
      <protection locked="0"/>
    </xf>
    <xf numFmtId="187" fontId="4" fillId="4" borderId="8" xfId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187" fontId="9" fillId="4" borderId="8" xfId="1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17" fillId="7" borderId="10" xfId="2" applyFont="1" applyFill="1" applyBorder="1" applyAlignment="1" applyProtection="1">
      <alignment horizontal="left" vertical="center" wrapText="1"/>
      <protection locked="0"/>
    </xf>
    <xf numFmtId="0" fontId="17" fillId="7" borderId="7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8" fontId="9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center" wrapText="1"/>
      <protection locked="0"/>
    </xf>
    <xf numFmtId="0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89" fontId="6" fillId="7" borderId="8" xfId="0" applyNumberFormat="1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top" wrapText="1"/>
      <protection hidden="1"/>
    </xf>
    <xf numFmtId="187" fontId="4" fillId="0" borderId="11" xfId="1" applyFont="1" applyFill="1" applyBorder="1" applyAlignment="1" applyProtection="1">
      <alignment horizontal="right" vertical="top" wrapText="1"/>
      <protection locked="0"/>
    </xf>
    <xf numFmtId="0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7" fontId="18" fillId="0" borderId="8" xfId="1" applyFont="1" applyFill="1" applyBorder="1" applyAlignment="1" applyProtection="1">
      <alignment horizontal="center" vertical="top" wrapText="1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187" fontId="4" fillId="0" borderId="10" xfId="1" applyFont="1" applyFill="1" applyBorder="1" applyAlignment="1" applyProtection="1">
      <alignment horizontal="center" vertical="top" wrapText="1"/>
      <protection locked="0"/>
    </xf>
    <xf numFmtId="0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top" wrapText="1"/>
      <protection locked="0"/>
    </xf>
    <xf numFmtId="187" fontId="6" fillId="0" borderId="8" xfId="1" applyFont="1" applyFill="1" applyBorder="1" applyAlignment="1" applyProtection="1">
      <alignment horizontal="center" vertical="top" wrapText="1"/>
      <protection locked="0"/>
    </xf>
    <xf numFmtId="0" fontId="9" fillId="11" borderId="10" xfId="0" applyFont="1" applyFill="1" applyBorder="1" applyAlignment="1" applyProtection="1">
      <alignment horizontal="center"/>
      <protection locked="0"/>
    </xf>
    <xf numFmtId="0" fontId="9" fillId="11" borderId="7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 applyProtection="1">
      <alignment horizontal="center"/>
      <protection locked="0"/>
    </xf>
    <xf numFmtId="2" fontId="9" fillId="11" borderId="8" xfId="0" applyNumberFormat="1" applyFont="1" applyFill="1" applyBorder="1" applyAlignment="1" applyProtection="1">
      <alignment horizontal="center" vertical="top" wrapText="1"/>
      <protection locked="0"/>
    </xf>
    <xf numFmtId="187" fontId="9" fillId="11" borderId="12" xfId="1" applyFont="1" applyFill="1" applyBorder="1" applyAlignment="1" applyProtection="1">
      <alignment horizontal="center"/>
      <protection locked="0"/>
    </xf>
    <xf numFmtId="187" fontId="9" fillId="11" borderId="10" xfId="1" applyFont="1" applyFill="1" applyBorder="1" applyAlignment="1" applyProtection="1">
      <alignment horizontal="center" vertical="center" wrapText="1"/>
      <protection locked="0"/>
    </xf>
    <xf numFmtId="0" fontId="9" fillId="11" borderId="12" xfId="0" applyNumberFormat="1" applyFont="1" applyFill="1" applyBorder="1" applyAlignment="1" applyProtection="1">
      <alignment horizontal="center"/>
      <protection locked="0"/>
    </xf>
    <xf numFmtId="4" fontId="6" fillId="11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11" borderId="8" xfId="0" applyNumberFormat="1" applyFont="1" applyFill="1" applyBorder="1" applyAlignment="1" applyProtection="1">
      <alignment horizontal="center" vertical="top" wrapText="1"/>
      <protection hidden="1"/>
    </xf>
    <xf numFmtId="0" fontId="10" fillId="11" borderId="8" xfId="0" applyFont="1" applyFill="1" applyBorder="1" applyAlignment="1" applyProtection="1">
      <alignment horizontal="center" vertical="top" wrapText="1"/>
      <protection hidden="1"/>
    </xf>
    <xf numFmtId="0" fontId="6" fillId="11" borderId="8" xfId="0" applyFont="1" applyFill="1" applyBorder="1" applyAlignment="1" applyProtection="1">
      <alignment horizontal="center" vertical="top" wrapText="1"/>
      <protection hidden="1"/>
    </xf>
    <xf numFmtId="0" fontId="19" fillId="9" borderId="8" xfId="0" applyFont="1" applyFill="1" applyBorder="1" applyAlignment="1" applyProtection="1">
      <alignment horizontal="left" vertical="top" wrapText="1" indent="1"/>
      <protection locked="0"/>
    </xf>
    <xf numFmtId="2" fontId="9" fillId="9" borderId="8" xfId="0" applyNumberFormat="1" applyFont="1" applyFill="1" applyBorder="1" applyAlignment="1" applyProtection="1">
      <alignment horizontal="center" vertical="top" wrapText="1"/>
      <protection locked="0"/>
    </xf>
    <xf numFmtId="187" fontId="19" fillId="9" borderId="8" xfId="1" applyFont="1" applyFill="1" applyBorder="1" applyAlignment="1" applyProtection="1">
      <alignment horizontal="center" vertical="top" wrapText="1"/>
      <protection locked="0"/>
    </xf>
    <xf numFmtId="187" fontId="19" fillId="12" borderId="8" xfId="1" applyFont="1" applyFill="1" applyBorder="1" applyAlignment="1" applyProtection="1">
      <alignment horizontal="center" vertical="center" wrapText="1"/>
      <protection locked="0"/>
    </xf>
    <xf numFmtId="187" fontId="19" fillId="12" borderId="10" xfId="1" applyFont="1" applyFill="1" applyBorder="1" applyAlignment="1" applyProtection="1">
      <alignment horizontal="center" vertical="center" wrapText="1"/>
      <protection locked="0"/>
    </xf>
    <xf numFmtId="0" fontId="19" fillId="9" borderId="8" xfId="0" applyNumberFormat="1" applyFont="1" applyFill="1" applyBorder="1" applyAlignment="1" applyProtection="1">
      <alignment horizontal="center" vertical="top" wrapText="1"/>
      <protection locked="0"/>
    </xf>
    <xf numFmtId="4" fontId="20" fillId="13" borderId="8" xfId="0" applyNumberFormat="1" applyFont="1" applyFill="1" applyBorder="1" applyAlignment="1" applyProtection="1">
      <alignment horizontal="center" vertical="top" wrapText="1"/>
      <protection hidden="1"/>
    </xf>
    <xf numFmtId="189" fontId="21" fillId="1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13" borderId="8" xfId="0" applyFont="1" applyFill="1" applyBorder="1" applyAlignment="1" applyProtection="1">
      <alignment horizontal="center" vertical="top" wrapText="1"/>
      <protection hidden="1"/>
    </xf>
    <xf numFmtId="0" fontId="8" fillId="13" borderId="8" xfId="0" applyFont="1" applyFill="1" applyBorder="1" applyAlignment="1" applyProtection="1">
      <alignment horizontal="center" vertical="top" wrapText="1"/>
      <protection hidden="1"/>
    </xf>
    <xf numFmtId="0" fontId="23" fillId="14" borderId="8" xfId="0" applyFont="1" applyFill="1" applyBorder="1" applyAlignment="1" applyProtection="1">
      <alignment horizontal="center" vertical="center"/>
      <protection locked="0"/>
    </xf>
    <xf numFmtId="0" fontId="24" fillId="15" borderId="8" xfId="0" applyFont="1" applyFill="1" applyBorder="1" applyAlignment="1" applyProtection="1">
      <alignment horizontal="left" vertical="top" wrapText="1"/>
      <protection locked="0"/>
    </xf>
    <xf numFmtId="0" fontId="23" fillId="14" borderId="8" xfId="0" applyFont="1" applyFill="1" applyBorder="1" applyAlignment="1" applyProtection="1">
      <alignment horizontal="center" vertical="center" wrapText="1"/>
      <protection locked="0"/>
    </xf>
    <xf numFmtId="0" fontId="25" fillId="16" borderId="8" xfId="0" applyFont="1" applyFill="1" applyBorder="1" applyAlignment="1">
      <alignment horizontal="center" vertical="center" wrapText="1"/>
    </xf>
    <xf numFmtId="0" fontId="25" fillId="16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4" fillId="17" borderId="8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/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0" fillId="4" borderId="0" xfId="0" applyFont="1" applyFill="1" applyAlignment="1">
      <alignment horizontal="center" vertical="center"/>
    </xf>
    <xf numFmtId="0" fontId="8" fillId="3" borderId="12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wrapText="1" shrinkToFit="1"/>
    </xf>
    <xf numFmtId="0" fontId="8" fillId="3" borderId="3" xfId="2" applyFont="1" applyFill="1" applyBorder="1" applyAlignment="1">
      <alignment horizontal="center" vertical="center" wrapText="1" shrinkToFit="1"/>
    </xf>
    <xf numFmtId="0" fontId="28" fillId="3" borderId="12" xfId="2" applyFont="1" applyFill="1" applyBorder="1" applyAlignment="1">
      <alignment horizontal="center" vertical="center" wrapText="1" shrinkToFit="1"/>
    </xf>
    <xf numFmtId="0" fontId="8" fillId="3" borderId="10" xfId="2" applyFont="1" applyFill="1" applyBorder="1" applyAlignment="1">
      <alignment horizontal="center" vertical="center" wrapText="1" shrinkToFit="1"/>
    </xf>
    <xf numFmtId="0" fontId="8" fillId="3" borderId="7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shrinkToFit="1"/>
    </xf>
    <xf numFmtId="43" fontId="8" fillId="3" borderId="12" xfId="4" applyFont="1" applyFill="1" applyBorder="1" applyAlignment="1">
      <alignment horizontal="center" vertical="center" wrapText="1" shrinkToFit="1"/>
    </xf>
    <xf numFmtId="3" fontId="8" fillId="3" borderId="12" xfId="2" applyNumberFormat="1" applyFont="1" applyFill="1" applyBorder="1" applyAlignment="1">
      <alignment horizontal="center" vertical="center" wrapText="1" shrinkToFit="1"/>
    </xf>
    <xf numFmtId="49" fontId="8" fillId="3" borderId="12" xfId="2" applyNumberFormat="1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center" vertical="center" shrinkToFit="1"/>
    </xf>
    <xf numFmtId="0" fontId="8" fillId="3" borderId="14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28" fillId="3" borderId="15" xfId="2" applyFont="1" applyFill="1" applyBorder="1" applyAlignment="1">
      <alignment horizontal="center" vertical="center" wrapText="1" shrinkToFit="1"/>
    </xf>
    <xf numFmtId="0" fontId="28" fillId="3" borderId="1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 shrinkToFit="1"/>
    </xf>
    <xf numFmtId="43" fontId="8" fillId="3" borderId="15" xfId="4" applyFont="1" applyFill="1" applyBorder="1" applyAlignment="1">
      <alignment horizontal="center" vertical="center" wrapText="1" shrinkToFit="1"/>
    </xf>
    <xf numFmtId="3" fontId="8" fillId="3" borderId="15" xfId="2" applyNumberFormat="1" applyFont="1" applyFill="1" applyBorder="1" applyAlignment="1">
      <alignment horizontal="center" vertical="center" wrapText="1" shrinkToFit="1"/>
    </xf>
    <xf numFmtId="49" fontId="8" fillId="3" borderId="15" xfId="2" applyNumberFormat="1" applyFont="1" applyFill="1" applyBorder="1" applyAlignment="1">
      <alignment horizontal="center" vertical="center" shrinkToFit="1"/>
    </xf>
    <xf numFmtId="0" fontId="18" fillId="4" borderId="12" xfId="2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top" wrapText="1"/>
    </xf>
    <xf numFmtId="4" fontId="4" fillId="4" borderId="17" xfId="0" applyNumberFormat="1" applyFont="1" applyFill="1" applyBorder="1" applyAlignment="1">
      <alignment horizontal="right" vertical="top"/>
    </xf>
    <xf numFmtId="0" fontId="4" fillId="4" borderId="18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0" fontId="18" fillId="4" borderId="15" xfId="2" applyFont="1" applyFill="1" applyBorder="1" applyAlignment="1">
      <alignment horizontal="center" vertical="top" shrinkToFi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left" vertical="top" wrapText="1"/>
    </xf>
    <xf numFmtId="4" fontId="4" fillId="4" borderId="21" xfId="0" applyNumberFormat="1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" fontId="4" fillId="4" borderId="23" xfId="0" applyNumberFormat="1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vertical="top" wrapText="1"/>
    </xf>
    <xf numFmtId="0" fontId="18" fillId="4" borderId="9" xfId="2" applyFont="1" applyFill="1" applyBorder="1" applyAlignment="1">
      <alignment horizontal="center" vertical="top" shrinkToFit="1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vertical="top" wrapText="1"/>
    </xf>
    <xf numFmtId="0" fontId="4" fillId="4" borderId="25" xfId="0" applyFont="1" applyFill="1" applyBorder="1" applyAlignment="1">
      <alignment horizontal="left" vertical="top" wrapText="1"/>
    </xf>
    <xf numFmtId="4" fontId="4" fillId="4" borderId="26" xfId="0" applyNumberFormat="1" applyFont="1" applyFill="1" applyBorder="1" applyAlignment="1">
      <alignment horizontal="right" vertical="top"/>
    </xf>
    <xf numFmtId="0" fontId="4" fillId="4" borderId="2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4" fontId="4" fillId="4" borderId="19" xfId="0" applyNumberFormat="1" applyFont="1" applyFill="1" applyBorder="1" applyAlignment="1">
      <alignment horizontal="right" vertical="top"/>
    </xf>
    <xf numFmtId="4" fontId="4" fillId="4" borderId="29" xfId="0" applyNumberFormat="1" applyFont="1" applyFill="1" applyBorder="1" applyAlignment="1">
      <alignment horizontal="right" vertical="top"/>
    </xf>
    <xf numFmtId="4" fontId="4" fillId="4" borderId="30" xfId="0" applyNumberFormat="1" applyFont="1" applyFill="1" applyBorder="1" applyAlignment="1">
      <alignment horizontal="right" vertical="top"/>
    </xf>
    <xf numFmtId="4" fontId="4" fillId="4" borderId="31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vertical="top" wrapText="1"/>
    </xf>
    <xf numFmtId="0" fontId="4" fillId="4" borderId="32" xfId="0" applyFont="1" applyFill="1" applyBorder="1" applyAlignment="1">
      <alignment horizontal="left" vertical="top" wrapText="1"/>
    </xf>
    <xf numFmtId="4" fontId="4" fillId="4" borderId="33" xfId="0" applyNumberFormat="1" applyFont="1" applyFill="1" applyBorder="1" applyAlignment="1">
      <alignment horizontal="right" vertical="top"/>
    </xf>
    <xf numFmtId="4" fontId="4" fillId="4" borderId="34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left" vertical="top" wrapText="1"/>
    </xf>
    <xf numFmtId="4" fontId="4" fillId="4" borderId="35" xfId="0" applyNumberFormat="1" applyFont="1" applyFill="1" applyBorder="1" applyAlignment="1">
      <alignment horizontal="right" vertical="top"/>
    </xf>
    <xf numFmtId="4" fontId="4" fillId="4" borderId="36" xfId="0" applyNumberFormat="1" applyFont="1" applyFill="1" applyBorder="1" applyAlignment="1">
      <alignment horizontal="right" vertical="top"/>
    </xf>
    <xf numFmtId="4" fontId="4" fillId="4" borderId="37" xfId="0" applyNumberFormat="1" applyFont="1" applyFill="1" applyBorder="1" applyAlignment="1">
      <alignment horizontal="right" vertical="top"/>
    </xf>
    <xf numFmtId="4" fontId="4" fillId="4" borderId="38" xfId="0" applyNumberFormat="1" applyFont="1" applyFill="1" applyBorder="1" applyAlignment="1">
      <alignment horizontal="right" vertical="top"/>
    </xf>
    <xf numFmtId="4" fontId="4" fillId="4" borderId="39" xfId="0" applyNumberFormat="1" applyFont="1" applyFill="1" applyBorder="1" applyAlignment="1">
      <alignment horizontal="right" vertical="top"/>
    </xf>
    <xf numFmtId="4" fontId="4" fillId="4" borderId="40" xfId="0" applyNumberFormat="1" applyFont="1" applyFill="1" applyBorder="1" applyAlignment="1">
      <alignment horizontal="right" vertical="top"/>
    </xf>
    <xf numFmtId="4" fontId="4" fillId="4" borderId="24" xfId="0" applyNumberFormat="1" applyFont="1" applyFill="1" applyBorder="1" applyAlignment="1">
      <alignment horizontal="right" vertical="top"/>
    </xf>
    <xf numFmtId="4" fontId="4" fillId="4" borderId="0" xfId="0" applyNumberFormat="1" applyFont="1" applyFill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4" fontId="4" fillId="4" borderId="41" xfId="0" applyNumberFormat="1" applyFont="1" applyFill="1" applyBorder="1" applyAlignment="1">
      <alignment horizontal="right" vertical="top"/>
    </xf>
    <xf numFmtId="0" fontId="4" fillId="4" borderId="42" xfId="0" applyFont="1" applyFill="1" applyBorder="1" applyAlignment="1">
      <alignment vertical="top" wrapText="1"/>
    </xf>
    <xf numFmtId="0" fontId="4" fillId="4" borderId="4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0" fontId="4" fillId="4" borderId="4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4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4" fontId="4" fillId="4" borderId="20" xfId="0" applyNumberFormat="1" applyFont="1" applyFill="1" applyBorder="1" applyAlignment="1">
      <alignment horizontal="right" vertical="top"/>
    </xf>
    <xf numFmtId="4" fontId="4" fillId="4" borderId="46" xfId="0" applyNumberFormat="1" applyFont="1" applyFill="1" applyBorder="1" applyAlignment="1">
      <alignment horizontal="right" vertical="top"/>
    </xf>
    <xf numFmtId="0" fontId="18" fillId="4" borderId="8" xfId="2" applyFont="1" applyFill="1" applyBorder="1" applyAlignment="1">
      <alignment horizontal="center" vertical="top" shrinkToFit="1"/>
    </xf>
    <xf numFmtId="0" fontId="18" fillId="4" borderId="10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left" vertical="top" wrapText="1"/>
    </xf>
    <xf numFmtId="4" fontId="18" fillId="4" borderId="47" xfId="0" applyNumberFormat="1" applyFont="1" applyFill="1" applyBorder="1" applyAlignment="1">
      <alignment horizontal="right" vertical="top"/>
    </xf>
    <xf numFmtId="0" fontId="18" fillId="4" borderId="48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9" fontId="4" fillId="4" borderId="24" xfId="0" applyNumberFormat="1" applyFont="1" applyFill="1" applyBorder="1" applyAlignment="1">
      <alignment vertical="top" wrapText="1"/>
    </xf>
    <xf numFmtId="4" fontId="4" fillId="4" borderId="49" xfId="0" applyNumberFormat="1" applyFont="1" applyFill="1" applyBorder="1" applyAlignment="1">
      <alignment horizontal="right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 wrapText="1"/>
    </xf>
    <xf numFmtId="4" fontId="4" fillId="4" borderId="47" xfId="0" applyNumberFormat="1" applyFont="1" applyFill="1" applyBorder="1" applyAlignment="1">
      <alignment horizontal="right" vertical="top"/>
    </xf>
    <xf numFmtId="0" fontId="4" fillId="4" borderId="12" xfId="0" applyFont="1" applyFill="1" applyBorder="1" applyAlignment="1">
      <alignment horizontal="left" vertical="top" wrapText="1"/>
    </xf>
    <xf numFmtId="0" fontId="4" fillId="4" borderId="46" xfId="0" applyFont="1" applyFill="1" applyBorder="1" applyAlignment="1">
      <alignment horizontal="left" vertical="top" wrapText="1"/>
    </xf>
    <xf numFmtId="4" fontId="4" fillId="4" borderId="50" xfId="0" applyNumberFormat="1" applyFont="1" applyFill="1" applyBorder="1" applyAlignment="1">
      <alignment horizontal="right" vertical="top"/>
    </xf>
    <xf numFmtId="0" fontId="18" fillId="4" borderId="12" xfId="2" applyFont="1" applyFill="1" applyBorder="1" applyAlignment="1">
      <alignment horizontal="center" vertical="top" shrinkToFit="1"/>
    </xf>
    <xf numFmtId="0" fontId="4" fillId="4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/>
    </xf>
    <xf numFmtId="0" fontId="4" fillId="4" borderId="5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vertical="top" wrapText="1"/>
    </xf>
    <xf numFmtId="0" fontId="18" fillId="4" borderId="19" xfId="0" applyFont="1" applyFill="1" applyBorder="1" applyAlignment="1">
      <alignment vertical="top" wrapText="1"/>
    </xf>
    <xf numFmtId="0" fontId="18" fillId="4" borderId="12" xfId="2" applyFont="1" applyFill="1" applyBorder="1" applyAlignment="1">
      <alignment horizontal="center" vertical="top" wrapText="1" shrinkToFit="1"/>
    </xf>
    <xf numFmtId="0" fontId="18" fillId="4" borderId="15" xfId="2" applyFont="1" applyFill="1" applyBorder="1" applyAlignment="1">
      <alignment horizontal="center" vertical="top" wrapText="1" shrinkToFit="1"/>
    </xf>
    <xf numFmtId="0" fontId="18" fillId="4" borderId="9" xfId="2" applyFont="1" applyFill="1" applyBorder="1" applyAlignment="1">
      <alignment horizontal="center" vertical="top" wrapText="1" shrinkToFit="1"/>
    </xf>
    <xf numFmtId="0" fontId="4" fillId="4" borderId="18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4" fillId="4" borderId="52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53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9" fontId="4" fillId="4" borderId="12" xfId="0" applyNumberFormat="1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left" vertical="top"/>
    </xf>
    <xf numFmtId="0" fontId="14" fillId="4" borderId="15" xfId="0" applyFont="1" applyFill="1" applyBorder="1" applyAlignment="1">
      <alignment vertical="top" wrapText="1"/>
    </xf>
    <xf numFmtId="4" fontId="4" fillId="4" borderId="52" xfId="0" applyNumberFormat="1" applyFont="1" applyFill="1" applyBorder="1" applyAlignment="1">
      <alignment horizontal="right" vertical="top"/>
    </xf>
    <xf numFmtId="0" fontId="14" fillId="4" borderId="24" xfId="0" applyFont="1" applyFill="1" applyBorder="1" applyAlignment="1">
      <alignment horizontal="left" vertical="top" wrapText="1"/>
    </xf>
    <xf numFmtId="0" fontId="14" fillId="4" borderId="19" xfId="0" applyFont="1" applyFill="1" applyBorder="1" applyAlignment="1">
      <alignment horizontal="left" vertical="top" wrapText="1"/>
    </xf>
    <xf numFmtId="0" fontId="14" fillId="4" borderId="32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/>
    </xf>
    <xf numFmtId="0" fontId="14" fillId="4" borderId="42" xfId="0" applyFont="1" applyFill="1" applyBorder="1" applyAlignment="1">
      <alignment vertical="top" wrapText="1"/>
    </xf>
    <xf numFmtId="4" fontId="4" fillId="4" borderId="42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left" vertical="top"/>
    </xf>
    <xf numFmtId="0" fontId="18" fillId="4" borderId="14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/>
    </xf>
    <xf numFmtId="0" fontId="14" fillId="4" borderId="24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left" vertical="top"/>
    </xf>
    <xf numFmtId="4" fontId="4" fillId="4" borderId="0" xfId="0" applyNumberFormat="1" applyFont="1" applyFill="1" applyAlignment="1">
      <alignment horizontal="right" vertical="top"/>
    </xf>
    <xf numFmtId="4" fontId="4" fillId="4" borderId="3" xfId="0" applyNumberFormat="1" applyFont="1" applyFill="1" applyBorder="1" applyAlignment="1">
      <alignment horizontal="right" vertical="top"/>
    </xf>
    <xf numFmtId="4" fontId="4" fillId="4" borderId="54" xfId="0" applyNumberFormat="1" applyFont="1" applyFill="1" applyBorder="1" applyAlignment="1">
      <alignment horizontal="right" vertical="top"/>
    </xf>
    <xf numFmtId="4" fontId="4" fillId="4" borderId="55" xfId="0" applyNumberFormat="1" applyFont="1" applyFill="1" applyBorder="1" applyAlignment="1">
      <alignment horizontal="right" vertical="top"/>
    </xf>
    <xf numFmtId="4" fontId="4" fillId="4" borderId="56" xfId="0" applyNumberFormat="1" applyFont="1" applyFill="1" applyBorder="1" applyAlignment="1">
      <alignment horizontal="right" vertical="top"/>
    </xf>
    <xf numFmtId="4" fontId="4" fillId="4" borderId="57" xfId="0" applyNumberFormat="1" applyFont="1" applyFill="1" applyBorder="1" applyAlignment="1">
      <alignment horizontal="right" vertical="top"/>
    </xf>
    <xf numFmtId="4" fontId="4" fillId="4" borderId="58" xfId="0" applyNumberFormat="1" applyFont="1" applyFill="1" applyBorder="1" applyAlignment="1">
      <alignment horizontal="right" vertical="top"/>
    </xf>
    <xf numFmtId="4" fontId="4" fillId="4" borderId="59" xfId="0" applyNumberFormat="1" applyFont="1" applyFill="1" applyBorder="1" applyAlignment="1">
      <alignment horizontal="right" vertical="top"/>
    </xf>
    <xf numFmtId="4" fontId="4" fillId="4" borderId="60" xfId="0" applyNumberFormat="1" applyFont="1" applyFill="1" applyBorder="1" applyAlignment="1">
      <alignment horizontal="right" vertical="top"/>
    </xf>
    <xf numFmtId="4" fontId="4" fillId="4" borderId="61" xfId="0" applyNumberFormat="1" applyFont="1" applyFill="1" applyBorder="1" applyAlignment="1">
      <alignment horizontal="right" vertical="top"/>
    </xf>
    <xf numFmtId="4" fontId="4" fillId="4" borderId="62" xfId="0" applyNumberFormat="1" applyFont="1" applyFill="1" applyBorder="1" applyAlignment="1">
      <alignment horizontal="right" vertical="top"/>
    </xf>
    <xf numFmtId="4" fontId="4" fillId="4" borderId="63" xfId="0" applyNumberFormat="1" applyFont="1" applyFill="1" applyBorder="1" applyAlignment="1">
      <alignment horizontal="right" vertical="top"/>
    </xf>
    <xf numFmtId="0" fontId="4" fillId="4" borderId="12" xfId="0" applyFont="1" applyFill="1" applyBorder="1" applyAlignment="1">
      <alignment vertical="top" wrapText="1"/>
    </xf>
    <xf numFmtId="4" fontId="4" fillId="4" borderId="16" xfId="0" applyNumberFormat="1" applyFont="1" applyFill="1" applyBorder="1" applyAlignment="1">
      <alignment horizontal="right" vertical="top"/>
    </xf>
    <xf numFmtId="0" fontId="4" fillId="4" borderId="52" xfId="0" applyFont="1" applyFill="1" applyBorder="1" applyAlignment="1">
      <alignment vertical="top" wrapText="1"/>
    </xf>
    <xf numFmtId="4" fontId="4" fillId="4" borderId="6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 wrapText="1"/>
    </xf>
    <xf numFmtId="4" fontId="4" fillId="4" borderId="64" xfId="0" applyNumberFormat="1" applyFont="1" applyFill="1" applyBorder="1" applyAlignment="1">
      <alignment horizontal="right" vertical="top"/>
    </xf>
    <xf numFmtId="0" fontId="4" fillId="4" borderId="1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4" fontId="4" fillId="4" borderId="65" xfId="0" applyNumberFormat="1" applyFont="1" applyFill="1" applyBorder="1" applyAlignment="1">
      <alignment horizontal="right" vertical="top"/>
    </xf>
    <xf numFmtId="0" fontId="4" fillId="4" borderId="64" xfId="0" applyFont="1" applyFill="1" applyBorder="1" applyAlignment="1">
      <alignment vertical="top" wrapText="1"/>
    </xf>
    <xf numFmtId="4" fontId="4" fillId="4" borderId="66" xfId="0" applyNumberFormat="1" applyFont="1" applyFill="1" applyBorder="1" applyAlignment="1">
      <alignment horizontal="right" vertical="top"/>
    </xf>
    <xf numFmtId="0" fontId="4" fillId="4" borderId="54" xfId="0" applyFont="1" applyFill="1" applyBorder="1" applyAlignment="1">
      <alignment vertical="top" wrapText="1"/>
    </xf>
    <xf numFmtId="0" fontId="4" fillId="4" borderId="65" xfId="0" applyFont="1" applyFill="1" applyBorder="1" applyAlignment="1">
      <alignment vertical="top" wrapText="1"/>
    </xf>
    <xf numFmtId="0" fontId="4" fillId="4" borderId="66" xfId="0" applyFont="1" applyFill="1" applyBorder="1" applyAlignment="1">
      <alignment vertical="top" wrapText="1"/>
    </xf>
    <xf numFmtId="0" fontId="4" fillId="4" borderId="62" xfId="0" applyFont="1" applyFill="1" applyBorder="1" applyAlignment="1">
      <alignment vertical="top" wrapText="1"/>
    </xf>
    <xf numFmtId="0" fontId="4" fillId="4" borderId="66" xfId="0" applyFont="1" applyFill="1" applyBorder="1" applyAlignment="1">
      <alignment horizontal="right" vertical="top"/>
    </xf>
    <xf numFmtId="0" fontId="14" fillId="4" borderId="17" xfId="0" applyFont="1" applyFill="1" applyBorder="1" applyAlignment="1">
      <alignment horizontal="left" vertical="top" wrapText="1"/>
    </xf>
    <xf numFmtId="4" fontId="4" fillId="4" borderId="12" xfId="0" applyNumberFormat="1" applyFont="1" applyFill="1" applyBorder="1" applyAlignment="1">
      <alignment horizontal="right" vertical="top"/>
    </xf>
    <xf numFmtId="0" fontId="18" fillId="4" borderId="24" xfId="0" applyFont="1" applyFill="1" applyBorder="1" applyAlignment="1">
      <alignment horizontal="left" vertical="top" wrapText="1"/>
    </xf>
    <xf numFmtId="0" fontId="14" fillId="4" borderId="31" xfId="0" applyFont="1" applyFill="1" applyBorder="1" applyAlignment="1">
      <alignment horizontal="left" vertical="top" wrapText="1"/>
    </xf>
    <xf numFmtId="0" fontId="14" fillId="4" borderId="30" xfId="0" applyFont="1" applyFill="1" applyBorder="1" applyAlignment="1">
      <alignment vertical="top" wrapText="1"/>
    </xf>
    <xf numFmtId="0" fontId="14" fillId="4" borderId="32" xfId="0" applyFont="1" applyFill="1" applyBorder="1" applyAlignment="1">
      <alignment vertical="top"/>
    </xf>
    <xf numFmtId="4" fontId="4" fillId="4" borderId="32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/>
    </xf>
    <xf numFmtId="4" fontId="4" fillId="4" borderId="67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horizontal="left" vertical="top" wrapText="1"/>
    </xf>
    <xf numFmtId="4" fontId="4" fillId="4" borderId="68" xfId="0" applyNumberFormat="1" applyFont="1" applyFill="1" applyBorder="1" applyAlignment="1">
      <alignment horizontal="right" vertical="top"/>
    </xf>
    <xf numFmtId="4" fontId="4" fillId="4" borderId="69" xfId="0" applyNumberFormat="1" applyFont="1" applyFill="1" applyBorder="1" applyAlignment="1">
      <alignment horizontal="right" vertical="top"/>
    </xf>
    <xf numFmtId="0" fontId="4" fillId="4" borderId="13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4" fontId="4" fillId="4" borderId="13" xfId="0" applyNumberFormat="1" applyFont="1" applyFill="1" applyBorder="1" applyAlignment="1">
      <alignment horizontal="right" vertical="top"/>
    </xf>
    <xf numFmtId="0" fontId="14" fillId="4" borderId="12" xfId="0" applyFont="1" applyFill="1" applyBorder="1" applyAlignment="1">
      <alignment vertical="top"/>
    </xf>
    <xf numFmtId="0" fontId="14" fillId="4" borderId="12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vertical="top"/>
    </xf>
    <xf numFmtId="0" fontId="14" fillId="4" borderId="19" xfId="0" applyFont="1" applyFill="1" applyBorder="1" applyAlignment="1">
      <alignment vertical="top" wrapText="1"/>
    </xf>
    <xf numFmtId="0" fontId="14" fillId="4" borderId="24" xfId="0" applyFont="1" applyFill="1" applyBorder="1" applyAlignment="1">
      <alignment vertical="top"/>
    </xf>
    <xf numFmtId="4" fontId="4" fillId="4" borderId="15" xfId="0" applyNumberFormat="1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vertical="top" wrapText="1"/>
    </xf>
    <xf numFmtId="9" fontId="4" fillId="4" borderId="4" xfId="0" applyNumberFormat="1" applyFont="1" applyFill="1" applyBorder="1" applyAlignment="1">
      <alignment horizontal="center" vertical="top" wrapText="1"/>
    </xf>
    <xf numFmtId="0" fontId="4" fillId="4" borderId="59" xfId="0" applyFont="1" applyFill="1" applyBorder="1" applyAlignment="1">
      <alignment horizontal="left" vertical="top" wrapText="1"/>
    </xf>
    <xf numFmtId="0" fontId="4" fillId="4" borderId="70" xfId="0" applyFont="1" applyFill="1" applyBorder="1" applyAlignment="1">
      <alignment horizontal="left" vertical="top" wrapText="1"/>
    </xf>
    <xf numFmtId="4" fontId="4" fillId="4" borderId="71" xfId="0" applyNumberFormat="1" applyFont="1" applyFill="1" applyBorder="1" applyAlignment="1">
      <alignment horizontal="right" vertical="top"/>
    </xf>
    <xf numFmtId="4" fontId="4" fillId="4" borderId="72" xfId="0" applyNumberFormat="1" applyFont="1" applyFill="1" applyBorder="1" applyAlignment="1">
      <alignment horizontal="right" vertical="top"/>
    </xf>
    <xf numFmtId="4" fontId="4" fillId="4" borderId="73" xfId="0" applyNumberFormat="1" applyFont="1" applyFill="1" applyBorder="1" applyAlignment="1">
      <alignment horizontal="right" vertical="top"/>
    </xf>
    <xf numFmtId="4" fontId="4" fillId="4" borderId="74" xfId="0" applyNumberFormat="1" applyFont="1" applyFill="1" applyBorder="1" applyAlignment="1">
      <alignment horizontal="right" vertical="top"/>
    </xf>
    <xf numFmtId="0" fontId="4" fillId="4" borderId="75" xfId="0" applyFont="1" applyFill="1" applyBorder="1" applyAlignment="1">
      <alignment vertical="top" wrapText="1"/>
    </xf>
    <xf numFmtId="0" fontId="4" fillId="4" borderId="76" xfId="0" applyFont="1" applyFill="1" applyBorder="1" applyAlignment="1">
      <alignment vertical="top" wrapText="1"/>
    </xf>
    <xf numFmtId="0" fontId="4" fillId="4" borderId="77" xfId="0" applyFont="1" applyFill="1" applyBorder="1" applyAlignment="1">
      <alignment vertical="top" wrapText="1"/>
    </xf>
    <xf numFmtId="0" fontId="4" fillId="4" borderId="78" xfId="0" applyFont="1" applyFill="1" applyBorder="1" applyAlignment="1">
      <alignment horizontal="left" vertical="top" wrapText="1"/>
    </xf>
    <xf numFmtId="0" fontId="4" fillId="4" borderId="79" xfId="0" applyFont="1" applyFill="1" applyBorder="1" applyAlignment="1">
      <alignment horizontal="left" vertical="top" wrapText="1"/>
    </xf>
    <xf numFmtId="0" fontId="4" fillId="4" borderId="80" xfId="0" applyFont="1" applyFill="1" applyBorder="1" applyAlignment="1">
      <alignment horizontal="left" vertical="top" wrapText="1"/>
    </xf>
    <xf numFmtId="0" fontId="4" fillId="4" borderId="58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4" fillId="4" borderId="30" xfId="0" applyFont="1" applyFill="1" applyBorder="1" applyAlignment="1">
      <alignment horizontal="left" vertical="top" wrapText="1"/>
    </xf>
    <xf numFmtId="4" fontId="4" fillId="4" borderId="81" xfId="0" applyNumberFormat="1" applyFont="1" applyFill="1" applyBorder="1" applyAlignment="1">
      <alignment horizontal="right" vertical="top"/>
    </xf>
    <xf numFmtId="4" fontId="4" fillId="4" borderId="27" xfId="0" applyNumberFormat="1" applyFont="1" applyFill="1" applyBorder="1" applyAlignment="1">
      <alignment horizontal="right" vertical="top"/>
    </xf>
    <xf numFmtId="0" fontId="4" fillId="4" borderId="82" xfId="0" applyFont="1" applyFill="1" applyBorder="1" applyAlignment="1">
      <alignment horizontal="left" vertical="top" wrapText="1"/>
    </xf>
    <xf numFmtId="0" fontId="4" fillId="4" borderId="83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right" vertical="top"/>
    </xf>
    <xf numFmtId="0" fontId="4" fillId="4" borderId="51" xfId="0" applyFont="1" applyFill="1" applyBorder="1" applyAlignment="1">
      <alignment horizontal="center" vertical="top"/>
    </xf>
    <xf numFmtId="0" fontId="4" fillId="4" borderId="40" xfId="0" applyFont="1" applyFill="1" applyBorder="1" applyAlignment="1">
      <alignment vertical="top" wrapText="1"/>
    </xf>
    <xf numFmtId="0" fontId="4" fillId="4" borderId="84" xfId="0" applyFont="1" applyFill="1" applyBorder="1" applyAlignment="1">
      <alignment horizontal="center" vertical="top"/>
    </xf>
    <xf numFmtId="0" fontId="4" fillId="4" borderId="30" xfId="0" applyFont="1" applyFill="1" applyBorder="1" applyAlignment="1">
      <alignment vertical="top" wrapText="1"/>
    </xf>
    <xf numFmtId="0" fontId="4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4" fillId="4" borderId="85" xfId="0" applyFont="1" applyFill="1" applyBorder="1" applyAlignment="1">
      <alignment horizontal="center" vertical="top"/>
    </xf>
    <xf numFmtId="0" fontId="4" fillId="4" borderId="3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4" fontId="4" fillId="0" borderId="86" xfId="0" applyNumberFormat="1" applyFont="1" applyBorder="1" applyAlignment="1">
      <alignment horizontal="right" vertical="top"/>
    </xf>
    <xf numFmtId="4" fontId="4" fillId="0" borderId="87" xfId="0" applyNumberFormat="1" applyFont="1" applyBorder="1" applyAlignment="1">
      <alignment horizontal="right" vertical="top"/>
    </xf>
  </cellXfs>
  <cellStyles count="5">
    <cellStyle name="Comma" xfId="1" builtinId="3"/>
    <cellStyle name="Comma 2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85" zoomScaleNormal="85" workbookViewId="0">
      <pane xSplit="4" ySplit="6" topLeftCell="I7" activePane="bottomRight" state="frozen"/>
      <selection activeCell="L34" sqref="L34:L38"/>
      <selection pane="topRight" activeCell="L34" sqref="L34:L38"/>
      <selection pane="bottomLeft" activeCell="L34" sqref="L34:L38"/>
      <selection pane="bottomRight" activeCell="L34" sqref="L34:L38"/>
    </sheetView>
  </sheetViews>
  <sheetFormatPr defaultColWidth="9" defaultRowHeight="24" x14ac:dyDescent="0.2"/>
  <cols>
    <col min="1" max="1" width="10.125" style="6" customWidth="1"/>
    <col min="2" max="2" width="13.5" style="130" customWidth="1"/>
    <col min="3" max="3" width="22.75" style="130" customWidth="1"/>
    <col min="4" max="4" width="9" style="130"/>
    <col min="5" max="6" width="18.75" style="130" customWidth="1"/>
    <col min="7" max="7" width="14.75" style="130" customWidth="1"/>
    <col min="8" max="10" width="18.75" style="130" customWidth="1"/>
    <col min="11" max="11" width="20.125" style="130" customWidth="1"/>
    <col min="12" max="12" width="11.5" style="130" bestFit="1" customWidth="1"/>
    <col min="13" max="13" width="16.625" style="130" bestFit="1" customWidth="1"/>
    <col min="14" max="14" width="27.875" style="130" bestFit="1" customWidth="1"/>
    <col min="15" max="15" width="47" style="130" bestFit="1" customWidth="1"/>
    <col min="16" max="16" width="12.125" style="6" customWidth="1"/>
    <col min="17" max="51" width="9" style="6"/>
    <col min="52" max="16384" width="9" style="130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14" t="s">
        <v>7</v>
      </c>
      <c r="C3" s="15"/>
      <c r="D3" s="15" t="s">
        <v>8</v>
      </c>
      <c r="E3" s="16" t="s">
        <v>9</v>
      </c>
      <c r="F3" s="16"/>
      <c r="G3" s="16"/>
      <c r="H3" s="16"/>
      <c r="I3" s="16"/>
      <c r="J3" s="16"/>
      <c r="K3" s="16"/>
      <c r="L3" s="16"/>
      <c r="M3" s="16"/>
      <c r="N3" s="17"/>
      <c r="O3" s="17"/>
    </row>
    <row r="4" spans="1:21" ht="21" customHeight="1" x14ac:dyDescent="0.2">
      <c r="A4" s="18" t="s">
        <v>10</v>
      </c>
      <c r="B4" s="19" t="s">
        <v>11</v>
      </c>
      <c r="C4" s="19"/>
      <c r="D4" s="19" t="s">
        <v>12</v>
      </c>
      <c r="E4" s="18" t="s">
        <v>13</v>
      </c>
      <c r="F4" s="18"/>
      <c r="G4" s="18"/>
      <c r="H4" s="18"/>
      <c r="I4" s="18"/>
      <c r="J4" s="20" t="s">
        <v>14</v>
      </c>
      <c r="K4" s="19" t="s">
        <v>15</v>
      </c>
      <c r="L4" s="19" t="s">
        <v>16</v>
      </c>
      <c r="M4" s="19" t="s">
        <v>17</v>
      </c>
      <c r="N4" s="21" t="s">
        <v>18</v>
      </c>
      <c r="O4" s="21" t="s">
        <v>19</v>
      </c>
    </row>
    <row r="5" spans="1:21" ht="21" customHeight="1" x14ac:dyDescent="0.2">
      <c r="A5" s="18"/>
      <c r="B5" s="19"/>
      <c r="C5" s="19"/>
      <c r="D5" s="19"/>
      <c r="E5" s="18" t="s">
        <v>20</v>
      </c>
      <c r="F5" s="18"/>
      <c r="G5" s="18"/>
      <c r="H5" s="22" t="s">
        <v>21</v>
      </c>
      <c r="I5" s="19" t="s">
        <v>22</v>
      </c>
      <c r="J5" s="20"/>
      <c r="K5" s="19"/>
      <c r="L5" s="19"/>
      <c r="M5" s="19"/>
      <c r="N5" s="21"/>
      <c r="O5" s="21"/>
    </row>
    <row r="6" spans="1:21" ht="21" customHeight="1" x14ac:dyDescent="0.2">
      <c r="A6" s="18"/>
      <c r="B6" s="19"/>
      <c r="C6" s="19"/>
      <c r="D6" s="19"/>
      <c r="E6" s="23" t="s">
        <v>23</v>
      </c>
      <c r="F6" s="22" t="s">
        <v>24</v>
      </c>
      <c r="G6" s="22" t="s">
        <v>22</v>
      </c>
      <c r="H6" s="22" t="s">
        <v>25</v>
      </c>
      <c r="I6" s="19"/>
      <c r="J6" s="20"/>
      <c r="K6" s="19"/>
      <c r="L6" s="19"/>
      <c r="M6" s="19"/>
      <c r="N6" s="21"/>
      <c r="O6" s="21"/>
    </row>
    <row r="7" spans="1:21" s="6" customFormat="1" ht="23.25" customHeight="1" x14ac:dyDescent="0.2">
      <c r="A7" s="24" t="s">
        <v>26</v>
      </c>
      <c r="B7" s="24"/>
      <c r="C7" s="24"/>
      <c r="D7" s="25">
        <v>25000</v>
      </c>
      <c r="E7" s="26">
        <f>SUM(E8:E18)</f>
        <v>952130</v>
      </c>
      <c r="F7" s="26">
        <f>SUM(F8:F18)</f>
        <v>23288770.800000001</v>
      </c>
      <c r="G7" s="26">
        <f>E7+F7</f>
        <v>24240900.800000001</v>
      </c>
      <c r="H7" s="26">
        <f>SUM(H8:H18)</f>
        <v>19736384</v>
      </c>
      <c r="I7" s="26">
        <f>G7+H7</f>
        <v>43977284.799999997</v>
      </c>
      <c r="J7" s="27">
        <f>SUM(J8:J18)</f>
        <v>601</v>
      </c>
      <c r="K7" s="28">
        <f>IFERROR(ROUND((I7/J7),2),0)</f>
        <v>73173.52</v>
      </c>
      <c r="L7" s="29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30" t="str">
        <f>IF(L7=5,"ü","û")</f>
        <v>ü</v>
      </c>
      <c r="N7" s="31"/>
      <c r="O7" s="31"/>
      <c r="P7" s="32"/>
      <c r="Q7" s="32" t="s">
        <v>27</v>
      </c>
      <c r="R7" s="32"/>
      <c r="S7" s="32"/>
      <c r="T7" s="32"/>
      <c r="U7" s="33">
        <v>5000</v>
      </c>
    </row>
    <row r="8" spans="1:21" s="6" customFormat="1" ht="23.25" customHeight="1" x14ac:dyDescent="0.2">
      <c r="A8" s="34">
        <v>1</v>
      </c>
      <c r="B8" s="35" t="s">
        <v>28</v>
      </c>
      <c r="C8" s="35"/>
      <c r="D8" s="36">
        <v>25000</v>
      </c>
      <c r="E8" s="37">
        <v>158020</v>
      </c>
      <c r="F8" s="38">
        <v>180200</v>
      </c>
      <c r="G8" s="39">
        <f t="shared" ref="G8:G30" si="0">E8+F8</f>
        <v>338220</v>
      </c>
      <c r="H8" s="37">
        <v>12500</v>
      </c>
      <c r="I8" s="39">
        <f>G8+H8</f>
        <v>350720</v>
      </c>
      <c r="J8" s="40">
        <v>54</v>
      </c>
      <c r="K8" s="41">
        <f>IFERROR(ROUND((I8/J8),2),0)</f>
        <v>6494.81</v>
      </c>
      <c r="L8" s="42">
        <f>IF(K8=0,0,IF(K8="N/A",1,IF(K8&lt;=Q$9,1,IF(K8=R$9,2,IF(K8&lt;R$9,(((K8-Q$9)/U$7)+1),IF(K8=S$9,3,IF(K8&lt;S$9,(((K8-R$9)/U$7)+2),IF(K8=T$9,4,IF(K8&lt;T$9,(((K8-S$9)/U$7)+3),IF(K8&gt;=U$9,5,IF(K8&lt;U$9,(((K8-T$9)/U$7)+4),0)))))))))))</f>
        <v>1.298962</v>
      </c>
      <c r="M8" s="43" t="str">
        <f t="shared" ref="M8:M18" si="1">IF(L8=5,"ü","û")</f>
        <v>û</v>
      </c>
      <c r="N8" s="44">
        <v>231.48</v>
      </c>
      <c r="O8" s="45" t="s">
        <v>29</v>
      </c>
      <c r="P8" s="32"/>
      <c r="Q8" s="46" t="s">
        <v>30</v>
      </c>
      <c r="R8" s="46" t="s">
        <v>31</v>
      </c>
      <c r="S8" s="46" t="s">
        <v>32</v>
      </c>
      <c r="T8" s="46" t="s">
        <v>33</v>
      </c>
      <c r="U8" s="46" t="s">
        <v>34</v>
      </c>
    </row>
    <row r="9" spans="1:21" s="6" customFormat="1" ht="23.25" customHeight="1" x14ac:dyDescent="0.2">
      <c r="A9" s="34">
        <v>2</v>
      </c>
      <c r="B9" s="47" t="s">
        <v>35</v>
      </c>
      <c r="C9" s="47"/>
      <c r="D9" s="36">
        <v>25000</v>
      </c>
      <c r="E9" s="37">
        <v>87190</v>
      </c>
      <c r="F9" s="38">
        <v>1023530.8</v>
      </c>
      <c r="G9" s="48">
        <f t="shared" si="0"/>
        <v>1110720.8</v>
      </c>
      <c r="H9" s="37">
        <v>2391720</v>
      </c>
      <c r="I9" s="48">
        <f>G9+H9</f>
        <v>3502440.8</v>
      </c>
      <c r="J9" s="40">
        <v>51</v>
      </c>
      <c r="K9" s="41">
        <f t="shared" ref="K9:K18" si="2">IFERROR(ROUND((I9/J9),2),0)</f>
        <v>68675.31</v>
      </c>
      <c r="L9" s="42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3" t="str">
        <f t="shared" si="1"/>
        <v>ü</v>
      </c>
      <c r="N9" s="49">
        <v>0</v>
      </c>
      <c r="O9" s="45" t="s">
        <v>29</v>
      </c>
      <c r="P9" s="32" t="s">
        <v>36</v>
      </c>
      <c r="Q9" s="50">
        <v>5000</v>
      </c>
      <c r="R9" s="50">
        <v>10000</v>
      </c>
      <c r="S9" s="50">
        <v>15000</v>
      </c>
      <c r="T9" s="50">
        <v>20000</v>
      </c>
      <c r="U9" s="50">
        <v>25000</v>
      </c>
    </row>
    <row r="10" spans="1:21" s="6" customFormat="1" ht="23.25" customHeight="1" x14ac:dyDescent="0.2">
      <c r="A10" s="34">
        <v>3</v>
      </c>
      <c r="B10" s="47" t="s">
        <v>37</v>
      </c>
      <c r="C10" s="47"/>
      <c r="D10" s="36">
        <v>25000</v>
      </c>
      <c r="E10" s="51">
        <v>94630</v>
      </c>
      <c r="F10" s="52">
        <v>521225</v>
      </c>
      <c r="G10" s="48">
        <f t="shared" si="0"/>
        <v>615855</v>
      </c>
      <c r="H10" s="51">
        <v>1654400</v>
      </c>
      <c r="I10" s="48">
        <f t="shared" ref="I10:I31" si="4">G10+H10</f>
        <v>2270255</v>
      </c>
      <c r="J10" s="40">
        <v>55</v>
      </c>
      <c r="K10" s="41">
        <f t="shared" si="2"/>
        <v>41277.360000000001</v>
      </c>
      <c r="L10" s="42">
        <f t="shared" si="3"/>
        <v>5</v>
      </c>
      <c r="M10" s="43" t="str">
        <f t="shared" si="1"/>
        <v>ü</v>
      </c>
      <c r="N10" s="53">
        <v>39432.730000000003</v>
      </c>
      <c r="O10" s="45" t="s">
        <v>29</v>
      </c>
      <c r="P10" s="32" t="s">
        <v>38</v>
      </c>
      <c r="Q10" s="50">
        <v>40000</v>
      </c>
      <c r="R10" s="50">
        <v>45000</v>
      </c>
      <c r="S10" s="50">
        <v>50000</v>
      </c>
      <c r="T10" s="50">
        <v>55000</v>
      </c>
      <c r="U10" s="50">
        <v>60000</v>
      </c>
    </row>
    <row r="11" spans="1:21" s="6" customFormat="1" ht="24" customHeight="1" x14ac:dyDescent="0.55000000000000004">
      <c r="A11" s="34">
        <v>4</v>
      </c>
      <c r="B11" s="47" t="s">
        <v>39</v>
      </c>
      <c r="C11" s="47"/>
      <c r="D11" s="36">
        <v>25000</v>
      </c>
      <c r="E11" s="51">
        <v>58000</v>
      </c>
      <c r="F11" s="52">
        <v>8719661</v>
      </c>
      <c r="G11" s="48">
        <f t="shared" si="0"/>
        <v>8777661</v>
      </c>
      <c r="H11" s="51">
        <v>25000</v>
      </c>
      <c r="I11" s="48">
        <f>G11+H11</f>
        <v>8802661</v>
      </c>
      <c r="J11" s="40">
        <v>47</v>
      </c>
      <c r="K11" s="41">
        <f t="shared" si="2"/>
        <v>187290.66</v>
      </c>
      <c r="L11" s="42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3" t="str">
        <f t="shared" si="1"/>
        <v>ü</v>
      </c>
      <c r="N11" s="54">
        <v>1063.83</v>
      </c>
      <c r="O11" s="45" t="s">
        <v>29</v>
      </c>
      <c r="P11" s="32" t="s">
        <v>40</v>
      </c>
      <c r="Q11" s="50">
        <v>30000</v>
      </c>
      <c r="R11" s="50">
        <v>35000</v>
      </c>
      <c r="S11" s="50">
        <v>40000</v>
      </c>
      <c r="T11" s="50">
        <v>45000</v>
      </c>
      <c r="U11" s="50">
        <v>50000</v>
      </c>
    </row>
    <row r="12" spans="1:21" s="6" customFormat="1" ht="23.25" customHeight="1" x14ac:dyDescent="0.2">
      <c r="A12" s="34">
        <v>5</v>
      </c>
      <c r="B12" s="47" t="s">
        <v>41</v>
      </c>
      <c r="C12" s="47"/>
      <c r="D12" s="36">
        <v>25000</v>
      </c>
      <c r="E12" s="51">
        <v>51520</v>
      </c>
      <c r="F12" s="52">
        <v>8882120.25</v>
      </c>
      <c r="G12" s="48">
        <f t="shared" si="0"/>
        <v>8933640.25</v>
      </c>
      <c r="H12" s="51">
        <v>1125000</v>
      </c>
      <c r="I12" s="48">
        <f t="shared" si="4"/>
        <v>10058640.25</v>
      </c>
      <c r="J12" s="40">
        <v>93</v>
      </c>
      <c r="K12" s="41">
        <f t="shared" si="2"/>
        <v>108157.42</v>
      </c>
      <c r="L12" s="42">
        <f t="shared" si="3"/>
        <v>5</v>
      </c>
      <c r="M12" s="43" t="str">
        <f t="shared" si="1"/>
        <v>ü</v>
      </c>
      <c r="N12" s="41">
        <v>24193.55</v>
      </c>
      <c r="O12" s="45" t="s">
        <v>29</v>
      </c>
    </row>
    <row r="13" spans="1:21" s="6" customFormat="1" ht="23.25" customHeight="1" x14ac:dyDescent="0.2">
      <c r="A13" s="34">
        <v>6</v>
      </c>
      <c r="B13" s="47" t="s">
        <v>42</v>
      </c>
      <c r="C13" s="47"/>
      <c r="D13" s="36">
        <v>25000</v>
      </c>
      <c r="E13" s="51">
        <v>75750</v>
      </c>
      <c r="F13" s="51">
        <v>169149</v>
      </c>
      <c r="G13" s="39">
        <f t="shared" si="0"/>
        <v>244899</v>
      </c>
      <c r="H13" s="51">
        <v>375000</v>
      </c>
      <c r="I13" s="39">
        <f t="shared" si="4"/>
        <v>619899</v>
      </c>
      <c r="J13" s="40">
        <v>52</v>
      </c>
      <c r="K13" s="41">
        <f t="shared" si="2"/>
        <v>11921.13</v>
      </c>
      <c r="L13" s="42">
        <f t="shared" si="3"/>
        <v>2.384226</v>
      </c>
      <c r="M13" s="43" t="str">
        <f t="shared" si="1"/>
        <v>û</v>
      </c>
      <c r="N13" s="41">
        <v>14423.08</v>
      </c>
      <c r="O13" s="45" t="s">
        <v>43</v>
      </c>
    </row>
    <row r="14" spans="1:21" s="6" customFormat="1" x14ac:dyDescent="0.2">
      <c r="A14" s="34">
        <v>7</v>
      </c>
      <c r="B14" s="47" t="s">
        <v>44</v>
      </c>
      <c r="C14" s="47"/>
      <c r="D14" s="36">
        <v>25000</v>
      </c>
      <c r="E14" s="51">
        <v>236815</v>
      </c>
      <c r="F14" s="51">
        <v>2649784.75</v>
      </c>
      <c r="G14" s="39">
        <f t="shared" si="0"/>
        <v>2886599.75</v>
      </c>
      <c r="H14" s="51">
        <v>0</v>
      </c>
      <c r="I14" s="39">
        <f t="shared" si="4"/>
        <v>2886599.75</v>
      </c>
      <c r="J14" s="40">
        <v>58</v>
      </c>
      <c r="K14" s="41">
        <f t="shared" si="2"/>
        <v>49768.959999999999</v>
      </c>
      <c r="L14" s="42">
        <f t="shared" si="3"/>
        <v>5</v>
      </c>
      <c r="M14" s="43" t="str">
        <f t="shared" si="1"/>
        <v>ü</v>
      </c>
      <c r="N14" s="41">
        <v>18491.38</v>
      </c>
      <c r="O14" s="45" t="s">
        <v>29</v>
      </c>
    </row>
    <row r="15" spans="1:21" s="6" customFormat="1" x14ac:dyDescent="0.55000000000000004">
      <c r="A15" s="34">
        <v>8</v>
      </c>
      <c r="B15" s="47" t="s">
        <v>45</v>
      </c>
      <c r="C15" s="47"/>
      <c r="D15" s="36">
        <v>25000</v>
      </c>
      <c r="E15" s="51">
        <f>8580+500</f>
        <v>9080</v>
      </c>
      <c r="F15" s="51">
        <v>1128100</v>
      </c>
      <c r="G15" s="39">
        <f t="shared" si="0"/>
        <v>1137180</v>
      </c>
      <c r="H15" s="51">
        <v>7012664</v>
      </c>
      <c r="I15" s="39">
        <f t="shared" si="4"/>
        <v>8149844</v>
      </c>
      <c r="J15" s="40">
        <v>64</v>
      </c>
      <c r="K15" s="41">
        <f t="shared" si="2"/>
        <v>127341.31</v>
      </c>
      <c r="L15" s="42">
        <f t="shared" si="3"/>
        <v>5</v>
      </c>
      <c r="M15" s="43" t="str">
        <f t="shared" si="1"/>
        <v>ü</v>
      </c>
      <c r="N15" s="54">
        <v>109572.88</v>
      </c>
      <c r="O15" s="45" t="s">
        <v>29</v>
      </c>
    </row>
    <row r="16" spans="1:21" s="6" customFormat="1" x14ac:dyDescent="0.2">
      <c r="A16" s="34">
        <v>9</v>
      </c>
      <c r="B16" s="47" t="s">
        <v>46</v>
      </c>
      <c r="C16" s="47"/>
      <c r="D16" s="36">
        <v>25000</v>
      </c>
      <c r="E16" s="51">
        <v>74025</v>
      </c>
      <c r="F16" s="51">
        <v>15000</v>
      </c>
      <c r="G16" s="39">
        <f t="shared" si="0"/>
        <v>89025</v>
      </c>
      <c r="H16" s="51">
        <v>7140100</v>
      </c>
      <c r="I16" s="39">
        <f t="shared" si="4"/>
        <v>7229125</v>
      </c>
      <c r="J16" s="40">
        <v>43</v>
      </c>
      <c r="K16" s="41">
        <f t="shared" si="2"/>
        <v>168119.19</v>
      </c>
      <c r="L16" s="42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3" t="str">
        <f t="shared" si="1"/>
        <v>ü</v>
      </c>
      <c r="N16" s="49">
        <v>0</v>
      </c>
      <c r="O16" s="45" t="s">
        <v>29</v>
      </c>
    </row>
    <row r="17" spans="1:15" s="6" customFormat="1" x14ac:dyDescent="0.2">
      <c r="A17" s="55"/>
      <c r="B17" s="47" t="s">
        <v>47</v>
      </c>
      <c r="C17" s="47"/>
      <c r="D17" s="36">
        <v>25000</v>
      </c>
      <c r="E17" s="56">
        <v>23800</v>
      </c>
      <c r="F17" s="57">
        <v>0</v>
      </c>
      <c r="G17" s="39">
        <f t="shared" si="0"/>
        <v>23800</v>
      </c>
      <c r="H17" s="58"/>
      <c r="I17" s="39">
        <f t="shared" si="4"/>
        <v>23800</v>
      </c>
      <c r="J17" s="59">
        <v>63</v>
      </c>
      <c r="K17" s="41">
        <f t="shared" si="2"/>
        <v>377.78</v>
      </c>
      <c r="L17" s="42">
        <f t="shared" si="3"/>
        <v>1</v>
      </c>
      <c r="M17" s="43" t="str">
        <f t="shared" si="1"/>
        <v>û</v>
      </c>
      <c r="N17" s="49">
        <v>0</v>
      </c>
      <c r="O17" s="45" t="s">
        <v>29</v>
      </c>
    </row>
    <row r="18" spans="1:15" s="6" customFormat="1" x14ac:dyDescent="0.2">
      <c r="A18" s="34">
        <v>10</v>
      </c>
      <c r="B18" s="47" t="s">
        <v>48</v>
      </c>
      <c r="C18" s="47"/>
      <c r="D18" s="60">
        <v>25000</v>
      </c>
      <c r="E18" s="61">
        <f>SUM(E19:E22)</f>
        <v>83300</v>
      </c>
      <c r="F18" s="61"/>
      <c r="G18" s="62">
        <f>E18+F18</f>
        <v>83300</v>
      </c>
      <c r="H18" s="61"/>
      <c r="I18" s="62">
        <f>G18+H18</f>
        <v>83300</v>
      </c>
      <c r="J18" s="63">
        <v>21</v>
      </c>
      <c r="K18" s="41">
        <f t="shared" si="2"/>
        <v>3966.67</v>
      </c>
      <c r="L18" s="42">
        <f t="shared" si="3"/>
        <v>1</v>
      </c>
      <c r="M18" s="43" t="str">
        <f t="shared" si="1"/>
        <v>û</v>
      </c>
      <c r="N18" s="49">
        <v>0</v>
      </c>
      <c r="O18" s="45" t="s">
        <v>29</v>
      </c>
    </row>
    <row r="19" spans="1:15" s="6" customFormat="1" ht="24" hidden="1" customHeight="1" x14ac:dyDescent="0.2">
      <c r="A19" s="64"/>
      <c r="B19" s="65" t="s">
        <v>49</v>
      </c>
      <c r="C19" s="65"/>
      <c r="D19" s="66"/>
      <c r="E19" s="67">
        <v>60790</v>
      </c>
      <c r="F19" s="61"/>
      <c r="G19" s="62">
        <f t="shared" ref="G19:G23" si="5">E19+F19</f>
        <v>60790</v>
      </c>
      <c r="H19" s="61"/>
      <c r="I19" s="62"/>
      <c r="J19" s="68">
        <v>7</v>
      </c>
      <c r="K19" s="69"/>
      <c r="L19" s="70"/>
      <c r="M19" s="71"/>
      <c r="N19" s="72"/>
      <c r="O19" s="72"/>
    </row>
    <row r="20" spans="1:15" s="6" customFormat="1" hidden="1" x14ac:dyDescent="0.2">
      <c r="A20" s="64"/>
      <c r="B20" s="65" t="s">
        <v>50</v>
      </c>
      <c r="C20" s="65"/>
      <c r="D20" s="66"/>
      <c r="E20" s="67">
        <v>13810</v>
      </c>
      <c r="F20" s="73"/>
      <c r="G20" s="62">
        <f t="shared" si="5"/>
        <v>13810</v>
      </c>
      <c r="H20" s="61"/>
      <c r="I20" s="62"/>
      <c r="J20" s="74">
        <v>4</v>
      </c>
      <c r="K20" s="69"/>
      <c r="L20" s="70"/>
      <c r="M20" s="71"/>
      <c r="N20" s="72"/>
      <c r="O20" s="72"/>
    </row>
    <row r="21" spans="1:15" s="6" customFormat="1" hidden="1" x14ac:dyDescent="0.2">
      <c r="A21" s="64"/>
      <c r="B21" s="65" t="s">
        <v>51</v>
      </c>
      <c r="C21" s="65"/>
      <c r="D21" s="66"/>
      <c r="E21" s="67">
        <v>2700</v>
      </c>
      <c r="F21" s="73"/>
      <c r="G21" s="62">
        <f t="shared" si="5"/>
        <v>2700</v>
      </c>
      <c r="H21" s="61"/>
      <c r="I21" s="62"/>
      <c r="J21" s="74">
        <v>5</v>
      </c>
      <c r="K21" s="69"/>
      <c r="L21" s="70"/>
      <c r="M21" s="71"/>
      <c r="N21" s="72"/>
      <c r="O21" s="72"/>
    </row>
    <row r="22" spans="1:15" s="6" customFormat="1" hidden="1" x14ac:dyDescent="0.55000000000000004">
      <c r="A22" s="64"/>
      <c r="B22" s="65" t="s">
        <v>52</v>
      </c>
      <c r="C22" s="65"/>
      <c r="D22" s="75"/>
      <c r="E22" s="76">
        <v>6000</v>
      </c>
      <c r="F22" s="77"/>
      <c r="G22" s="78">
        <f t="shared" si="5"/>
        <v>6000</v>
      </c>
      <c r="H22" s="77"/>
      <c r="I22" s="77"/>
      <c r="J22" s="79">
        <v>5</v>
      </c>
      <c r="K22" s="69"/>
      <c r="L22" s="70"/>
      <c r="M22" s="71"/>
      <c r="N22" s="72"/>
      <c r="O22" s="72"/>
    </row>
    <row r="23" spans="1:15" s="6" customFormat="1" ht="21" customHeight="1" x14ac:dyDescent="0.2">
      <c r="A23" s="80" t="s">
        <v>53</v>
      </c>
      <c r="B23" s="81"/>
      <c r="C23" s="82"/>
      <c r="D23" s="83">
        <v>60000</v>
      </c>
      <c r="E23" s="84">
        <f>SUM(E24:E27)</f>
        <v>132130</v>
      </c>
      <c r="F23" s="84">
        <f>SUM(F24:F27)</f>
        <v>8540375.0500000007</v>
      </c>
      <c r="G23" s="84">
        <f t="shared" si="5"/>
        <v>8672505.0500000007</v>
      </c>
      <c r="H23" s="84">
        <f>SUM(H24:H27)</f>
        <v>103229180</v>
      </c>
      <c r="I23" s="84">
        <f t="shared" si="4"/>
        <v>111901685.05</v>
      </c>
      <c r="J23" s="85">
        <f>SUM(J24:J27)</f>
        <v>177</v>
      </c>
      <c r="K23" s="28">
        <f>IFERROR(ROUND((I23/J23),2),0)</f>
        <v>632212.91</v>
      </c>
      <c r="L23" s="86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7" t="str">
        <f>IF(L23=5,"ü","û")</f>
        <v>ü</v>
      </c>
      <c r="N23" s="31"/>
      <c r="O23" s="31"/>
    </row>
    <row r="24" spans="1:15" s="6" customFormat="1" x14ac:dyDescent="0.2">
      <c r="A24" s="55"/>
      <c r="B24" s="47" t="s">
        <v>54</v>
      </c>
      <c r="C24" s="47"/>
      <c r="D24" s="36">
        <v>60000</v>
      </c>
      <c r="E24" s="56">
        <v>19600</v>
      </c>
      <c r="F24" s="56"/>
      <c r="G24" s="39">
        <f t="shared" si="0"/>
        <v>19600</v>
      </c>
      <c r="H24" s="88"/>
      <c r="I24" s="39">
        <f t="shared" si="4"/>
        <v>19600</v>
      </c>
      <c r="J24" s="89">
        <v>7</v>
      </c>
      <c r="K24" s="41">
        <f>IFERROR(ROUND((I24/J24),2),0)</f>
        <v>2800</v>
      </c>
      <c r="L24" s="42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3" t="str">
        <f t="shared" ref="M24:M27" si="6">IF(L24=5,"ü","û")</f>
        <v>û</v>
      </c>
      <c r="N24" s="49">
        <v>0</v>
      </c>
      <c r="O24" s="45" t="s">
        <v>29</v>
      </c>
    </row>
    <row r="25" spans="1:15" s="6" customFormat="1" x14ac:dyDescent="0.2">
      <c r="A25" s="34">
        <v>1</v>
      </c>
      <c r="B25" s="47" t="s">
        <v>55</v>
      </c>
      <c r="C25" s="47"/>
      <c r="D25" s="36">
        <v>60000</v>
      </c>
      <c r="E25" s="37">
        <v>56120</v>
      </c>
      <c r="F25" s="37">
        <v>5466166.0499999998</v>
      </c>
      <c r="G25" s="39">
        <f t="shared" si="0"/>
        <v>5522286.0499999998</v>
      </c>
      <c r="H25" s="90">
        <f>72473600+413600</f>
        <v>72887200</v>
      </c>
      <c r="I25" s="39">
        <f t="shared" si="4"/>
        <v>78409486.049999997</v>
      </c>
      <c r="J25" s="40">
        <v>104</v>
      </c>
      <c r="K25" s="41">
        <f t="shared" ref="K25:K27" si="7">IFERROR(ROUND((I25/J25),2),0)</f>
        <v>753937.37</v>
      </c>
      <c r="L25" s="42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3" t="str">
        <f t="shared" si="6"/>
        <v>ü</v>
      </c>
      <c r="N25" s="49">
        <v>0</v>
      </c>
      <c r="O25" s="45" t="s">
        <v>29</v>
      </c>
    </row>
    <row r="26" spans="1:15" s="6" customFormat="1" x14ac:dyDescent="0.2">
      <c r="A26" s="34">
        <v>2</v>
      </c>
      <c r="B26" s="47" t="s">
        <v>56</v>
      </c>
      <c r="C26" s="47"/>
      <c r="D26" s="36">
        <v>60000</v>
      </c>
      <c r="E26" s="37">
        <v>55010</v>
      </c>
      <c r="F26" s="37">
        <v>2962859</v>
      </c>
      <c r="G26" s="39">
        <f t="shared" si="0"/>
        <v>3017869</v>
      </c>
      <c r="H26" s="37">
        <v>27541980</v>
      </c>
      <c r="I26" s="39">
        <f t="shared" si="4"/>
        <v>30559849</v>
      </c>
      <c r="J26" s="40">
        <v>55</v>
      </c>
      <c r="K26" s="41">
        <f t="shared" si="7"/>
        <v>555633.62</v>
      </c>
      <c r="L26" s="42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3" t="str">
        <f t="shared" si="6"/>
        <v>ü</v>
      </c>
      <c r="N26" s="44">
        <v>227.27</v>
      </c>
      <c r="O26" s="45" t="s">
        <v>29</v>
      </c>
    </row>
    <row r="27" spans="1:15" s="6" customFormat="1" x14ac:dyDescent="0.2">
      <c r="A27" s="34">
        <v>3</v>
      </c>
      <c r="B27" s="91" t="s">
        <v>57</v>
      </c>
      <c r="C27" s="91"/>
      <c r="D27" s="36">
        <v>60000</v>
      </c>
      <c r="E27" s="92">
        <v>1400</v>
      </c>
      <c r="F27" s="92">
        <v>111350</v>
      </c>
      <c r="G27" s="39">
        <f t="shared" si="0"/>
        <v>112750</v>
      </c>
      <c r="H27" s="92">
        <v>2800000</v>
      </c>
      <c r="I27" s="39">
        <f t="shared" si="4"/>
        <v>2912750</v>
      </c>
      <c r="J27" s="93">
        <v>11</v>
      </c>
      <c r="K27" s="41">
        <f t="shared" si="7"/>
        <v>264795.45</v>
      </c>
      <c r="L27" s="42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3" t="str">
        <f t="shared" si="6"/>
        <v>ü</v>
      </c>
      <c r="N27" s="49">
        <v>0</v>
      </c>
      <c r="O27" s="45" t="s">
        <v>29</v>
      </c>
    </row>
    <row r="28" spans="1:15" s="6" customFormat="1" ht="21" customHeight="1" x14ac:dyDescent="0.2">
      <c r="A28" s="80" t="s">
        <v>58</v>
      </c>
      <c r="B28" s="81"/>
      <c r="C28" s="82"/>
      <c r="D28" s="83">
        <v>50000</v>
      </c>
      <c r="E28" s="84">
        <f>SUM(E29:E30)</f>
        <v>6600</v>
      </c>
      <c r="F28" s="84">
        <f>SUM(F29:F30)</f>
        <v>7794844.1500000004</v>
      </c>
      <c r="G28" s="84">
        <f t="shared" si="0"/>
        <v>7801444.1500000004</v>
      </c>
      <c r="H28" s="94">
        <f>SUM(H29:H30)</f>
        <v>0</v>
      </c>
      <c r="I28" s="84">
        <f t="shared" si="4"/>
        <v>7801444.1500000004</v>
      </c>
      <c r="J28" s="85">
        <f>SUM(J29:J30)</f>
        <v>109</v>
      </c>
      <c r="K28" s="28">
        <f>IFERROR(ROUND((I28/J28),2),0)</f>
        <v>71572.88</v>
      </c>
      <c r="L28" s="86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7" t="str">
        <f>IF(L28=5,"ü","û")</f>
        <v>ü</v>
      </c>
      <c r="N28" s="31"/>
      <c r="O28" s="31"/>
    </row>
    <row r="29" spans="1:15" s="6" customFormat="1" x14ac:dyDescent="0.2">
      <c r="A29" s="34">
        <v>1</v>
      </c>
      <c r="B29" s="47" t="s">
        <v>59</v>
      </c>
      <c r="C29" s="47"/>
      <c r="D29" s="36">
        <v>50000</v>
      </c>
      <c r="E29" s="95"/>
      <c r="F29" s="37"/>
      <c r="G29" s="39">
        <f t="shared" si="0"/>
        <v>0</v>
      </c>
      <c r="H29" s="37">
        <v>0</v>
      </c>
      <c r="I29" s="39">
        <f>G29+H29</f>
        <v>0</v>
      </c>
      <c r="J29" s="40">
        <v>48</v>
      </c>
      <c r="K29" s="41">
        <f>IFERROR(ROUND((I29/J29),2),0)</f>
        <v>0</v>
      </c>
      <c r="L29" s="42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0</v>
      </c>
      <c r="M29" s="43" t="str">
        <f t="shared" ref="M29:M30" si="9">IF(L29=5,"ü","û")</f>
        <v>û</v>
      </c>
      <c r="N29" s="49">
        <v>0</v>
      </c>
      <c r="O29" s="44"/>
    </row>
    <row r="30" spans="1:15" s="6" customFormat="1" x14ac:dyDescent="0.2">
      <c r="A30" s="34">
        <v>2</v>
      </c>
      <c r="B30" s="47" t="s">
        <v>60</v>
      </c>
      <c r="C30" s="47"/>
      <c r="D30" s="36">
        <v>50000</v>
      </c>
      <c r="E30" s="37">
        <v>6600</v>
      </c>
      <c r="F30" s="37">
        <v>7794844.1500000004</v>
      </c>
      <c r="G30" s="39">
        <f t="shared" si="0"/>
        <v>7801444.1500000004</v>
      </c>
      <c r="H30" s="37">
        <v>0</v>
      </c>
      <c r="I30" s="39">
        <f t="shared" si="4"/>
        <v>7801444.1500000004</v>
      </c>
      <c r="J30" s="40">
        <v>61</v>
      </c>
      <c r="K30" s="41">
        <f>IFERROR(ROUND((I30/J30),2),0)</f>
        <v>127892.53</v>
      </c>
      <c r="L30" s="42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3" t="str">
        <f t="shared" si="9"/>
        <v>ü</v>
      </c>
      <c r="N30" s="49">
        <v>0</v>
      </c>
      <c r="O30" s="44" t="s">
        <v>29</v>
      </c>
    </row>
    <row r="31" spans="1:15" s="6" customFormat="1" x14ac:dyDescent="0.55000000000000004">
      <c r="A31" s="96" t="s">
        <v>22</v>
      </c>
      <c r="B31" s="97"/>
      <c r="C31" s="98"/>
      <c r="D31" s="99"/>
      <c r="E31" s="100">
        <f>E7+E23+E28</f>
        <v>1090860</v>
      </c>
      <c r="F31" s="100">
        <f>F7+F23+F28</f>
        <v>39623990</v>
      </c>
      <c r="G31" s="101">
        <f>E31+F31</f>
        <v>40714850</v>
      </c>
      <c r="H31" s="100">
        <f>H7+H23+H28</f>
        <v>122965564</v>
      </c>
      <c r="I31" s="101">
        <f t="shared" si="4"/>
        <v>163680414</v>
      </c>
      <c r="J31" s="102">
        <f>J7+J23+J28</f>
        <v>887</v>
      </c>
      <c r="K31" s="103">
        <f>IFERROR(ROUND((I31/J31),2),0)</f>
        <v>184532.6</v>
      </c>
      <c r="L31" s="104"/>
      <c r="M31" s="105"/>
      <c r="N31" s="106"/>
      <c r="O31" s="106"/>
    </row>
    <row r="32" spans="1:15" s="6" customFormat="1" x14ac:dyDescent="0.2">
      <c r="A32" s="55"/>
      <c r="B32" s="107" t="s">
        <v>61</v>
      </c>
      <c r="C32" s="107"/>
      <c r="D32" s="108"/>
      <c r="E32" s="109">
        <f>E17+E24</f>
        <v>43400</v>
      </c>
      <c r="F32" s="109">
        <f>F17+F24</f>
        <v>0</v>
      </c>
      <c r="G32" s="110">
        <f>E32+F32</f>
        <v>43400</v>
      </c>
      <c r="H32" s="109">
        <f>H17+H24</f>
        <v>0</v>
      </c>
      <c r="I32" s="111">
        <f>G32+H32</f>
        <v>43400</v>
      </c>
      <c r="J32" s="112">
        <f>J17+J24</f>
        <v>70</v>
      </c>
      <c r="K32" s="113">
        <f>IFERROR(ROUND((I32/J32),2),0)</f>
        <v>620</v>
      </c>
      <c r="L32" s="114">
        <f>IF(K32=0,0,IF(K32="N/A",1,IF(K32&lt;=Q$9,1,IF(K32=R$9,2,IF(K32&lt;R$9,(((K32-Q$9)/U$7)+1),IF(K32=S$9,3,IF(K32&lt;S$9,(((K32-R$9)/U$7)+2),IF(K32=T$9,4,IF(K32&lt;T$9,(((K32-S$9)/U$7)+3),IF(K32&gt;=U$9,5,IF(K32&lt;U$9,(((K32-T$9)/U$7)+4),0)))))))))))</f>
        <v>1</v>
      </c>
      <c r="M32" s="115" t="str">
        <f>IF(L32=5,"ü","û")</f>
        <v>û</v>
      </c>
      <c r="N32" s="116"/>
      <c r="O32" s="116"/>
    </row>
    <row r="33" spans="1:15" s="6" customFormat="1" x14ac:dyDescent="0.2"/>
    <row r="34" spans="1:15" s="6" customFormat="1" ht="27.75" x14ac:dyDescent="0.2">
      <c r="A34" s="117" t="s">
        <v>62</v>
      </c>
      <c r="B34" s="117"/>
      <c r="C34" s="118" t="s">
        <v>63</v>
      </c>
      <c r="D34" s="118"/>
      <c r="E34" s="118"/>
      <c r="F34" s="118"/>
      <c r="G34" s="118"/>
      <c r="H34" s="118"/>
      <c r="I34" s="118"/>
      <c r="J34" s="118"/>
      <c r="K34" s="119" t="s">
        <v>2</v>
      </c>
      <c r="L34" s="119" t="s">
        <v>64</v>
      </c>
      <c r="M34" s="119" t="s">
        <v>17</v>
      </c>
      <c r="N34" s="120" t="s">
        <v>18</v>
      </c>
      <c r="O34" s="121" t="s">
        <v>19</v>
      </c>
    </row>
    <row r="35" spans="1:15" s="6" customFormat="1" ht="21" customHeight="1" x14ac:dyDescent="0.4">
      <c r="A35" s="117"/>
      <c r="B35" s="117"/>
      <c r="C35" s="118"/>
      <c r="D35" s="118"/>
      <c r="E35" s="118"/>
      <c r="F35" s="118"/>
      <c r="G35" s="118"/>
      <c r="H35" s="118"/>
      <c r="I35" s="118"/>
      <c r="J35" s="118"/>
      <c r="K35" s="122">
        <v>3</v>
      </c>
      <c r="L35" s="122">
        <v>3</v>
      </c>
      <c r="M35" s="123" t="str">
        <f t="shared" ref="M35" si="10">IF(L35=5,"ü","û")</f>
        <v>û</v>
      </c>
      <c r="N35" s="124">
        <v>5</v>
      </c>
      <c r="O35" s="125"/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65</v>
      </c>
      <c r="H45" s="6">
        <f t="shared" si="11"/>
        <v>0</v>
      </c>
      <c r="I45" s="6" t="s">
        <v>65</v>
      </c>
      <c r="J45" s="126" t="s">
        <v>66</v>
      </c>
      <c r="K45" s="6" t="s">
        <v>67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952130</v>
      </c>
      <c r="F48" s="6">
        <f t="shared" si="11"/>
        <v>23288770.800000001</v>
      </c>
      <c r="G48" s="6">
        <f t="shared" si="11"/>
        <v>24240900.800000001</v>
      </c>
      <c r="H48" s="6">
        <f t="shared" si="11"/>
        <v>19736384</v>
      </c>
      <c r="I48" s="6">
        <f t="shared" si="11"/>
        <v>43977284.799999997</v>
      </c>
      <c r="J48" s="6">
        <f t="shared" si="11"/>
        <v>601</v>
      </c>
      <c r="K48" s="6">
        <f t="shared" si="11"/>
        <v>73173.52</v>
      </c>
    </row>
    <row r="49" spans="1:11" s="6" customFormat="1" x14ac:dyDescent="0.2">
      <c r="A49" s="127" t="s">
        <v>36</v>
      </c>
      <c r="B49" s="6" t="str">
        <f t="shared" si="11"/>
        <v>1) คณะครุศาสตร์</v>
      </c>
      <c r="C49" s="6" t="s">
        <v>68</v>
      </c>
      <c r="D49" s="6">
        <f t="shared" si="11"/>
        <v>25000</v>
      </c>
      <c r="E49" s="6">
        <f t="shared" si="11"/>
        <v>158020</v>
      </c>
      <c r="F49" s="6">
        <f t="shared" si="11"/>
        <v>180200</v>
      </c>
      <c r="G49" s="6">
        <f t="shared" si="11"/>
        <v>338220</v>
      </c>
      <c r="H49" s="6">
        <f t="shared" si="11"/>
        <v>12500</v>
      </c>
      <c r="I49" s="6">
        <f t="shared" si="11"/>
        <v>350720</v>
      </c>
      <c r="J49" s="6">
        <f t="shared" si="11"/>
        <v>54</v>
      </c>
      <c r="K49" s="6">
        <f t="shared" si="11"/>
        <v>6494.81</v>
      </c>
    </row>
    <row r="50" spans="1:11" s="6" customFormat="1" x14ac:dyDescent="0.2">
      <c r="A50" s="127"/>
      <c r="B50" s="6" t="str">
        <f t="shared" si="11"/>
        <v>2) คณะมนุษยศาสตร์และสังคมศาสตร์</v>
      </c>
      <c r="C50" s="6" t="s">
        <v>69</v>
      </c>
      <c r="D50" s="6">
        <f t="shared" si="11"/>
        <v>25000</v>
      </c>
      <c r="E50" s="6">
        <f t="shared" si="11"/>
        <v>87190</v>
      </c>
      <c r="F50" s="6">
        <f t="shared" si="11"/>
        <v>1023530.8</v>
      </c>
      <c r="G50" s="6">
        <f t="shared" si="11"/>
        <v>1110720.8</v>
      </c>
      <c r="H50" s="6">
        <f t="shared" si="11"/>
        <v>2391720</v>
      </c>
      <c r="I50" s="6">
        <f t="shared" si="11"/>
        <v>3502440.8</v>
      </c>
      <c r="J50" s="6">
        <f t="shared" si="11"/>
        <v>51</v>
      </c>
      <c r="K50" s="6">
        <f t="shared" si="11"/>
        <v>68675.31</v>
      </c>
    </row>
    <row r="51" spans="1:11" s="6" customFormat="1" x14ac:dyDescent="0.2">
      <c r="A51" s="127"/>
      <c r="B51" s="6" t="str">
        <f t="shared" si="11"/>
        <v>3) คณะวิทยาการจัดการ</v>
      </c>
      <c r="C51" s="6" t="s">
        <v>70</v>
      </c>
      <c r="D51" s="6">
        <f t="shared" si="11"/>
        <v>25000</v>
      </c>
      <c r="E51" s="6">
        <f t="shared" si="11"/>
        <v>94630</v>
      </c>
      <c r="F51" s="6">
        <f t="shared" si="11"/>
        <v>521225</v>
      </c>
      <c r="G51" s="6">
        <f t="shared" si="11"/>
        <v>615855</v>
      </c>
      <c r="H51" s="6">
        <f t="shared" si="11"/>
        <v>1654400</v>
      </c>
      <c r="I51" s="6">
        <f t="shared" si="11"/>
        <v>2270255</v>
      </c>
      <c r="J51" s="6">
        <f t="shared" si="11"/>
        <v>55</v>
      </c>
      <c r="K51" s="6">
        <f t="shared" si="11"/>
        <v>41277.360000000001</v>
      </c>
    </row>
    <row r="52" spans="1:11" s="6" customFormat="1" x14ac:dyDescent="0.2">
      <c r="A52" s="127"/>
      <c r="B52" s="6" t="str">
        <f t="shared" si="11"/>
        <v>4) คณะศิลปกรรมศาสตร์</v>
      </c>
      <c r="C52" s="6" t="s">
        <v>71</v>
      </c>
      <c r="D52" s="6">
        <f t="shared" si="11"/>
        <v>25000</v>
      </c>
      <c r="E52" s="6">
        <f t="shared" si="11"/>
        <v>58000</v>
      </c>
      <c r="F52" s="6">
        <f t="shared" si="11"/>
        <v>8719661</v>
      </c>
      <c r="G52" s="6">
        <f t="shared" si="11"/>
        <v>8777661</v>
      </c>
      <c r="H52" s="6">
        <f t="shared" si="11"/>
        <v>25000</v>
      </c>
      <c r="I52" s="6">
        <f t="shared" si="11"/>
        <v>8802661</v>
      </c>
      <c r="J52" s="6">
        <f t="shared" si="11"/>
        <v>47</v>
      </c>
      <c r="K52" s="6">
        <f t="shared" si="11"/>
        <v>187290.66</v>
      </c>
    </row>
    <row r="53" spans="1:11" s="6" customFormat="1" x14ac:dyDescent="0.2">
      <c r="A53" s="127"/>
      <c r="B53" s="6" t="str">
        <f t="shared" si="11"/>
        <v>5) วิทยาลัยนวัตกรรมและการจัดการ</v>
      </c>
      <c r="C53" s="6" t="s">
        <v>72</v>
      </c>
      <c r="D53" s="6">
        <f t="shared" si="11"/>
        <v>25000</v>
      </c>
      <c r="E53" s="6">
        <f t="shared" si="11"/>
        <v>51520</v>
      </c>
      <c r="F53" s="6">
        <f t="shared" si="11"/>
        <v>8882120.25</v>
      </c>
      <c r="G53" s="6">
        <f t="shared" si="11"/>
        <v>8933640.25</v>
      </c>
      <c r="H53" s="6">
        <f t="shared" si="11"/>
        <v>1125000</v>
      </c>
      <c r="I53" s="6">
        <f t="shared" si="11"/>
        <v>10058640.25</v>
      </c>
      <c r="J53" s="6">
        <f t="shared" si="11"/>
        <v>93</v>
      </c>
      <c r="K53" s="6">
        <f t="shared" si="11"/>
        <v>108157.42</v>
      </c>
    </row>
    <row r="54" spans="1:11" s="6" customFormat="1" x14ac:dyDescent="0.2">
      <c r="A54" s="127"/>
      <c r="B54" s="6" t="str">
        <f t="shared" si="11"/>
        <v>6) วิทยาลัยโลจิสติกส์และซัพพลายเชน</v>
      </c>
      <c r="C54" s="6" t="s">
        <v>73</v>
      </c>
      <c r="D54" s="6">
        <f t="shared" si="11"/>
        <v>25000</v>
      </c>
      <c r="E54" s="6">
        <f t="shared" si="11"/>
        <v>75750</v>
      </c>
      <c r="F54" s="6">
        <f t="shared" si="11"/>
        <v>169149</v>
      </c>
      <c r="G54" s="6">
        <f t="shared" si="11"/>
        <v>244899</v>
      </c>
      <c r="H54" s="6">
        <f t="shared" si="11"/>
        <v>375000</v>
      </c>
      <c r="I54" s="6">
        <f t="shared" si="11"/>
        <v>619899</v>
      </c>
      <c r="J54" s="6">
        <f t="shared" si="11"/>
        <v>52</v>
      </c>
      <c r="K54" s="6">
        <f t="shared" si="11"/>
        <v>11921.13</v>
      </c>
    </row>
    <row r="55" spans="1:11" s="6" customFormat="1" x14ac:dyDescent="0.2">
      <c r="A55" s="127"/>
      <c r="B55" s="6" t="str">
        <f t="shared" si="11"/>
        <v>7) วิทยาลัยการเมืองและการปกครอง</v>
      </c>
      <c r="C55" s="6" t="s">
        <v>74</v>
      </c>
      <c r="D55" s="6">
        <f t="shared" si="11"/>
        <v>25000</v>
      </c>
      <c r="E55" s="6">
        <f t="shared" si="11"/>
        <v>236815</v>
      </c>
      <c r="F55" s="6">
        <f t="shared" si="11"/>
        <v>2649784.75</v>
      </c>
      <c r="G55" s="6">
        <f t="shared" si="11"/>
        <v>2886599.75</v>
      </c>
      <c r="H55" s="6">
        <f t="shared" si="11"/>
        <v>0</v>
      </c>
      <c r="I55" s="6">
        <f t="shared" si="11"/>
        <v>2886599.75</v>
      </c>
      <c r="J55" s="6">
        <f t="shared" si="11"/>
        <v>58</v>
      </c>
      <c r="K55" s="6">
        <f t="shared" si="11"/>
        <v>49768.959999999999</v>
      </c>
    </row>
    <row r="56" spans="1:11" s="6" customFormat="1" x14ac:dyDescent="0.2">
      <c r="A56" s="127"/>
      <c r="B56" s="6" t="str">
        <f t="shared" si="11"/>
        <v>8) วิทยาลัยการจัดการอุตสาหกรรมบริการ</v>
      </c>
      <c r="C56" s="6" t="s">
        <v>75</v>
      </c>
      <c r="D56" s="6">
        <f t="shared" si="11"/>
        <v>25000</v>
      </c>
      <c r="E56" s="6">
        <f t="shared" si="11"/>
        <v>9080</v>
      </c>
      <c r="F56" s="6">
        <f t="shared" si="11"/>
        <v>1128100</v>
      </c>
      <c r="G56" s="6">
        <f t="shared" si="11"/>
        <v>1137180</v>
      </c>
      <c r="H56" s="6">
        <f t="shared" si="11"/>
        <v>7012664</v>
      </c>
      <c r="I56" s="6">
        <f t="shared" si="11"/>
        <v>8149844</v>
      </c>
      <c r="J56" s="6">
        <f t="shared" si="11"/>
        <v>64</v>
      </c>
      <c r="K56" s="6">
        <f t="shared" si="11"/>
        <v>127341.31</v>
      </c>
    </row>
    <row r="57" spans="1:11" s="6" customFormat="1" x14ac:dyDescent="0.2">
      <c r="A57" s="127"/>
      <c r="B57" s="6" t="str">
        <f t="shared" si="11"/>
        <v>9) วิทยาลัยนิเทศศาสตร์</v>
      </c>
      <c r="C57" s="6" t="s">
        <v>76</v>
      </c>
      <c r="D57" s="6">
        <f t="shared" si="11"/>
        <v>25000</v>
      </c>
      <c r="E57" s="6">
        <f t="shared" si="11"/>
        <v>74025</v>
      </c>
      <c r="F57" s="6">
        <f t="shared" si="11"/>
        <v>15000</v>
      </c>
      <c r="G57" s="6">
        <f t="shared" si="11"/>
        <v>89025</v>
      </c>
      <c r="H57" s="6">
        <f t="shared" si="11"/>
        <v>7140100</v>
      </c>
      <c r="I57" s="6">
        <f t="shared" si="11"/>
        <v>7229125</v>
      </c>
      <c r="J57" s="6">
        <f t="shared" si="11"/>
        <v>43</v>
      </c>
      <c r="K57" s="6">
        <f t="shared" si="11"/>
        <v>168119.19</v>
      </c>
    </row>
    <row r="58" spans="1:11" s="6" customFormat="1" x14ac:dyDescent="0.2">
      <c r="A58" s="127"/>
      <c r="B58" s="6" t="str">
        <f t="shared" si="11"/>
        <v>10.1) บัณฑิตวิทยาลัย (กลุ่มมนุษยศาสตร์ฯ)</v>
      </c>
      <c r="C58" s="6" t="s">
        <v>77</v>
      </c>
      <c r="D58" s="6">
        <f t="shared" si="11"/>
        <v>25000</v>
      </c>
      <c r="E58" s="6">
        <f t="shared" si="11"/>
        <v>23800</v>
      </c>
      <c r="F58" s="6">
        <f t="shared" si="11"/>
        <v>0</v>
      </c>
      <c r="G58" s="6">
        <f t="shared" si="11"/>
        <v>23800</v>
      </c>
      <c r="H58" s="6">
        <f t="shared" si="11"/>
        <v>0</v>
      </c>
      <c r="I58" s="6">
        <f t="shared" si="11"/>
        <v>23800</v>
      </c>
      <c r="J58" s="6">
        <f t="shared" si="11"/>
        <v>63</v>
      </c>
      <c r="K58" s="6">
        <f t="shared" si="11"/>
        <v>377.78</v>
      </c>
    </row>
    <row r="59" spans="1:11" s="6" customFormat="1" x14ac:dyDescent="0.2">
      <c r="A59" s="127"/>
      <c r="B59" s="6" t="str">
        <f t="shared" si="11"/>
        <v>11) ศูนย์การศึกษาจังหวัดอุดรธานี</v>
      </c>
      <c r="C59" s="6" t="s">
        <v>78</v>
      </c>
      <c r="D59" s="6">
        <f t="shared" si="11"/>
        <v>25000</v>
      </c>
      <c r="E59" s="6">
        <f t="shared" si="11"/>
        <v>83300</v>
      </c>
      <c r="F59" s="6">
        <f t="shared" si="11"/>
        <v>0</v>
      </c>
      <c r="G59" s="6">
        <f t="shared" si="11"/>
        <v>83300</v>
      </c>
      <c r="H59" s="6">
        <f t="shared" si="11"/>
        <v>0</v>
      </c>
      <c r="I59" s="6">
        <f t="shared" si="11"/>
        <v>83300</v>
      </c>
      <c r="J59" s="6">
        <f t="shared" si="11"/>
        <v>21</v>
      </c>
      <c r="K59" s="6">
        <f t="shared" si="11"/>
        <v>3966.67</v>
      </c>
    </row>
    <row r="60" spans="1:11" s="6" customFormat="1" hidden="1" x14ac:dyDescent="0.2">
      <c r="A60" s="127"/>
      <c r="B60" s="6" t="str">
        <f t="shared" si="11"/>
        <v>11.1) ศูนย์การศึกษาจังหวัดอุดรธานี</v>
      </c>
      <c r="C60" s="6">
        <f t="shared" si="11"/>
        <v>0</v>
      </c>
      <c r="D60" s="6">
        <f t="shared" si="11"/>
        <v>0</v>
      </c>
      <c r="E60" s="6">
        <f t="shared" si="11"/>
        <v>60790</v>
      </c>
      <c r="F60" s="6">
        <f t="shared" si="11"/>
        <v>0</v>
      </c>
      <c r="G60" s="6">
        <f t="shared" si="11"/>
        <v>60790</v>
      </c>
      <c r="H60" s="6">
        <f t="shared" si="11"/>
        <v>0</v>
      </c>
      <c r="I60" s="6">
        <f t="shared" si="11"/>
        <v>0</v>
      </c>
      <c r="J60" s="6">
        <f t="shared" si="11"/>
        <v>7</v>
      </c>
      <c r="K60" s="6">
        <f t="shared" si="11"/>
        <v>0</v>
      </c>
    </row>
    <row r="61" spans="1:11" s="6" customFormat="1" hidden="1" x14ac:dyDescent="0.2">
      <c r="A61" s="127"/>
      <c r="B61" s="6" t="str">
        <f t="shared" ref="B61:K63" si="12">B20</f>
        <v>11.2) คณะมนุษยศาสตร์และสังคมศาสตร์</v>
      </c>
      <c r="C61" s="6">
        <f t="shared" si="12"/>
        <v>0</v>
      </c>
      <c r="D61" s="6">
        <f t="shared" si="12"/>
        <v>0</v>
      </c>
      <c r="E61" s="6">
        <f t="shared" si="12"/>
        <v>13810</v>
      </c>
      <c r="F61" s="6">
        <f t="shared" si="12"/>
        <v>0</v>
      </c>
      <c r="G61" s="6">
        <f t="shared" si="12"/>
        <v>13810</v>
      </c>
      <c r="H61" s="6">
        <f t="shared" si="12"/>
        <v>0</v>
      </c>
      <c r="I61" s="6">
        <f t="shared" si="12"/>
        <v>0</v>
      </c>
      <c r="J61" s="6">
        <f t="shared" si="12"/>
        <v>4</v>
      </c>
      <c r="K61" s="6">
        <f t="shared" si="12"/>
        <v>0</v>
      </c>
    </row>
    <row r="62" spans="1:11" s="6" customFormat="1" hidden="1" x14ac:dyDescent="0.2">
      <c r="A62" s="127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2700</v>
      </c>
      <c r="F62" s="6">
        <f t="shared" si="12"/>
        <v>0</v>
      </c>
      <c r="G62" s="6">
        <f t="shared" si="12"/>
        <v>2700</v>
      </c>
      <c r="H62" s="6">
        <f t="shared" si="12"/>
        <v>0</v>
      </c>
      <c r="I62" s="6">
        <f t="shared" si="12"/>
        <v>0</v>
      </c>
      <c r="J62" s="6">
        <f t="shared" si="12"/>
        <v>5</v>
      </c>
      <c r="K62" s="6">
        <f t="shared" si="12"/>
        <v>0</v>
      </c>
    </row>
    <row r="63" spans="1:11" s="6" customFormat="1" hidden="1" x14ac:dyDescent="0.2">
      <c r="A63" s="127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6000</v>
      </c>
      <c r="F63" s="6">
        <f t="shared" si="12"/>
        <v>0</v>
      </c>
      <c r="G63" s="6">
        <f t="shared" si="12"/>
        <v>6000</v>
      </c>
      <c r="H63" s="6">
        <f t="shared" si="12"/>
        <v>0</v>
      </c>
      <c r="I63" s="6">
        <f t="shared" si="12"/>
        <v>0</v>
      </c>
      <c r="J63" s="6">
        <f t="shared" si="12"/>
        <v>5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132130</v>
      </c>
      <c r="F64" s="6">
        <f t="shared" si="13"/>
        <v>8540375.0500000007</v>
      </c>
      <c r="G64" s="6">
        <f t="shared" si="13"/>
        <v>8672505.0500000007</v>
      </c>
      <c r="H64" s="6">
        <f t="shared" si="13"/>
        <v>103229180</v>
      </c>
      <c r="I64" s="6">
        <f t="shared" si="13"/>
        <v>111901685.05</v>
      </c>
      <c r="J64" s="6">
        <f t="shared" si="13"/>
        <v>177</v>
      </c>
      <c r="K64" s="6">
        <f t="shared" si="13"/>
        <v>632212.91</v>
      </c>
    </row>
    <row r="65" spans="1:11" s="6" customFormat="1" x14ac:dyDescent="0.2">
      <c r="A65" s="128" t="s">
        <v>38</v>
      </c>
      <c r="B65" s="6" t="str">
        <f t="shared" si="13"/>
        <v>10.2)  บัณฑิตวิทยาลัย (กลุ่มวิทยาศาสตร์ฯ)</v>
      </c>
      <c r="C65" s="6" t="s">
        <v>79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0</v>
      </c>
      <c r="I65" s="6">
        <f t="shared" si="13"/>
        <v>19600</v>
      </c>
      <c r="J65" s="6">
        <f t="shared" si="13"/>
        <v>7</v>
      </c>
      <c r="K65" s="6">
        <f t="shared" si="13"/>
        <v>2800</v>
      </c>
    </row>
    <row r="66" spans="1:11" s="6" customFormat="1" x14ac:dyDescent="0.2">
      <c r="A66" s="128"/>
      <c r="B66" s="6" t="str">
        <f t="shared" si="13"/>
        <v>12) คณะวิทยาศาสตร์และเทคโนโลยี</v>
      </c>
      <c r="C66" s="6" t="s">
        <v>80</v>
      </c>
      <c r="D66" s="6">
        <f t="shared" si="13"/>
        <v>60000</v>
      </c>
      <c r="E66" s="6">
        <f t="shared" si="13"/>
        <v>56120</v>
      </c>
      <c r="F66" s="6">
        <f t="shared" si="13"/>
        <v>5466166.0499999998</v>
      </c>
      <c r="G66" s="6">
        <f t="shared" si="13"/>
        <v>5522286.0499999998</v>
      </c>
      <c r="H66" s="6">
        <f t="shared" si="13"/>
        <v>72887200</v>
      </c>
      <c r="I66" s="6">
        <f t="shared" si="13"/>
        <v>78409486.049999997</v>
      </c>
      <c r="J66" s="6">
        <f t="shared" si="13"/>
        <v>104</v>
      </c>
      <c r="K66" s="6">
        <f t="shared" si="13"/>
        <v>753937.37</v>
      </c>
    </row>
    <row r="67" spans="1:11" s="6" customFormat="1" x14ac:dyDescent="0.2">
      <c r="A67" s="128"/>
      <c r="B67" s="6" t="str">
        <f t="shared" si="13"/>
        <v>13) คณะเทคโนโลยีอุตสาหกรรม</v>
      </c>
      <c r="C67" s="6" t="s">
        <v>81</v>
      </c>
      <c r="D67" s="6">
        <f t="shared" si="13"/>
        <v>60000</v>
      </c>
      <c r="E67" s="6">
        <f t="shared" si="13"/>
        <v>55010</v>
      </c>
      <c r="F67" s="6">
        <f t="shared" si="13"/>
        <v>2962859</v>
      </c>
      <c r="G67" s="6">
        <f t="shared" si="13"/>
        <v>3017869</v>
      </c>
      <c r="H67" s="6">
        <f t="shared" si="13"/>
        <v>27541980</v>
      </c>
      <c r="I67" s="6">
        <f t="shared" si="13"/>
        <v>30559849</v>
      </c>
      <c r="J67" s="6">
        <f t="shared" si="13"/>
        <v>55</v>
      </c>
      <c r="K67" s="6">
        <f t="shared" si="13"/>
        <v>555633.62</v>
      </c>
    </row>
    <row r="68" spans="1:11" s="6" customFormat="1" x14ac:dyDescent="0.2">
      <c r="A68" s="128"/>
      <c r="B68" s="6" t="str">
        <f>B27</f>
        <v xml:space="preserve">   14) วิทยาลัยสถาปัตยกรรมศาสตร์</v>
      </c>
      <c r="C68" s="6" t="s">
        <v>82</v>
      </c>
      <c r="D68" s="6">
        <f t="shared" si="13"/>
        <v>60000</v>
      </c>
      <c r="E68" s="6">
        <f t="shared" si="13"/>
        <v>1400</v>
      </c>
      <c r="F68" s="6">
        <f t="shared" si="13"/>
        <v>111350</v>
      </c>
      <c r="G68" s="6">
        <f t="shared" si="13"/>
        <v>112750</v>
      </c>
      <c r="H68" s="6">
        <f t="shared" si="13"/>
        <v>2800000</v>
      </c>
      <c r="I68" s="6">
        <f t="shared" si="13"/>
        <v>2912750</v>
      </c>
      <c r="J68" s="6">
        <f t="shared" si="13"/>
        <v>11</v>
      </c>
      <c r="K68" s="6">
        <f t="shared" si="13"/>
        <v>264795.45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6600</v>
      </c>
      <c r="F69" s="6">
        <f t="shared" si="14"/>
        <v>7794844.1500000004</v>
      </c>
      <c r="G69" s="6">
        <f t="shared" si="14"/>
        <v>7801444.1500000004</v>
      </c>
      <c r="H69" s="6">
        <f t="shared" si="14"/>
        <v>0</v>
      </c>
      <c r="I69" s="6">
        <f t="shared" si="14"/>
        <v>7801444.1500000004</v>
      </c>
      <c r="J69" s="6">
        <f t="shared" si="14"/>
        <v>109</v>
      </c>
      <c r="K69" s="6">
        <f t="shared" si="14"/>
        <v>71572.88</v>
      </c>
    </row>
    <row r="70" spans="1:11" s="6" customFormat="1" x14ac:dyDescent="0.2">
      <c r="A70" s="6" t="s">
        <v>83</v>
      </c>
      <c r="B70" s="6" t="str">
        <f t="shared" si="14"/>
        <v>15) วิทยาลัยพยาบาลและสุขภาพ</v>
      </c>
      <c r="C70" s="6" t="s">
        <v>84</v>
      </c>
      <c r="D70" s="6">
        <f t="shared" si="14"/>
        <v>50000</v>
      </c>
      <c r="E70" s="6">
        <f t="shared" si="14"/>
        <v>0</v>
      </c>
      <c r="F70" s="6">
        <f t="shared" si="14"/>
        <v>0</v>
      </c>
      <c r="G70" s="6">
        <f t="shared" si="14"/>
        <v>0</v>
      </c>
      <c r="H70" s="6">
        <f t="shared" si="14"/>
        <v>0</v>
      </c>
      <c r="I70" s="6">
        <f t="shared" si="14"/>
        <v>0</v>
      </c>
      <c r="J70" s="6">
        <f t="shared" si="14"/>
        <v>48</v>
      </c>
      <c r="K70" s="6">
        <f t="shared" si="14"/>
        <v>0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85</v>
      </c>
      <c r="D71" s="6">
        <f t="shared" si="15"/>
        <v>50000</v>
      </c>
      <c r="E71" s="6">
        <f t="shared" si="15"/>
        <v>6600</v>
      </c>
      <c r="F71" s="6">
        <f t="shared" si="15"/>
        <v>7794844.1500000004</v>
      </c>
      <c r="G71" s="6">
        <f t="shared" si="15"/>
        <v>7801444.1500000004</v>
      </c>
      <c r="H71" s="6">
        <f t="shared" si="15"/>
        <v>0</v>
      </c>
      <c r="I71" s="6">
        <f t="shared" si="15"/>
        <v>7801444.1500000004</v>
      </c>
      <c r="J71" s="6">
        <f t="shared" si="15"/>
        <v>61</v>
      </c>
      <c r="K71" s="6">
        <f t="shared" si="15"/>
        <v>127892.53</v>
      </c>
    </row>
    <row r="72" spans="1:11" s="6" customFormat="1" x14ac:dyDescent="0.2">
      <c r="A72" s="6" t="s">
        <v>86</v>
      </c>
      <c r="B72" s="6">
        <f t="shared" si="15"/>
        <v>0</v>
      </c>
      <c r="C72" s="6" t="s">
        <v>86</v>
      </c>
      <c r="D72" s="6">
        <f t="shared" si="15"/>
        <v>0</v>
      </c>
      <c r="E72" s="6">
        <f t="shared" si="15"/>
        <v>1090860</v>
      </c>
      <c r="F72" s="6">
        <f t="shared" si="15"/>
        <v>39623990</v>
      </c>
      <c r="G72" s="6">
        <f t="shared" si="15"/>
        <v>40714850</v>
      </c>
      <c r="H72" s="6">
        <f t="shared" si="15"/>
        <v>122965564</v>
      </c>
      <c r="I72" s="6">
        <f t="shared" si="15"/>
        <v>163680414</v>
      </c>
      <c r="J72" s="6">
        <f t="shared" si="15"/>
        <v>887</v>
      </c>
      <c r="K72" s="6">
        <f t="shared" si="15"/>
        <v>184532.6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43400</v>
      </c>
      <c r="F73" s="6">
        <f t="shared" si="16"/>
        <v>0</v>
      </c>
      <c r="G73" s="6">
        <f t="shared" si="16"/>
        <v>43400</v>
      </c>
      <c r="H73" s="6">
        <f t="shared" si="16"/>
        <v>0</v>
      </c>
      <c r="I73" s="6">
        <f t="shared" si="16"/>
        <v>43400</v>
      </c>
      <c r="J73" s="6">
        <f t="shared" si="16"/>
        <v>70</v>
      </c>
      <c r="K73" s="6">
        <f t="shared" si="16"/>
        <v>620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87</v>
      </c>
      <c r="I78" s="6" t="s">
        <v>65</v>
      </c>
      <c r="J78" s="126" t="s">
        <v>66</v>
      </c>
      <c r="K78" s="6" t="s">
        <v>67</v>
      </c>
    </row>
    <row r="79" spans="1:11" s="6" customFormat="1" x14ac:dyDescent="0.2">
      <c r="A79" s="6" t="s">
        <v>88</v>
      </c>
      <c r="I79" s="129">
        <f t="shared" ref="I79:K79" si="17">I7</f>
        <v>43977284.799999997</v>
      </c>
      <c r="J79" s="129">
        <f t="shared" si="17"/>
        <v>601</v>
      </c>
      <c r="K79" s="129">
        <f t="shared" si="17"/>
        <v>73173.52</v>
      </c>
    </row>
    <row r="80" spans="1:11" s="6" customFormat="1" x14ac:dyDescent="0.2">
      <c r="A80" s="6" t="s">
        <v>89</v>
      </c>
      <c r="I80" s="129">
        <f t="shared" ref="I80:K80" si="18">I23</f>
        <v>111901685.05</v>
      </c>
      <c r="J80" s="129">
        <f t="shared" si="18"/>
        <v>177</v>
      </c>
      <c r="K80" s="129">
        <f t="shared" si="18"/>
        <v>632212.91</v>
      </c>
    </row>
    <row r="81" spans="1:11" s="6" customFormat="1" x14ac:dyDescent="0.2">
      <c r="A81" s="6" t="s">
        <v>90</v>
      </c>
      <c r="I81" s="129">
        <f t="shared" ref="I81:K81" si="19">I28</f>
        <v>7801444.1500000004</v>
      </c>
      <c r="J81" s="129">
        <f t="shared" si="19"/>
        <v>109</v>
      </c>
      <c r="K81" s="129">
        <f t="shared" si="19"/>
        <v>71572.88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8"/>
  <sheetViews>
    <sheetView zoomScale="70" zoomScaleNormal="70" workbookViewId="0">
      <pane xSplit="3" ySplit="5" topLeftCell="H218" activePane="bottomRight" state="frozen"/>
      <selection activeCell="L34" sqref="L34"/>
      <selection pane="topRight" activeCell="L34" sqref="L34"/>
      <selection pane="bottomLeft" activeCell="L34" sqref="L34"/>
      <selection pane="bottomRight" activeCell="L34" sqref="L34:L38"/>
    </sheetView>
  </sheetViews>
  <sheetFormatPr defaultColWidth="9" defaultRowHeight="24" x14ac:dyDescent="0.2"/>
  <cols>
    <col min="1" max="1" width="9" style="135"/>
    <col min="2" max="2" width="18.75" style="135" bestFit="1" customWidth="1"/>
    <col min="3" max="3" width="18.25" style="135" customWidth="1"/>
    <col min="4" max="4" width="20.75" style="135" bestFit="1" customWidth="1"/>
    <col min="5" max="5" width="20.75" style="135" customWidth="1"/>
    <col min="6" max="6" width="20" style="135" customWidth="1"/>
    <col min="7" max="7" width="20" style="134" customWidth="1"/>
    <col min="8" max="8" width="18.125" style="134" customWidth="1"/>
    <col min="9" max="9" width="35" style="134" customWidth="1"/>
    <col min="10" max="10" width="29" style="134" customWidth="1"/>
    <col min="11" max="11" width="14.625" style="134" customWidth="1"/>
    <col min="12" max="12" width="30.5" style="134" customWidth="1"/>
    <col min="13" max="13" width="20.125" style="134" bestFit="1" customWidth="1"/>
    <col min="14" max="47" width="9" style="134"/>
    <col min="48" max="16384" width="9" style="135"/>
  </cols>
  <sheetData>
    <row r="1" spans="1:47" ht="30.75" x14ac:dyDescent="0.2">
      <c r="A1" s="131"/>
      <c r="B1" s="132" t="s">
        <v>91</v>
      </c>
      <c r="C1" s="133" t="s">
        <v>1</v>
      </c>
      <c r="D1" s="133"/>
      <c r="E1" s="133"/>
      <c r="F1" s="133"/>
      <c r="G1" s="133"/>
      <c r="H1" s="133"/>
      <c r="I1" s="133"/>
      <c r="J1" s="133"/>
      <c r="K1" s="133"/>
      <c r="L1" s="2" t="s">
        <v>2</v>
      </c>
      <c r="M1" s="4"/>
    </row>
    <row r="2" spans="1:47" ht="30.75" x14ac:dyDescent="0.2">
      <c r="A2" s="136"/>
      <c r="B2" s="137" t="s">
        <v>3</v>
      </c>
      <c r="C2" s="138" t="s">
        <v>4</v>
      </c>
      <c r="D2" s="138"/>
      <c r="E2" s="138"/>
      <c r="F2" s="138"/>
      <c r="G2" s="138"/>
      <c r="H2" s="138"/>
      <c r="I2" s="138"/>
      <c r="J2" s="138"/>
      <c r="K2" s="138"/>
      <c r="L2" s="8" t="s">
        <v>5</v>
      </c>
      <c r="M2" s="12"/>
    </row>
    <row r="3" spans="1:47" s="134" customFormat="1" x14ac:dyDescent="0.2">
      <c r="A3" s="136"/>
      <c r="B3" s="139"/>
      <c r="C3" s="15" t="s">
        <v>92</v>
      </c>
      <c r="D3" s="15"/>
      <c r="E3" s="15" t="s">
        <v>93</v>
      </c>
    </row>
    <row r="4" spans="1:47" x14ac:dyDescent="0.2">
      <c r="A4" s="140" t="s">
        <v>10</v>
      </c>
      <c r="B4" s="141" t="s">
        <v>94</v>
      </c>
      <c r="C4" s="142"/>
      <c r="D4" s="143" t="s">
        <v>95</v>
      </c>
      <c r="E4" s="144" t="s">
        <v>96</v>
      </c>
      <c r="F4" s="145"/>
      <c r="G4" s="145"/>
      <c r="H4" s="146"/>
      <c r="I4" s="147" t="s">
        <v>97</v>
      </c>
      <c r="J4" s="148" t="s">
        <v>98</v>
      </c>
      <c r="K4" s="149" t="s">
        <v>99</v>
      </c>
      <c r="L4" s="150" t="s">
        <v>100</v>
      </c>
      <c r="M4" s="151" t="s">
        <v>101</v>
      </c>
    </row>
    <row r="5" spans="1:47" s="134" customFormat="1" x14ac:dyDescent="0.2">
      <c r="A5" s="152"/>
      <c r="B5" s="153"/>
      <c r="C5" s="154"/>
      <c r="D5" s="155"/>
      <c r="E5" s="156" t="s">
        <v>102</v>
      </c>
      <c r="F5" s="156" t="s">
        <v>103</v>
      </c>
      <c r="G5" s="157" t="s">
        <v>104</v>
      </c>
      <c r="H5" s="156" t="s">
        <v>105</v>
      </c>
      <c r="I5" s="158"/>
      <c r="J5" s="159"/>
      <c r="K5" s="160"/>
      <c r="L5" s="161"/>
      <c r="M5" s="162"/>
    </row>
    <row r="6" spans="1:47" ht="22.5" customHeight="1" x14ac:dyDescent="0.2">
      <c r="A6" s="163">
        <v>1</v>
      </c>
      <c r="B6" s="164" t="s">
        <v>106</v>
      </c>
      <c r="C6" s="165"/>
      <c r="D6" s="166" t="s">
        <v>107</v>
      </c>
      <c r="E6" s="167"/>
      <c r="F6" s="167"/>
      <c r="G6" s="166"/>
      <c r="H6" s="166" t="s">
        <v>108</v>
      </c>
      <c r="I6" s="168" t="s">
        <v>109</v>
      </c>
      <c r="J6" s="169" t="s">
        <v>110</v>
      </c>
      <c r="K6" s="170">
        <f>10000*96%</f>
        <v>9600</v>
      </c>
      <c r="L6" s="171" t="s">
        <v>111</v>
      </c>
      <c r="M6" s="172" t="s">
        <v>112</v>
      </c>
      <c r="N6" s="173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</row>
    <row r="7" spans="1:47" ht="22.5" customHeight="1" x14ac:dyDescent="0.2">
      <c r="A7" s="174"/>
      <c r="B7" s="175"/>
      <c r="C7" s="176"/>
      <c r="D7" s="177"/>
      <c r="E7" s="178"/>
      <c r="F7" s="178"/>
      <c r="G7" s="177"/>
      <c r="H7" s="177"/>
      <c r="I7" s="179" t="s">
        <v>113</v>
      </c>
      <c r="J7" s="180" t="s">
        <v>110</v>
      </c>
      <c r="K7" s="181">
        <f>10000*1%</f>
        <v>100</v>
      </c>
      <c r="L7" s="182"/>
      <c r="M7" s="183"/>
      <c r="N7" s="173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</row>
    <row r="8" spans="1:47" ht="22.5" customHeight="1" x14ac:dyDescent="0.2">
      <c r="A8" s="174"/>
      <c r="B8" s="175"/>
      <c r="C8" s="176"/>
      <c r="D8" s="177"/>
      <c r="E8" s="178"/>
      <c r="F8" s="178"/>
      <c r="G8" s="177"/>
      <c r="H8" s="177"/>
      <c r="I8" s="179" t="s">
        <v>114</v>
      </c>
      <c r="J8" s="169" t="s">
        <v>110</v>
      </c>
      <c r="K8" s="184">
        <f>10000*1%</f>
        <v>100</v>
      </c>
      <c r="L8" s="182"/>
      <c r="M8" s="183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1:47" ht="22.5" customHeight="1" x14ac:dyDescent="0.2">
      <c r="A9" s="174"/>
      <c r="B9" s="175"/>
      <c r="C9" s="176"/>
      <c r="D9" s="177"/>
      <c r="E9" s="178"/>
      <c r="F9" s="178"/>
      <c r="G9" s="177"/>
      <c r="H9" s="177"/>
      <c r="I9" s="179" t="s">
        <v>115</v>
      </c>
      <c r="J9" s="185" t="s">
        <v>110</v>
      </c>
      <c r="K9" s="181">
        <f>10000*1%</f>
        <v>100</v>
      </c>
      <c r="L9" s="182"/>
      <c r="M9" s="183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</row>
    <row r="10" spans="1:47" ht="22.5" customHeight="1" x14ac:dyDescent="0.2">
      <c r="A10" s="174"/>
      <c r="B10" s="175"/>
      <c r="C10" s="176"/>
      <c r="D10" s="177"/>
      <c r="E10" s="178"/>
      <c r="F10" s="178"/>
      <c r="G10" s="177"/>
      <c r="H10" s="177"/>
      <c r="I10" s="186" t="s">
        <v>116</v>
      </c>
      <c r="J10" s="185" t="s">
        <v>117</v>
      </c>
      <c r="K10" s="181">
        <f>10000*1%</f>
        <v>100</v>
      </c>
      <c r="L10" s="182"/>
      <c r="M10" s="183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</row>
    <row r="11" spans="1:47" ht="22.5" customHeight="1" x14ac:dyDescent="0.2">
      <c r="A11" s="187"/>
      <c r="B11" s="188"/>
      <c r="C11" s="189"/>
      <c r="D11" s="190"/>
      <c r="E11" s="191"/>
      <c r="F11" s="191"/>
      <c r="G11" s="190"/>
      <c r="H11" s="190"/>
      <c r="I11" s="192"/>
      <c r="J11" s="193"/>
      <c r="K11" s="194">
        <f>SUM(K6:K10)</f>
        <v>10000</v>
      </c>
      <c r="L11" s="195"/>
      <c r="M11" s="196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</row>
    <row r="12" spans="1:47" s="134" customFormat="1" ht="23.25" customHeight="1" x14ac:dyDescent="0.2">
      <c r="A12" s="163">
        <v>2</v>
      </c>
      <c r="B12" s="164" t="s">
        <v>118</v>
      </c>
      <c r="C12" s="165"/>
      <c r="D12" s="166" t="s">
        <v>107</v>
      </c>
      <c r="E12" s="167"/>
      <c r="F12" s="167"/>
      <c r="G12" s="166"/>
      <c r="H12" s="166"/>
      <c r="I12" s="168" t="s">
        <v>119</v>
      </c>
      <c r="J12" s="197" t="s">
        <v>110</v>
      </c>
      <c r="K12" s="170">
        <f>3000*20%</f>
        <v>600</v>
      </c>
      <c r="L12" s="165" t="s">
        <v>111</v>
      </c>
      <c r="M12" s="172" t="s">
        <v>120</v>
      </c>
    </row>
    <row r="13" spans="1:47" s="134" customFormat="1" ht="23.25" customHeight="1" x14ac:dyDescent="0.2">
      <c r="A13" s="174"/>
      <c r="B13" s="175"/>
      <c r="C13" s="176"/>
      <c r="D13" s="177"/>
      <c r="E13" s="178"/>
      <c r="F13" s="178"/>
      <c r="G13" s="177"/>
      <c r="H13" s="177"/>
      <c r="I13" s="186" t="s">
        <v>121</v>
      </c>
      <c r="J13" s="169" t="s">
        <v>110</v>
      </c>
      <c r="K13" s="198">
        <f>3000*15%</f>
        <v>450</v>
      </c>
      <c r="L13" s="176"/>
      <c r="M13" s="183"/>
    </row>
    <row r="14" spans="1:47" s="134" customFormat="1" ht="23.25" customHeight="1" x14ac:dyDescent="0.2">
      <c r="A14" s="174"/>
      <c r="B14" s="175"/>
      <c r="C14" s="176"/>
      <c r="D14" s="177"/>
      <c r="E14" s="178"/>
      <c r="F14" s="178"/>
      <c r="G14" s="177"/>
      <c r="H14" s="177"/>
      <c r="I14" s="186" t="s">
        <v>122</v>
      </c>
      <c r="J14" s="185" t="s">
        <v>110</v>
      </c>
      <c r="K14" s="199">
        <f>3000*10%</f>
        <v>300</v>
      </c>
      <c r="L14" s="176"/>
      <c r="M14" s="183"/>
    </row>
    <row r="15" spans="1:47" s="134" customFormat="1" ht="23.25" customHeight="1" x14ac:dyDescent="0.2">
      <c r="A15" s="174"/>
      <c r="B15" s="175"/>
      <c r="C15" s="176"/>
      <c r="D15" s="177"/>
      <c r="E15" s="178"/>
      <c r="F15" s="178"/>
      <c r="G15" s="177"/>
      <c r="H15" s="177"/>
      <c r="I15" s="186" t="s">
        <v>123</v>
      </c>
      <c r="J15" s="185" t="s">
        <v>110</v>
      </c>
      <c r="K15" s="199">
        <f>3000*15%</f>
        <v>450</v>
      </c>
      <c r="L15" s="176"/>
      <c r="M15" s="183"/>
    </row>
    <row r="16" spans="1:47" s="134" customFormat="1" ht="23.25" customHeight="1" x14ac:dyDescent="0.2">
      <c r="A16" s="174"/>
      <c r="B16" s="175"/>
      <c r="C16" s="176"/>
      <c r="D16" s="177"/>
      <c r="E16" s="178"/>
      <c r="F16" s="178"/>
      <c r="G16" s="177"/>
      <c r="H16" s="177"/>
      <c r="I16" s="168" t="s">
        <v>124</v>
      </c>
      <c r="J16" s="185" t="s">
        <v>110</v>
      </c>
      <c r="K16" s="199">
        <f>3000*10%</f>
        <v>300</v>
      </c>
      <c r="L16" s="176"/>
      <c r="M16" s="183"/>
    </row>
    <row r="17" spans="1:13" s="134" customFormat="1" ht="23.25" customHeight="1" x14ac:dyDescent="0.2">
      <c r="A17" s="174"/>
      <c r="B17" s="175"/>
      <c r="C17" s="176"/>
      <c r="D17" s="177"/>
      <c r="E17" s="178"/>
      <c r="F17" s="178"/>
      <c r="G17" s="177"/>
      <c r="H17" s="177"/>
      <c r="I17" s="179" t="s">
        <v>125</v>
      </c>
      <c r="J17" s="185" t="s">
        <v>126</v>
      </c>
      <c r="K17" s="199">
        <f>3000*10%</f>
        <v>300</v>
      </c>
      <c r="L17" s="176"/>
      <c r="M17" s="183"/>
    </row>
    <row r="18" spans="1:13" s="134" customFormat="1" ht="23.25" customHeight="1" x14ac:dyDescent="0.2">
      <c r="A18" s="174"/>
      <c r="B18" s="175"/>
      <c r="C18" s="176"/>
      <c r="D18" s="177"/>
      <c r="E18" s="178"/>
      <c r="F18" s="178"/>
      <c r="G18" s="177"/>
      <c r="H18" s="177"/>
      <c r="I18" s="179" t="s">
        <v>127</v>
      </c>
      <c r="J18" s="185" t="s">
        <v>110</v>
      </c>
      <c r="K18" s="200">
        <f>3000*10%</f>
        <v>300</v>
      </c>
      <c r="L18" s="176"/>
      <c r="M18" s="183"/>
    </row>
    <row r="19" spans="1:13" s="134" customFormat="1" ht="23.25" customHeight="1" x14ac:dyDescent="0.2">
      <c r="A19" s="174"/>
      <c r="B19" s="175"/>
      <c r="C19" s="176"/>
      <c r="D19" s="177"/>
      <c r="E19" s="178"/>
      <c r="F19" s="178"/>
      <c r="G19" s="177"/>
      <c r="H19" s="177"/>
      <c r="I19" s="179" t="s">
        <v>128</v>
      </c>
      <c r="J19" s="185" t="s">
        <v>117</v>
      </c>
      <c r="K19" s="201">
        <f>3000*10%</f>
        <v>300</v>
      </c>
      <c r="L19" s="176"/>
      <c r="M19" s="183"/>
    </row>
    <row r="20" spans="1:13" s="134" customFormat="1" ht="23.25" customHeight="1" x14ac:dyDescent="0.2">
      <c r="A20" s="187"/>
      <c r="B20" s="188"/>
      <c r="C20" s="189"/>
      <c r="D20" s="190"/>
      <c r="E20" s="191"/>
      <c r="F20" s="191"/>
      <c r="G20" s="190"/>
      <c r="H20" s="190"/>
      <c r="I20" s="202"/>
      <c r="J20" s="203"/>
      <c r="K20" s="204">
        <f>SUM(K12:K19)</f>
        <v>3000</v>
      </c>
      <c r="L20" s="189"/>
      <c r="M20" s="196"/>
    </row>
    <row r="21" spans="1:13" s="134" customFormat="1" ht="23.25" customHeight="1" x14ac:dyDescent="0.2">
      <c r="A21" s="163">
        <v>3</v>
      </c>
      <c r="B21" s="164" t="s">
        <v>129</v>
      </c>
      <c r="C21" s="165"/>
      <c r="D21" s="166" t="s">
        <v>107</v>
      </c>
      <c r="E21" s="167"/>
      <c r="F21" s="167"/>
      <c r="G21" s="166"/>
      <c r="H21" s="166" t="s">
        <v>108</v>
      </c>
      <c r="I21" s="168" t="s">
        <v>130</v>
      </c>
      <c r="J21" s="197" t="s">
        <v>110</v>
      </c>
      <c r="K21" s="205">
        <f>11000*40%</f>
        <v>4400</v>
      </c>
      <c r="L21" s="171" t="s">
        <v>111</v>
      </c>
      <c r="M21" s="172" t="s">
        <v>131</v>
      </c>
    </row>
    <row r="22" spans="1:13" s="134" customFormat="1" ht="23.25" customHeight="1" x14ac:dyDescent="0.2">
      <c r="A22" s="174"/>
      <c r="B22" s="175"/>
      <c r="C22" s="176"/>
      <c r="D22" s="177"/>
      <c r="E22" s="178"/>
      <c r="F22" s="178"/>
      <c r="G22" s="177"/>
      <c r="H22" s="177"/>
      <c r="I22" s="179" t="s">
        <v>132</v>
      </c>
      <c r="J22" s="169" t="s">
        <v>110</v>
      </c>
      <c r="K22" s="201">
        <f>11000*30%</f>
        <v>3300</v>
      </c>
      <c r="L22" s="182"/>
      <c r="M22" s="183"/>
    </row>
    <row r="23" spans="1:13" s="134" customFormat="1" ht="23.25" customHeight="1" x14ac:dyDescent="0.2">
      <c r="A23" s="174"/>
      <c r="B23" s="175"/>
      <c r="C23" s="176"/>
      <c r="D23" s="177"/>
      <c r="E23" s="178"/>
      <c r="F23" s="178"/>
      <c r="G23" s="177"/>
      <c r="H23" s="177"/>
      <c r="I23" s="179" t="s">
        <v>133</v>
      </c>
      <c r="J23" s="206" t="s">
        <v>110</v>
      </c>
      <c r="K23" s="184">
        <f>11000*20%</f>
        <v>2200</v>
      </c>
      <c r="L23" s="182"/>
      <c r="M23" s="183"/>
    </row>
    <row r="24" spans="1:13" s="134" customFormat="1" ht="23.25" customHeight="1" x14ac:dyDescent="0.2">
      <c r="A24" s="174"/>
      <c r="B24" s="175"/>
      <c r="C24" s="176"/>
      <c r="D24" s="177"/>
      <c r="E24" s="178"/>
      <c r="F24" s="178"/>
      <c r="G24" s="177"/>
      <c r="H24" s="177"/>
      <c r="I24" s="179" t="s">
        <v>134</v>
      </c>
      <c r="J24" s="185" t="s">
        <v>135</v>
      </c>
      <c r="K24" s="207">
        <f>11000*10%</f>
        <v>1100</v>
      </c>
      <c r="L24" s="182"/>
      <c r="M24" s="183"/>
    </row>
    <row r="25" spans="1:13" s="134" customFormat="1" ht="23.25" customHeight="1" x14ac:dyDescent="0.2">
      <c r="A25" s="187"/>
      <c r="B25" s="188"/>
      <c r="C25" s="189"/>
      <c r="D25" s="190"/>
      <c r="E25" s="191"/>
      <c r="F25" s="191"/>
      <c r="G25" s="190"/>
      <c r="H25" s="190"/>
      <c r="I25" s="202"/>
      <c r="J25" s="193"/>
      <c r="K25" s="208">
        <f>SUM(K21:K24)</f>
        <v>11000</v>
      </c>
      <c r="L25" s="195"/>
      <c r="M25" s="196"/>
    </row>
    <row r="26" spans="1:13" s="134" customFormat="1" ht="23.25" customHeight="1" x14ac:dyDescent="0.2">
      <c r="A26" s="163">
        <v>4</v>
      </c>
      <c r="B26" s="164" t="s">
        <v>136</v>
      </c>
      <c r="C26" s="165"/>
      <c r="D26" s="166" t="s">
        <v>107</v>
      </c>
      <c r="E26" s="167"/>
      <c r="F26" s="167"/>
      <c r="G26" s="166"/>
      <c r="H26" s="166" t="s">
        <v>137</v>
      </c>
      <c r="I26" s="168" t="s">
        <v>138</v>
      </c>
      <c r="J26" s="169" t="s">
        <v>110</v>
      </c>
      <c r="K26" s="170">
        <f>5000*50%</f>
        <v>2500</v>
      </c>
      <c r="L26" s="171" t="s">
        <v>111</v>
      </c>
      <c r="M26" s="172" t="s">
        <v>139</v>
      </c>
    </row>
    <row r="27" spans="1:13" s="134" customFormat="1" ht="23.25" customHeight="1" x14ac:dyDescent="0.2">
      <c r="A27" s="174"/>
      <c r="B27" s="175"/>
      <c r="C27" s="176"/>
      <c r="D27" s="177"/>
      <c r="E27" s="178"/>
      <c r="F27" s="178"/>
      <c r="G27" s="177"/>
      <c r="H27" s="177"/>
      <c r="I27" s="186" t="s">
        <v>140</v>
      </c>
      <c r="J27" s="185" t="s">
        <v>110</v>
      </c>
      <c r="K27" s="181">
        <f>5000*40%</f>
        <v>2000</v>
      </c>
      <c r="L27" s="182"/>
      <c r="M27" s="183"/>
    </row>
    <row r="28" spans="1:13" s="134" customFormat="1" ht="23.25" customHeight="1" x14ac:dyDescent="0.2">
      <c r="A28" s="174"/>
      <c r="B28" s="175"/>
      <c r="C28" s="176"/>
      <c r="D28" s="177"/>
      <c r="E28" s="178"/>
      <c r="F28" s="178"/>
      <c r="G28" s="177"/>
      <c r="H28" s="177"/>
      <c r="I28" s="168" t="s">
        <v>141</v>
      </c>
      <c r="J28" s="185" t="s">
        <v>117</v>
      </c>
      <c r="K28" s="181">
        <f>5000*10%</f>
        <v>500</v>
      </c>
      <c r="L28" s="182"/>
      <c r="M28" s="183"/>
    </row>
    <row r="29" spans="1:13" s="134" customFormat="1" ht="23.25" customHeight="1" x14ac:dyDescent="0.2">
      <c r="A29" s="187"/>
      <c r="B29" s="188"/>
      <c r="C29" s="189"/>
      <c r="D29" s="190"/>
      <c r="E29" s="191"/>
      <c r="F29" s="191"/>
      <c r="G29" s="190"/>
      <c r="H29" s="190"/>
      <c r="I29" s="202"/>
      <c r="J29" s="193"/>
      <c r="K29" s="194">
        <f>SUM(K26:K28)</f>
        <v>5000</v>
      </c>
      <c r="L29" s="195"/>
      <c r="M29" s="196"/>
    </row>
    <row r="30" spans="1:13" s="134" customFormat="1" ht="23.25" customHeight="1" x14ac:dyDescent="0.2">
      <c r="A30" s="163">
        <v>5</v>
      </c>
      <c r="B30" s="164" t="s">
        <v>142</v>
      </c>
      <c r="C30" s="165"/>
      <c r="D30" s="166" t="s">
        <v>107</v>
      </c>
      <c r="E30" s="167"/>
      <c r="F30" s="167"/>
      <c r="G30" s="166"/>
      <c r="H30" s="166"/>
      <c r="I30" s="168" t="s">
        <v>143</v>
      </c>
      <c r="J30" s="169" t="s">
        <v>144</v>
      </c>
      <c r="K30" s="209">
        <f>10000*50%</f>
        <v>5000</v>
      </c>
      <c r="L30" s="165" t="s">
        <v>111</v>
      </c>
      <c r="M30" s="172" t="s">
        <v>145</v>
      </c>
    </row>
    <row r="31" spans="1:13" s="134" customFormat="1" ht="23.25" customHeight="1" x14ac:dyDescent="0.2">
      <c r="A31" s="174"/>
      <c r="B31" s="175"/>
      <c r="C31" s="176"/>
      <c r="D31" s="177"/>
      <c r="E31" s="178"/>
      <c r="F31" s="178"/>
      <c r="G31" s="177"/>
      <c r="H31" s="177"/>
      <c r="I31" s="186" t="s">
        <v>140</v>
      </c>
      <c r="J31" s="185" t="s">
        <v>146</v>
      </c>
      <c r="K31" s="200">
        <f>10000*40%</f>
        <v>4000</v>
      </c>
      <c r="L31" s="176"/>
      <c r="M31" s="183"/>
    </row>
    <row r="32" spans="1:13" s="134" customFormat="1" ht="23.25" customHeight="1" x14ac:dyDescent="0.2">
      <c r="A32" s="174"/>
      <c r="B32" s="175"/>
      <c r="C32" s="176"/>
      <c r="D32" s="177"/>
      <c r="E32" s="178"/>
      <c r="F32" s="178"/>
      <c r="G32" s="177"/>
      <c r="H32" s="177"/>
      <c r="I32" s="168" t="s">
        <v>141</v>
      </c>
      <c r="J32" s="185" t="s">
        <v>117</v>
      </c>
      <c r="K32" s="201">
        <f>10000*10%</f>
        <v>1000</v>
      </c>
      <c r="L32" s="176"/>
      <c r="M32" s="183"/>
    </row>
    <row r="33" spans="1:14" s="134" customFormat="1" ht="23.25" customHeight="1" x14ac:dyDescent="0.2">
      <c r="A33" s="187"/>
      <c r="B33" s="188"/>
      <c r="C33" s="189"/>
      <c r="D33" s="190"/>
      <c r="E33" s="191"/>
      <c r="F33" s="191"/>
      <c r="G33" s="190"/>
      <c r="H33" s="190"/>
      <c r="I33" s="202"/>
      <c r="J33" s="193"/>
      <c r="K33" s="210">
        <f>SUM(K30:K32)</f>
        <v>10000</v>
      </c>
      <c r="L33" s="189"/>
      <c r="M33" s="196"/>
    </row>
    <row r="34" spans="1:14" s="134" customFormat="1" ht="23.25" customHeight="1" x14ac:dyDescent="0.2">
      <c r="A34" s="163">
        <v>6</v>
      </c>
      <c r="B34" s="164" t="s">
        <v>147</v>
      </c>
      <c r="C34" s="165"/>
      <c r="D34" s="166" t="s">
        <v>107</v>
      </c>
      <c r="E34" s="167"/>
      <c r="F34" s="167"/>
      <c r="G34" s="166"/>
      <c r="H34" s="166"/>
      <c r="I34" s="168" t="s">
        <v>148</v>
      </c>
      <c r="J34" s="169" t="s">
        <v>110</v>
      </c>
      <c r="K34" s="211">
        <f>8000*85%</f>
        <v>6800</v>
      </c>
      <c r="L34" s="171" t="s">
        <v>111</v>
      </c>
      <c r="M34" s="172" t="s">
        <v>149</v>
      </c>
    </row>
    <row r="35" spans="1:14" s="134" customFormat="1" ht="23.25" customHeight="1" x14ac:dyDescent="0.2">
      <c r="A35" s="174"/>
      <c r="B35" s="175"/>
      <c r="C35" s="176"/>
      <c r="D35" s="177"/>
      <c r="E35" s="178"/>
      <c r="F35" s="178"/>
      <c r="G35" s="177"/>
      <c r="H35" s="177"/>
      <c r="I35" s="179" t="s">
        <v>150</v>
      </c>
      <c r="J35" s="180" t="s">
        <v>110</v>
      </c>
      <c r="K35" s="207">
        <f>8000*5%</f>
        <v>400</v>
      </c>
      <c r="L35" s="182"/>
      <c r="M35" s="183"/>
    </row>
    <row r="36" spans="1:14" s="134" customFormat="1" ht="23.25" customHeight="1" x14ac:dyDescent="0.2">
      <c r="A36" s="174"/>
      <c r="B36" s="175"/>
      <c r="C36" s="176"/>
      <c r="D36" s="177"/>
      <c r="E36" s="178"/>
      <c r="F36" s="178"/>
      <c r="G36" s="177"/>
      <c r="H36" s="177"/>
      <c r="I36" s="179" t="s">
        <v>151</v>
      </c>
      <c r="J36" s="180" t="s">
        <v>110</v>
      </c>
      <c r="K36" s="207">
        <f>8000*5%</f>
        <v>400</v>
      </c>
      <c r="L36" s="182"/>
      <c r="M36" s="183"/>
    </row>
    <row r="37" spans="1:14" s="134" customFormat="1" ht="23.25" customHeight="1" x14ac:dyDescent="0.2">
      <c r="A37" s="174"/>
      <c r="B37" s="175"/>
      <c r="C37" s="176"/>
      <c r="D37" s="177"/>
      <c r="E37" s="178"/>
      <c r="F37" s="178"/>
      <c r="G37" s="177"/>
      <c r="H37" s="177"/>
      <c r="I37" s="186" t="s">
        <v>152</v>
      </c>
      <c r="J37" s="169" t="s">
        <v>117</v>
      </c>
      <c r="K37" s="201">
        <f>8000*5%</f>
        <v>400</v>
      </c>
      <c r="L37" s="182"/>
      <c r="M37" s="183"/>
    </row>
    <row r="38" spans="1:14" s="134" customFormat="1" ht="23.25" customHeight="1" x14ac:dyDescent="0.2">
      <c r="A38" s="187"/>
      <c r="B38" s="188"/>
      <c r="C38" s="189"/>
      <c r="D38" s="190"/>
      <c r="E38" s="191"/>
      <c r="F38" s="191"/>
      <c r="G38" s="190"/>
      <c r="H38" s="190"/>
      <c r="I38" s="202"/>
      <c r="J38" s="193"/>
      <c r="K38" s="194">
        <f>SUM(K34:K37)</f>
        <v>8000</v>
      </c>
      <c r="L38" s="195"/>
      <c r="M38" s="196"/>
    </row>
    <row r="39" spans="1:14" s="134" customFormat="1" ht="23.25" customHeight="1" x14ac:dyDescent="0.2">
      <c r="A39" s="163">
        <v>7</v>
      </c>
      <c r="B39" s="164" t="s">
        <v>153</v>
      </c>
      <c r="C39" s="165"/>
      <c r="D39" s="166" t="s">
        <v>107</v>
      </c>
      <c r="E39" s="167"/>
      <c r="F39" s="167"/>
      <c r="G39" s="166"/>
      <c r="H39" s="166" t="s">
        <v>108</v>
      </c>
      <c r="I39" s="168" t="s">
        <v>154</v>
      </c>
      <c r="J39" s="197" t="s">
        <v>110</v>
      </c>
      <c r="K39" s="212">
        <f>8000*35%</f>
        <v>2800</v>
      </c>
      <c r="L39" s="165" t="s">
        <v>111</v>
      </c>
      <c r="M39" s="172" t="s">
        <v>155</v>
      </c>
    </row>
    <row r="40" spans="1:14" s="134" customFormat="1" ht="23.25" customHeight="1" x14ac:dyDescent="0.2">
      <c r="A40" s="174"/>
      <c r="B40" s="175"/>
      <c r="C40" s="176"/>
      <c r="D40" s="177"/>
      <c r="E40" s="178"/>
      <c r="F40" s="178"/>
      <c r="G40" s="177"/>
      <c r="H40" s="177"/>
      <c r="I40" s="179" t="s">
        <v>156</v>
      </c>
      <c r="J40" s="169" t="s">
        <v>110</v>
      </c>
      <c r="K40" s="213">
        <f>8000*10%</f>
        <v>800</v>
      </c>
      <c r="L40" s="176"/>
      <c r="M40" s="183"/>
    </row>
    <row r="41" spans="1:14" s="134" customFormat="1" ht="23.25" customHeight="1" x14ac:dyDescent="0.2">
      <c r="A41" s="174"/>
      <c r="B41" s="175"/>
      <c r="C41" s="176"/>
      <c r="D41" s="177"/>
      <c r="E41" s="178"/>
      <c r="F41" s="178"/>
      <c r="G41" s="177"/>
      <c r="H41" s="177"/>
      <c r="I41" s="186" t="s">
        <v>157</v>
      </c>
      <c r="J41" s="185" t="s">
        <v>110</v>
      </c>
      <c r="K41" s="201">
        <f>8000*5%</f>
        <v>400</v>
      </c>
      <c r="L41" s="176"/>
      <c r="M41" s="183"/>
    </row>
    <row r="42" spans="1:14" s="134" customFormat="1" ht="23.25" customHeight="1" x14ac:dyDescent="0.2">
      <c r="A42" s="174"/>
      <c r="B42" s="175"/>
      <c r="C42" s="176"/>
      <c r="D42" s="177"/>
      <c r="E42" s="178"/>
      <c r="F42" s="178"/>
      <c r="G42" s="177"/>
      <c r="H42" s="177"/>
      <c r="I42" s="186" t="s">
        <v>158</v>
      </c>
      <c r="J42" s="185" t="s">
        <v>110</v>
      </c>
      <c r="K42" s="200">
        <f>8000*45%</f>
        <v>3600</v>
      </c>
      <c r="L42" s="176"/>
      <c r="M42" s="183"/>
    </row>
    <row r="43" spans="1:14" s="134" customFormat="1" ht="23.25" customHeight="1" x14ac:dyDescent="0.2">
      <c r="A43" s="174"/>
      <c r="B43" s="175"/>
      <c r="C43" s="176"/>
      <c r="D43" s="177"/>
      <c r="E43" s="178"/>
      <c r="F43" s="178"/>
      <c r="G43" s="177"/>
      <c r="H43" s="177"/>
      <c r="I43" s="168" t="s">
        <v>159</v>
      </c>
      <c r="J43" s="185" t="s">
        <v>117</v>
      </c>
      <c r="K43" s="200">
        <f>8000*5%</f>
        <v>400</v>
      </c>
      <c r="L43" s="176"/>
      <c r="M43" s="183"/>
    </row>
    <row r="44" spans="1:14" s="134" customFormat="1" ht="23.25" customHeight="1" x14ac:dyDescent="0.2">
      <c r="A44" s="187"/>
      <c r="B44" s="188"/>
      <c r="C44" s="189"/>
      <c r="D44" s="190"/>
      <c r="E44" s="191"/>
      <c r="F44" s="191"/>
      <c r="G44" s="190"/>
      <c r="H44" s="190"/>
      <c r="I44" s="202"/>
      <c r="J44" s="193"/>
      <c r="K44" s="208">
        <f>SUM(K39:K43)</f>
        <v>8000</v>
      </c>
      <c r="L44" s="189"/>
      <c r="M44" s="196"/>
    </row>
    <row r="45" spans="1:14" s="134" customFormat="1" ht="23.25" customHeight="1" x14ac:dyDescent="0.2">
      <c r="A45" s="163">
        <v>8</v>
      </c>
      <c r="B45" s="164" t="s">
        <v>160</v>
      </c>
      <c r="C45" s="165"/>
      <c r="D45" s="166" t="s">
        <v>161</v>
      </c>
      <c r="E45" s="167"/>
      <c r="F45" s="167"/>
      <c r="G45" s="166"/>
      <c r="H45" s="166" t="s">
        <v>162</v>
      </c>
      <c r="I45" s="168" t="s">
        <v>163</v>
      </c>
      <c r="J45" s="169" t="s">
        <v>110</v>
      </c>
      <c r="K45" s="170">
        <f>630000*60%</f>
        <v>378000</v>
      </c>
      <c r="L45" s="171" t="s">
        <v>164</v>
      </c>
      <c r="M45" s="172" t="s">
        <v>165</v>
      </c>
      <c r="N45" s="214"/>
    </row>
    <row r="46" spans="1:14" s="134" customFormat="1" ht="23.25" customHeight="1" x14ac:dyDescent="0.2">
      <c r="A46" s="174"/>
      <c r="B46" s="175"/>
      <c r="C46" s="176"/>
      <c r="D46" s="177"/>
      <c r="E46" s="178"/>
      <c r="F46" s="178"/>
      <c r="G46" s="177"/>
      <c r="H46" s="177"/>
      <c r="I46" s="179" t="s">
        <v>166</v>
      </c>
      <c r="J46" s="180" t="s">
        <v>117</v>
      </c>
      <c r="K46" s="181">
        <f>630000*40%</f>
        <v>252000</v>
      </c>
      <c r="L46" s="182"/>
      <c r="M46" s="183"/>
      <c r="N46" s="214"/>
    </row>
    <row r="47" spans="1:14" s="134" customFormat="1" ht="23.25" customHeight="1" x14ac:dyDescent="0.2">
      <c r="A47" s="187"/>
      <c r="B47" s="188"/>
      <c r="C47" s="189"/>
      <c r="D47" s="190"/>
      <c r="E47" s="191"/>
      <c r="F47" s="191"/>
      <c r="G47" s="190"/>
      <c r="H47" s="190"/>
      <c r="I47" s="202"/>
      <c r="J47" s="215"/>
      <c r="K47" s="216">
        <f>SUM(K45:K46)</f>
        <v>630000</v>
      </c>
      <c r="L47" s="195"/>
      <c r="M47" s="196"/>
    </row>
    <row r="48" spans="1:14" s="134" customFormat="1" ht="23.25" customHeight="1" x14ac:dyDescent="0.2">
      <c r="A48" s="163">
        <v>9</v>
      </c>
      <c r="B48" s="164" t="s">
        <v>167</v>
      </c>
      <c r="C48" s="165"/>
      <c r="D48" s="166" t="s">
        <v>161</v>
      </c>
      <c r="E48" s="167"/>
      <c r="F48" s="167"/>
      <c r="G48" s="166"/>
      <c r="H48" s="166"/>
      <c r="I48" s="217" t="s">
        <v>168</v>
      </c>
      <c r="J48" s="169" t="s">
        <v>110</v>
      </c>
      <c r="K48" s="170">
        <f>630000*60%</f>
        <v>378000</v>
      </c>
      <c r="L48" s="165" t="s">
        <v>164</v>
      </c>
      <c r="M48" s="172" t="s">
        <v>169</v>
      </c>
    </row>
    <row r="49" spans="1:14" s="134" customFormat="1" ht="23.25" customHeight="1" x14ac:dyDescent="0.2">
      <c r="A49" s="174"/>
      <c r="B49" s="175"/>
      <c r="C49" s="176"/>
      <c r="D49" s="177"/>
      <c r="E49" s="178"/>
      <c r="F49" s="178"/>
      <c r="G49" s="177"/>
      <c r="H49" s="177"/>
      <c r="I49" s="168" t="s">
        <v>166</v>
      </c>
      <c r="J49" s="185" t="s">
        <v>117</v>
      </c>
      <c r="K49" s="200">
        <f>630000*40%</f>
        <v>252000</v>
      </c>
      <c r="L49" s="176"/>
      <c r="M49" s="183"/>
    </row>
    <row r="50" spans="1:14" s="134" customFormat="1" ht="23.25" customHeight="1" x14ac:dyDescent="0.2">
      <c r="A50" s="187"/>
      <c r="B50" s="188"/>
      <c r="C50" s="189"/>
      <c r="D50" s="190"/>
      <c r="E50" s="191"/>
      <c r="F50" s="191"/>
      <c r="G50" s="190"/>
      <c r="H50" s="190"/>
      <c r="I50" s="202"/>
      <c r="J50" s="193"/>
      <c r="K50" s="208">
        <f>SUM(K48:K49)</f>
        <v>630000</v>
      </c>
      <c r="L50" s="189"/>
      <c r="M50" s="196"/>
    </row>
    <row r="51" spans="1:14" s="134" customFormat="1" ht="23.25" customHeight="1" x14ac:dyDescent="0.2">
      <c r="A51" s="163">
        <v>10</v>
      </c>
      <c r="B51" s="164" t="s">
        <v>170</v>
      </c>
      <c r="C51" s="165"/>
      <c r="D51" s="166" t="s">
        <v>161</v>
      </c>
      <c r="E51" s="167"/>
      <c r="F51" s="167"/>
      <c r="G51" s="166"/>
      <c r="H51" s="166"/>
      <c r="I51" s="168" t="s">
        <v>171</v>
      </c>
      <c r="J51" s="169" t="s">
        <v>146</v>
      </c>
      <c r="K51" s="209">
        <f>539800*50%</f>
        <v>269900</v>
      </c>
      <c r="L51" s="165" t="s">
        <v>164</v>
      </c>
      <c r="M51" s="172" t="s">
        <v>172</v>
      </c>
    </row>
    <row r="52" spans="1:14" s="134" customFormat="1" ht="23.25" customHeight="1" x14ac:dyDescent="0.2">
      <c r="A52" s="174"/>
      <c r="B52" s="175"/>
      <c r="C52" s="176"/>
      <c r="D52" s="177"/>
      <c r="E52" s="178"/>
      <c r="F52" s="178"/>
      <c r="G52" s="177"/>
      <c r="H52" s="177"/>
      <c r="I52" s="179" t="s">
        <v>173</v>
      </c>
      <c r="J52" s="180" t="s">
        <v>174</v>
      </c>
      <c r="K52" s="200">
        <f t="shared" ref="K52:K61" si="0">539800*5%</f>
        <v>26990</v>
      </c>
      <c r="L52" s="176"/>
      <c r="M52" s="183"/>
      <c r="N52" s="214"/>
    </row>
    <row r="53" spans="1:14" s="134" customFormat="1" ht="23.25" customHeight="1" x14ac:dyDescent="0.2">
      <c r="A53" s="174"/>
      <c r="B53" s="175"/>
      <c r="C53" s="176"/>
      <c r="D53" s="177"/>
      <c r="E53" s="178"/>
      <c r="F53" s="178"/>
      <c r="G53" s="177"/>
      <c r="H53" s="177"/>
      <c r="I53" s="179" t="s">
        <v>175</v>
      </c>
      <c r="J53" s="169" t="s">
        <v>146</v>
      </c>
      <c r="K53" s="200">
        <f t="shared" si="0"/>
        <v>26990</v>
      </c>
      <c r="L53" s="176"/>
      <c r="M53" s="183"/>
    </row>
    <row r="54" spans="1:14" s="134" customFormat="1" ht="23.25" customHeight="1" x14ac:dyDescent="0.2">
      <c r="A54" s="174"/>
      <c r="B54" s="175"/>
      <c r="C54" s="176"/>
      <c r="D54" s="177"/>
      <c r="E54" s="178"/>
      <c r="F54" s="178"/>
      <c r="G54" s="177"/>
      <c r="H54" s="177"/>
      <c r="I54" s="179" t="s">
        <v>176</v>
      </c>
      <c r="J54" s="185" t="s">
        <v>177</v>
      </c>
      <c r="K54" s="200">
        <f t="shared" si="0"/>
        <v>26990</v>
      </c>
      <c r="L54" s="176"/>
      <c r="M54" s="183"/>
      <c r="N54" s="214"/>
    </row>
    <row r="55" spans="1:14" s="134" customFormat="1" ht="23.25" customHeight="1" x14ac:dyDescent="0.2">
      <c r="A55" s="174"/>
      <c r="B55" s="175"/>
      <c r="C55" s="176"/>
      <c r="D55" s="177"/>
      <c r="E55" s="178"/>
      <c r="F55" s="178"/>
      <c r="G55" s="177"/>
      <c r="H55" s="177"/>
      <c r="I55" s="179" t="s">
        <v>178</v>
      </c>
      <c r="J55" s="185" t="s">
        <v>179</v>
      </c>
      <c r="K55" s="200">
        <f t="shared" si="0"/>
        <v>26990</v>
      </c>
      <c r="L55" s="176"/>
      <c r="M55" s="183"/>
      <c r="N55" s="214"/>
    </row>
    <row r="56" spans="1:14" s="134" customFormat="1" ht="23.25" customHeight="1" x14ac:dyDescent="0.2">
      <c r="A56" s="174"/>
      <c r="B56" s="175"/>
      <c r="C56" s="176"/>
      <c r="D56" s="177"/>
      <c r="E56" s="178"/>
      <c r="F56" s="178"/>
      <c r="G56" s="177"/>
      <c r="H56" s="177"/>
      <c r="I56" s="179" t="s">
        <v>180</v>
      </c>
      <c r="J56" s="185" t="s">
        <v>181</v>
      </c>
      <c r="K56" s="200">
        <f t="shared" si="0"/>
        <v>26990</v>
      </c>
      <c r="L56" s="176"/>
      <c r="M56" s="183"/>
    </row>
    <row r="57" spans="1:14" s="134" customFormat="1" ht="23.25" customHeight="1" x14ac:dyDescent="0.2">
      <c r="A57" s="174"/>
      <c r="B57" s="175"/>
      <c r="C57" s="176"/>
      <c r="D57" s="177"/>
      <c r="E57" s="178"/>
      <c r="F57" s="178"/>
      <c r="G57" s="177"/>
      <c r="H57" s="177"/>
      <c r="I57" s="186" t="s">
        <v>182</v>
      </c>
      <c r="J57" s="180" t="s">
        <v>177</v>
      </c>
      <c r="K57" s="200">
        <f t="shared" si="0"/>
        <v>26990</v>
      </c>
      <c r="L57" s="176"/>
      <c r="M57" s="183"/>
      <c r="N57" s="214"/>
    </row>
    <row r="58" spans="1:14" s="134" customFormat="1" ht="23.25" customHeight="1" x14ac:dyDescent="0.2">
      <c r="A58" s="174"/>
      <c r="B58" s="175"/>
      <c r="C58" s="176"/>
      <c r="D58" s="177"/>
      <c r="E58" s="178"/>
      <c r="F58" s="178"/>
      <c r="G58" s="177"/>
      <c r="H58" s="177"/>
      <c r="I58" s="168" t="s">
        <v>183</v>
      </c>
      <c r="J58" s="180" t="s">
        <v>184</v>
      </c>
      <c r="K58" s="200">
        <f t="shared" si="0"/>
        <v>26990</v>
      </c>
      <c r="L58" s="176"/>
      <c r="M58" s="183"/>
    </row>
    <row r="59" spans="1:14" s="134" customFormat="1" ht="23.25" customHeight="1" x14ac:dyDescent="0.2">
      <c r="A59" s="174"/>
      <c r="B59" s="175"/>
      <c r="C59" s="176"/>
      <c r="D59" s="177"/>
      <c r="E59" s="178"/>
      <c r="F59" s="178"/>
      <c r="G59" s="177"/>
      <c r="H59" s="177"/>
      <c r="I59" s="179" t="s">
        <v>185</v>
      </c>
      <c r="J59" s="169" t="s">
        <v>146</v>
      </c>
      <c r="K59" s="200">
        <f t="shared" si="0"/>
        <v>26990</v>
      </c>
      <c r="L59" s="176"/>
      <c r="M59" s="183"/>
    </row>
    <row r="60" spans="1:14" s="134" customFormat="1" ht="23.25" customHeight="1" x14ac:dyDescent="0.2">
      <c r="A60" s="174"/>
      <c r="B60" s="175"/>
      <c r="C60" s="176"/>
      <c r="D60" s="177"/>
      <c r="E60" s="178"/>
      <c r="F60" s="178"/>
      <c r="G60" s="177"/>
      <c r="H60" s="177"/>
      <c r="I60" s="179" t="s">
        <v>186</v>
      </c>
      <c r="J60" s="180" t="s">
        <v>177</v>
      </c>
      <c r="K60" s="200">
        <f t="shared" si="0"/>
        <v>26990</v>
      </c>
      <c r="L60" s="176"/>
      <c r="M60" s="183"/>
      <c r="N60" s="214"/>
    </row>
    <row r="61" spans="1:14" s="134" customFormat="1" ht="23.25" customHeight="1" x14ac:dyDescent="0.2">
      <c r="A61" s="174"/>
      <c r="B61" s="175"/>
      <c r="C61" s="176"/>
      <c r="D61" s="177"/>
      <c r="E61" s="178"/>
      <c r="F61" s="178"/>
      <c r="G61" s="177"/>
      <c r="H61" s="177"/>
      <c r="I61" s="186" t="s">
        <v>187</v>
      </c>
      <c r="J61" s="169" t="s">
        <v>188</v>
      </c>
      <c r="K61" s="200">
        <f t="shared" si="0"/>
        <v>26990</v>
      </c>
      <c r="L61" s="176"/>
      <c r="M61" s="183"/>
      <c r="N61" s="214"/>
    </row>
    <row r="62" spans="1:14" s="134" customFormat="1" ht="23.25" customHeight="1" x14ac:dyDescent="0.2">
      <c r="A62" s="187"/>
      <c r="B62" s="188"/>
      <c r="C62" s="189"/>
      <c r="D62" s="190"/>
      <c r="E62" s="191"/>
      <c r="F62" s="191"/>
      <c r="G62" s="190"/>
      <c r="H62" s="190"/>
      <c r="I62" s="192"/>
      <c r="J62" s="193"/>
      <c r="K62" s="208">
        <f>SUM(K51:K61)</f>
        <v>539800</v>
      </c>
      <c r="L62" s="189"/>
      <c r="M62" s="196"/>
    </row>
    <row r="63" spans="1:14" s="134" customFormat="1" ht="23.25" customHeight="1" x14ac:dyDescent="0.2">
      <c r="A63" s="163">
        <v>11</v>
      </c>
      <c r="B63" s="164" t="s">
        <v>189</v>
      </c>
      <c r="C63" s="165"/>
      <c r="D63" s="166" t="s">
        <v>161</v>
      </c>
      <c r="E63" s="167"/>
      <c r="F63" s="167"/>
      <c r="G63" s="166"/>
      <c r="H63" s="166"/>
      <c r="I63" s="168" t="s">
        <v>190</v>
      </c>
      <c r="J63" s="169" t="s">
        <v>146</v>
      </c>
      <c r="K63" s="170">
        <f>23965*50%</f>
        <v>11982.5</v>
      </c>
      <c r="L63" s="171" t="s">
        <v>164</v>
      </c>
      <c r="M63" s="172" t="s">
        <v>191</v>
      </c>
    </row>
    <row r="64" spans="1:14" s="134" customFormat="1" ht="23.25" customHeight="1" x14ac:dyDescent="0.2">
      <c r="A64" s="174"/>
      <c r="B64" s="175"/>
      <c r="C64" s="176"/>
      <c r="D64" s="177"/>
      <c r="E64" s="178"/>
      <c r="F64" s="178"/>
      <c r="G64" s="177"/>
      <c r="H64" s="177"/>
      <c r="I64" s="186" t="s">
        <v>192</v>
      </c>
      <c r="J64" s="185" t="s">
        <v>193</v>
      </c>
      <c r="K64" s="181">
        <f>23965*50%</f>
        <v>11982.5</v>
      </c>
      <c r="L64" s="182"/>
      <c r="M64" s="183"/>
    </row>
    <row r="65" spans="1:13" s="134" customFormat="1" ht="23.25" customHeight="1" x14ac:dyDescent="0.2">
      <c r="A65" s="187"/>
      <c r="B65" s="188"/>
      <c r="C65" s="189"/>
      <c r="D65" s="190"/>
      <c r="E65" s="191"/>
      <c r="F65" s="191"/>
      <c r="G65" s="190"/>
      <c r="H65" s="190"/>
      <c r="I65" s="192"/>
      <c r="J65" s="193"/>
      <c r="K65" s="194">
        <f>SUM(K63:K64)</f>
        <v>23965</v>
      </c>
      <c r="L65" s="195"/>
      <c r="M65" s="196"/>
    </row>
    <row r="66" spans="1:13" s="134" customFormat="1" ht="23.25" customHeight="1" x14ac:dyDescent="0.2">
      <c r="A66" s="163">
        <v>12</v>
      </c>
      <c r="B66" s="164" t="s">
        <v>194</v>
      </c>
      <c r="C66" s="165"/>
      <c r="D66" s="166" t="s">
        <v>161</v>
      </c>
      <c r="E66" s="167"/>
      <c r="F66" s="167"/>
      <c r="G66" s="166"/>
      <c r="H66" s="166"/>
      <c r="I66" s="217" t="s">
        <v>195</v>
      </c>
      <c r="J66" s="169" t="s">
        <v>110</v>
      </c>
      <c r="K66" s="170">
        <f>227415*85%</f>
        <v>193302.75</v>
      </c>
      <c r="L66" s="165" t="s">
        <v>164</v>
      </c>
      <c r="M66" s="172" t="s">
        <v>196</v>
      </c>
    </row>
    <row r="67" spans="1:13" s="134" customFormat="1" ht="23.25" customHeight="1" x14ac:dyDescent="0.2">
      <c r="A67" s="174"/>
      <c r="B67" s="175"/>
      <c r="C67" s="176"/>
      <c r="D67" s="177"/>
      <c r="E67" s="178"/>
      <c r="F67" s="178"/>
      <c r="G67" s="177"/>
      <c r="H67" s="177"/>
      <c r="I67" s="168" t="s">
        <v>197</v>
      </c>
      <c r="J67" s="185" t="s">
        <v>110</v>
      </c>
      <c r="K67" s="199">
        <f>227415*5%</f>
        <v>11370.75</v>
      </c>
      <c r="L67" s="176"/>
      <c r="M67" s="183"/>
    </row>
    <row r="68" spans="1:13" s="134" customFormat="1" ht="23.25" customHeight="1" x14ac:dyDescent="0.2">
      <c r="A68" s="174"/>
      <c r="B68" s="175"/>
      <c r="C68" s="176"/>
      <c r="D68" s="177"/>
      <c r="E68" s="178"/>
      <c r="F68" s="178"/>
      <c r="G68" s="177"/>
      <c r="H68" s="177"/>
      <c r="I68" s="186" t="s">
        <v>198</v>
      </c>
      <c r="J68" s="185" t="s">
        <v>144</v>
      </c>
      <c r="K68" s="199">
        <f>227415*5%</f>
        <v>11370.75</v>
      </c>
      <c r="L68" s="176"/>
      <c r="M68" s="183"/>
    </row>
    <row r="69" spans="1:13" s="134" customFormat="1" ht="23.25" customHeight="1" x14ac:dyDescent="0.2">
      <c r="A69" s="174"/>
      <c r="B69" s="175"/>
      <c r="C69" s="176"/>
      <c r="D69" s="177"/>
      <c r="E69" s="178"/>
      <c r="F69" s="178"/>
      <c r="G69" s="177"/>
      <c r="H69" s="177"/>
      <c r="I69" s="168" t="s">
        <v>199</v>
      </c>
      <c r="J69" s="185" t="s">
        <v>193</v>
      </c>
      <c r="K69" s="200">
        <f>227415*5%</f>
        <v>11370.75</v>
      </c>
      <c r="L69" s="176"/>
      <c r="M69" s="183"/>
    </row>
    <row r="70" spans="1:13" s="134" customFormat="1" ht="23.25" customHeight="1" x14ac:dyDescent="0.2">
      <c r="A70" s="187"/>
      <c r="B70" s="188"/>
      <c r="C70" s="189"/>
      <c r="D70" s="190"/>
      <c r="E70" s="191"/>
      <c r="F70" s="191"/>
      <c r="G70" s="190"/>
      <c r="H70" s="190"/>
      <c r="I70" s="202"/>
      <c r="J70" s="193"/>
      <c r="K70" s="208">
        <f>SUM(K66:K69)</f>
        <v>227415</v>
      </c>
      <c r="L70" s="189"/>
      <c r="M70" s="196"/>
    </row>
    <row r="71" spans="1:13" s="134" customFormat="1" ht="23.25" customHeight="1" x14ac:dyDescent="0.2">
      <c r="A71" s="163">
        <v>13</v>
      </c>
      <c r="B71" s="164" t="s">
        <v>200</v>
      </c>
      <c r="C71" s="218"/>
      <c r="D71" s="219" t="s">
        <v>161</v>
      </c>
      <c r="E71" s="167"/>
      <c r="F71" s="167"/>
      <c r="G71" s="166"/>
      <c r="H71" s="166"/>
      <c r="I71" s="168" t="s">
        <v>201</v>
      </c>
      <c r="J71" s="220" t="s">
        <v>110</v>
      </c>
      <c r="K71" s="209">
        <f>227920*80%</f>
        <v>182336</v>
      </c>
      <c r="L71" s="165" t="s">
        <v>164</v>
      </c>
      <c r="M71" s="172" t="s">
        <v>202</v>
      </c>
    </row>
    <row r="72" spans="1:13" s="134" customFormat="1" ht="23.25" customHeight="1" x14ac:dyDescent="0.2">
      <c r="A72" s="174"/>
      <c r="B72" s="175"/>
      <c r="C72" s="221"/>
      <c r="D72" s="222"/>
      <c r="E72" s="178"/>
      <c r="F72" s="178"/>
      <c r="G72" s="177"/>
      <c r="H72" s="177"/>
      <c r="I72" s="179" t="s">
        <v>203</v>
      </c>
      <c r="J72" s="206" t="s">
        <v>144</v>
      </c>
      <c r="K72" s="213">
        <f>227920*5%</f>
        <v>11396</v>
      </c>
      <c r="L72" s="176"/>
      <c r="M72" s="183"/>
    </row>
    <row r="73" spans="1:13" s="134" customFormat="1" ht="23.25" customHeight="1" x14ac:dyDescent="0.2">
      <c r="A73" s="174"/>
      <c r="B73" s="175"/>
      <c r="C73" s="221"/>
      <c r="D73" s="222"/>
      <c r="E73" s="178"/>
      <c r="F73" s="178"/>
      <c r="G73" s="177"/>
      <c r="H73" s="177"/>
      <c r="I73" s="179" t="s">
        <v>204</v>
      </c>
      <c r="J73" s="169" t="s">
        <v>146</v>
      </c>
      <c r="K73" s="213">
        <f>227920*5%</f>
        <v>11396</v>
      </c>
      <c r="L73" s="176"/>
      <c r="M73" s="183"/>
    </row>
    <row r="74" spans="1:13" s="134" customFormat="1" ht="23.25" customHeight="1" x14ac:dyDescent="0.2">
      <c r="A74" s="174"/>
      <c r="B74" s="175"/>
      <c r="C74" s="221"/>
      <c r="D74" s="222"/>
      <c r="E74" s="178"/>
      <c r="F74" s="178"/>
      <c r="G74" s="177"/>
      <c r="H74" s="177"/>
      <c r="I74" s="179" t="s">
        <v>205</v>
      </c>
      <c r="J74" s="185" t="s">
        <v>206</v>
      </c>
      <c r="K74" s="201">
        <f>227920*5%</f>
        <v>11396</v>
      </c>
      <c r="L74" s="176"/>
      <c r="M74" s="183"/>
    </row>
    <row r="75" spans="1:13" s="134" customFormat="1" ht="23.25" customHeight="1" x14ac:dyDescent="0.2">
      <c r="A75" s="174"/>
      <c r="B75" s="175"/>
      <c r="C75" s="221"/>
      <c r="D75" s="222"/>
      <c r="E75" s="178"/>
      <c r="F75" s="178"/>
      <c r="G75" s="177"/>
      <c r="H75" s="177"/>
      <c r="I75" s="179" t="s">
        <v>207</v>
      </c>
      <c r="J75" s="223" t="s">
        <v>117</v>
      </c>
      <c r="K75" s="213">
        <f>227920*5%</f>
        <v>11396</v>
      </c>
      <c r="L75" s="176"/>
      <c r="M75" s="183"/>
    </row>
    <row r="76" spans="1:13" s="134" customFormat="1" ht="23.25" customHeight="1" x14ac:dyDescent="0.2">
      <c r="A76" s="187"/>
      <c r="B76" s="188"/>
      <c r="C76" s="224"/>
      <c r="D76" s="225"/>
      <c r="E76" s="191"/>
      <c r="F76" s="191"/>
      <c r="G76" s="190"/>
      <c r="H76" s="190"/>
      <c r="I76" s="202"/>
      <c r="J76" s="203"/>
      <c r="K76" s="204">
        <f>SUM(K71:K75)</f>
        <v>227920</v>
      </c>
      <c r="L76" s="189"/>
      <c r="M76" s="196"/>
    </row>
    <row r="77" spans="1:13" s="134" customFormat="1" ht="23.25" customHeight="1" x14ac:dyDescent="0.2">
      <c r="A77" s="163">
        <v>14</v>
      </c>
      <c r="B77" s="164" t="s">
        <v>208</v>
      </c>
      <c r="C77" s="165"/>
      <c r="D77" s="166" t="s">
        <v>161</v>
      </c>
      <c r="E77" s="167"/>
      <c r="F77" s="167"/>
      <c r="G77" s="166"/>
      <c r="H77" s="166"/>
      <c r="I77" s="217" t="s">
        <v>209</v>
      </c>
      <c r="J77" s="169" t="s">
        <v>110</v>
      </c>
      <c r="K77" s="211">
        <f>110800*50%</f>
        <v>55400</v>
      </c>
      <c r="L77" s="171" t="s">
        <v>164</v>
      </c>
      <c r="M77" s="172" t="s">
        <v>210</v>
      </c>
    </row>
    <row r="78" spans="1:13" s="134" customFormat="1" ht="23.25" customHeight="1" x14ac:dyDescent="0.2">
      <c r="A78" s="174"/>
      <c r="B78" s="175"/>
      <c r="C78" s="176"/>
      <c r="D78" s="177"/>
      <c r="E78" s="178"/>
      <c r="F78" s="178"/>
      <c r="G78" s="177"/>
      <c r="H78" s="177"/>
      <c r="I78" s="168" t="s">
        <v>211</v>
      </c>
      <c r="J78" s="185" t="s">
        <v>110</v>
      </c>
      <c r="K78" s="201">
        <f>110800*10%</f>
        <v>11080</v>
      </c>
      <c r="L78" s="182"/>
      <c r="M78" s="183"/>
    </row>
    <row r="79" spans="1:13" s="134" customFormat="1" ht="23.25" customHeight="1" x14ac:dyDescent="0.2">
      <c r="A79" s="174"/>
      <c r="B79" s="175"/>
      <c r="C79" s="176"/>
      <c r="D79" s="177"/>
      <c r="E79" s="178"/>
      <c r="F79" s="178"/>
      <c r="G79" s="177"/>
      <c r="H79" s="177"/>
      <c r="I79" s="186" t="s">
        <v>212</v>
      </c>
      <c r="J79" s="223" t="s">
        <v>110</v>
      </c>
      <c r="K79" s="184">
        <f>110800*10%</f>
        <v>11080</v>
      </c>
      <c r="L79" s="182"/>
      <c r="M79" s="183"/>
    </row>
    <row r="80" spans="1:13" s="134" customFormat="1" ht="23.25" customHeight="1" x14ac:dyDescent="0.2">
      <c r="A80" s="174"/>
      <c r="B80" s="175"/>
      <c r="C80" s="176"/>
      <c r="D80" s="177"/>
      <c r="E80" s="178"/>
      <c r="F80" s="178"/>
      <c r="G80" s="177"/>
      <c r="H80" s="177"/>
      <c r="I80" s="168" t="s">
        <v>213</v>
      </c>
      <c r="J80" s="223" t="s">
        <v>110</v>
      </c>
      <c r="K80" s="226">
        <f>110800*10%</f>
        <v>11080</v>
      </c>
      <c r="L80" s="182"/>
      <c r="M80" s="183"/>
    </row>
    <row r="81" spans="1:14" s="134" customFormat="1" ht="23.25" customHeight="1" x14ac:dyDescent="0.2">
      <c r="A81" s="174"/>
      <c r="B81" s="175"/>
      <c r="C81" s="176"/>
      <c r="D81" s="177"/>
      <c r="E81" s="178"/>
      <c r="F81" s="178"/>
      <c r="G81" s="177"/>
      <c r="H81" s="177"/>
      <c r="I81" s="179" t="s">
        <v>214</v>
      </c>
      <c r="J81" s="206" t="s">
        <v>110</v>
      </c>
      <c r="K81" s="226">
        <f>110800*10%</f>
        <v>11080</v>
      </c>
      <c r="L81" s="182"/>
      <c r="M81" s="183"/>
    </row>
    <row r="82" spans="1:14" s="134" customFormat="1" ht="23.25" customHeight="1" x14ac:dyDescent="0.2">
      <c r="A82" s="174"/>
      <c r="B82" s="175"/>
      <c r="C82" s="176"/>
      <c r="D82" s="177"/>
      <c r="E82" s="178"/>
      <c r="F82" s="178"/>
      <c r="G82" s="177"/>
      <c r="H82" s="177"/>
      <c r="I82" s="186" t="s">
        <v>215</v>
      </c>
      <c r="J82" s="169" t="s">
        <v>110</v>
      </c>
      <c r="K82" s="227">
        <f>110800*10%</f>
        <v>11080</v>
      </c>
      <c r="L82" s="182"/>
      <c r="M82" s="183"/>
    </row>
    <row r="83" spans="1:14" s="134" customFormat="1" ht="23.25" customHeight="1" x14ac:dyDescent="0.2">
      <c r="A83" s="187"/>
      <c r="B83" s="188"/>
      <c r="C83" s="189"/>
      <c r="D83" s="190"/>
      <c r="E83" s="191"/>
      <c r="F83" s="191"/>
      <c r="G83" s="190"/>
      <c r="H83" s="190"/>
      <c r="I83" s="192"/>
      <c r="J83" s="193"/>
      <c r="K83" s="208">
        <f>SUM(K77:K82)</f>
        <v>110800</v>
      </c>
      <c r="L83" s="195"/>
      <c r="M83" s="196"/>
    </row>
    <row r="84" spans="1:14" s="134" customFormat="1" ht="23.25" customHeight="1" x14ac:dyDescent="0.2">
      <c r="A84" s="163">
        <v>15</v>
      </c>
      <c r="B84" s="164" t="s">
        <v>216</v>
      </c>
      <c r="C84" s="165"/>
      <c r="D84" s="166" t="s">
        <v>161</v>
      </c>
      <c r="E84" s="167"/>
      <c r="F84" s="167"/>
      <c r="G84" s="166"/>
      <c r="H84" s="166" t="s">
        <v>162</v>
      </c>
      <c r="I84" s="168" t="s">
        <v>217</v>
      </c>
      <c r="J84" s="169" t="s">
        <v>110</v>
      </c>
      <c r="K84" s="170">
        <f>155000*90%</f>
        <v>139500</v>
      </c>
      <c r="L84" s="165" t="s">
        <v>164</v>
      </c>
      <c r="M84" s="172" t="s">
        <v>218</v>
      </c>
    </row>
    <row r="85" spans="1:14" s="134" customFormat="1" ht="23.25" customHeight="1" x14ac:dyDescent="0.2">
      <c r="A85" s="174"/>
      <c r="B85" s="175"/>
      <c r="C85" s="176"/>
      <c r="D85" s="177"/>
      <c r="E85" s="178"/>
      <c r="F85" s="178"/>
      <c r="G85" s="177"/>
      <c r="H85" s="177"/>
      <c r="I85" s="186" t="s">
        <v>219</v>
      </c>
      <c r="J85" s="185" t="s">
        <v>220</v>
      </c>
      <c r="K85" s="199">
        <f>155000*10%</f>
        <v>15500</v>
      </c>
      <c r="L85" s="176"/>
      <c r="M85" s="183"/>
    </row>
    <row r="86" spans="1:14" s="134" customFormat="1" ht="23.25" customHeight="1" x14ac:dyDescent="0.2">
      <c r="A86" s="187"/>
      <c r="B86" s="188"/>
      <c r="C86" s="189"/>
      <c r="D86" s="190"/>
      <c r="E86" s="191"/>
      <c r="F86" s="191"/>
      <c r="G86" s="190"/>
      <c r="H86" s="190"/>
      <c r="I86" s="192"/>
      <c r="J86" s="193"/>
      <c r="K86" s="210">
        <f>SUM(K84:K85)</f>
        <v>155000</v>
      </c>
      <c r="L86" s="189"/>
      <c r="M86" s="196"/>
    </row>
    <row r="87" spans="1:14" s="134" customFormat="1" ht="58.5" customHeight="1" x14ac:dyDescent="0.2">
      <c r="A87" s="228">
        <v>16</v>
      </c>
      <c r="B87" s="229" t="s">
        <v>221</v>
      </c>
      <c r="C87" s="230" t="s">
        <v>221</v>
      </c>
      <c r="D87" s="231" t="s">
        <v>161</v>
      </c>
      <c r="E87" s="232"/>
      <c r="F87" s="232"/>
      <c r="G87" s="231"/>
      <c r="H87" s="233"/>
      <c r="I87" s="234" t="s">
        <v>222</v>
      </c>
      <c r="J87" s="235" t="s">
        <v>117</v>
      </c>
      <c r="K87" s="236">
        <v>155000</v>
      </c>
      <c r="L87" s="237" t="s">
        <v>164</v>
      </c>
      <c r="M87" s="238" t="s">
        <v>223</v>
      </c>
    </row>
    <row r="88" spans="1:14" s="134" customFormat="1" ht="23.25" customHeight="1" x14ac:dyDescent="0.2">
      <c r="A88" s="163">
        <v>17</v>
      </c>
      <c r="B88" s="164" t="s">
        <v>224</v>
      </c>
      <c r="C88" s="165"/>
      <c r="D88" s="166" t="s">
        <v>161</v>
      </c>
      <c r="E88" s="167"/>
      <c r="F88" s="167"/>
      <c r="G88" s="166"/>
      <c r="H88" s="166" t="s">
        <v>162</v>
      </c>
      <c r="I88" s="168" t="s">
        <v>225</v>
      </c>
      <c r="J88" s="169" t="s">
        <v>110</v>
      </c>
      <c r="K88" s="170">
        <f>155000*90%</f>
        <v>139500</v>
      </c>
      <c r="L88" s="182" t="s">
        <v>164</v>
      </c>
      <c r="M88" s="183"/>
    </row>
    <row r="89" spans="1:14" s="134" customFormat="1" ht="23.25" customHeight="1" x14ac:dyDescent="0.2">
      <c r="A89" s="174"/>
      <c r="B89" s="175"/>
      <c r="C89" s="176"/>
      <c r="D89" s="177"/>
      <c r="E89" s="178"/>
      <c r="F89" s="178"/>
      <c r="G89" s="177"/>
      <c r="H89" s="177"/>
      <c r="I89" s="239" t="s">
        <v>226</v>
      </c>
      <c r="J89" s="185" t="s">
        <v>117</v>
      </c>
      <c r="K89" s="207">
        <f>155000*10%</f>
        <v>15500</v>
      </c>
      <c r="L89" s="182"/>
      <c r="M89" s="183"/>
    </row>
    <row r="90" spans="1:14" s="134" customFormat="1" ht="23.25" customHeight="1" x14ac:dyDescent="0.2">
      <c r="A90" s="187"/>
      <c r="B90" s="188"/>
      <c r="C90" s="189"/>
      <c r="D90" s="190"/>
      <c r="E90" s="191"/>
      <c r="F90" s="191"/>
      <c r="G90" s="190"/>
      <c r="H90" s="190"/>
      <c r="I90" s="192"/>
      <c r="J90" s="193"/>
      <c r="K90" s="208">
        <f>SUM(K88:K89)</f>
        <v>155000</v>
      </c>
      <c r="L90" s="195"/>
      <c r="M90" s="196"/>
    </row>
    <row r="91" spans="1:14" s="134" customFormat="1" ht="23.25" customHeight="1" x14ac:dyDescent="0.2">
      <c r="A91" s="163">
        <v>18</v>
      </c>
      <c r="B91" s="164" t="s">
        <v>227</v>
      </c>
      <c r="C91" s="165"/>
      <c r="D91" s="166" t="s">
        <v>161</v>
      </c>
      <c r="E91" s="167"/>
      <c r="F91" s="167"/>
      <c r="G91" s="166"/>
      <c r="H91" s="166"/>
      <c r="I91" s="217" t="s">
        <v>228</v>
      </c>
      <c r="J91" s="169" t="s">
        <v>110</v>
      </c>
      <c r="K91" s="170">
        <f>155000*80%</f>
        <v>124000</v>
      </c>
      <c r="L91" s="171" t="s">
        <v>164</v>
      </c>
      <c r="M91" s="172" t="s">
        <v>229</v>
      </c>
    </row>
    <row r="92" spans="1:14" s="134" customFormat="1" ht="23.25" customHeight="1" x14ac:dyDescent="0.2">
      <c r="A92" s="174"/>
      <c r="B92" s="175"/>
      <c r="C92" s="176"/>
      <c r="D92" s="177"/>
      <c r="E92" s="178"/>
      <c r="F92" s="178"/>
      <c r="G92" s="177"/>
      <c r="H92" s="177"/>
      <c r="I92" s="168" t="s">
        <v>230</v>
      </c>
      <c r="J92" s="185" t="s">
        <v>110</v>
      </c>
      <c r="K92" s="181">
        <f>155000*5%</f>
        <v>7750</v>
      </c>
      <c r="L92" s="182"/>
      <c r="M92" s="183"/>
    </row>
    <row r="93" spans="1:14" s="134" customFormat="1" ht="23.25" customHeight="1" x14ac:dyDescent="0.2">
      <c r="A93" s="174"/>
      <c r="B93" s="175"/>
      <c r="C93" s="176"/>
      <c r="D93" s="177"/>
      <c r="E93" s="178"/>
      <c r="F93" s="178"/>
      <c r="G93" s="177"/>
      <c r="H93" s="177"/>
      <c r="I93" s="179" t="s">
        <v>231</v>
      </c>
      <c r="J93" s="185" t="s">
        <v>232</v>
      </c>
      <c r="K93" s="181">
        <f>155000*5%</f>
        <v>7750</v>
      </c>
      <c r="L93" s="182"/>
      <c r="M93" s="183"/>
      <c r="N93" s="214"/>
    </row>
    <row r="94" spans="1:14" s="134" customFormat="1" ht="23.25" customHeight="1" x14ac:dyDescent="0.2">
      <c r="A94" s="174"/>
      <c r="B94" s="175"/>
      <c r="C94" s="176"/>
      <c r="D94" s="177"/>
      <c r="E94" s="178"/>
      <c r="F94" s="178"/>
      <c r="G94" s="177"/>
      <c r="H94" s="177"/>
      <c r="I94" s="186" t="s">
        <v>233</v>
      </c>
      <c r="J94" s="185" t="s">
        <v>110</v>
      </c>
      <c r="K94" s="181">
        <f>155000*5%</f>
        <v>7750</v>
      </c>
      <c r="L94" s="182"/>
      <c r="M94" s="183"/>
    </row>
    <row r="95" spans="1:14" s="134" customFormat="1" ht="23.25" customHeight="1" x14ac:dyDescent="0.2">
      <c r="A95" s="174"/>
      <c r="B95" s="175"/>
      <c r="C95" s="176"/>
      <c r="D95" s="177"/>
      <c r="E95" s="178"/>
      <c r="F95" s="178"/>
      <c r="G95" s="177"/>
      <c r="H95" s="177"/>
      <c r="I95" s="186" t="s">
        <v>234</v>
      </c>
      <c r="J95" s="180" t="s">
        <v>117</v>
      </c>
      <c r="K95" s="181">
        <f>155000*5%</f>
        <v>7750</v>
      </c>
      <c r="L95" s="182"/>
      <c r="M95" s="183"/>
    </row>
    <row r="96" spans="1:14" s="134" customFormat="1" ht="23.25" customHeight="1" x14ac:dyDescent="0.2">
      <c r="A96" s="187"/>
      <c r="B96" s="188"/>
      <c r="C96" s="189"/>
      <c r="D96" s="190"/>
      <c r="E96" s="191"/>
      <c r="F96" s="191"/>
      <c r="G96" s="190"/>
      <c r="H96" s="190"/>
      <c r="I96" s="192"/>
      <c r="J96" s="215"/>
      <c r="K96" s="216">
        <f>SUM(K91:K95)</f>
        <v>155000</v>
      </c>
      <c r="L96" s="195"/>
      <c r="M96" s="196"/>
    </row>
    <row r="97" spans="1:14" s="134" customFormat="1" ht="23.25" customHeight="1" x14ac:dyDescent="0.2">
      <c r="A97" s="163">
        <v>19</v>
      </c>
      <c r="B97" s="164" t="s">
        <v>235</v>
      </c>
      <c r="C97" s="165"/>
      <c r="D97" s="166" t="s">
        <v>161</v>
      </c>
      <c r="E97" s="167"/>
      <c r="F97" s="167"/>
      <c r="G97" s="166"/>
      <c r="H97" s="166" t="s">
        <v>236</v>
      </c>
      <c r="I97" s="168" t="s">
        <v>237</v>
      </c>
      <c r="J97" s="169" t="s">
        <v>110</v>
      </c>
      <c r="K97" s="209">
        <f>155000*50%</f>
        <v>77500</v>
      </c>
      <c r="L97" s="165" t="s">
        <v>164</v>
      </c>
      <c r="M97" s="172" t="s">
        <v>238</v>
      </c>
    </row>
    <row r="98" spans="1:14" s="134" customFormat="1" ht="23.25" customHeight="1" x14ac:dyDescent="0.2">
      <c r="A98" s="174"/>
      <c r="B98" s="175"/>
      <c r="C98" s="176"/>
      <c r="D98" s="177"/>
      <c r="E98" s="178"/>
      <c r="F98" s="178"/>
      <c r="G98" s="177"/>
      <c r="H98" s="177"/>
      <c r="I98" s="179" t="s">
        <v>239</v>
      </c>
      <c r="J98" s="185" t="s">
        <v>110</v>
      </c>
      <c r="K98" s="200">
        <f>155000*5%</f>
        <v>7750</v>
      </c>
      <c r="L98" s="176"/>
      <c r="M98" s="183"/>
    </row>
    <row r="99" spans="1:14" s="134" customFormat="1" ht="23.25" customHeight="1" x14ac:dyDescent="0.2">
      <c r="A99" s="174"/>
      <c r="B99" s="175"/>
      <c r="C99" s="176"/>
      <c r="D99" s="177"/>
      <c r="E99" s="178"/>
      <c r="F99" s="178"/>
      <c r="G99" s="177"/>
      <c r="H99" s="177"/>
      <c r="I99" s="179" t="s">
        <v>240</v>
      </c>
      <c r="J99" s="185" t="s">
        <v>144</v>
      </c>
      <c r="K99" s="200">
        <f>155000*5%</f>
        <v>7750</v>
      </c>
      <c r="L99" s="176"/>
      <c r="M99" s="183"/>
    </row>
    <row r="100" spans="1:14" s="134" customFormat="1" ht="23.25" customHeight="1" x14ac:dyDescent="0.2">
      <c r="A100" s="174"/>
      <c r="B100" s="175"/>
      <c r="C100" s="176"/>
      <c r="D100" s="177"/>
      <c r="E100" s="178"/>
      <c r="F100" s="178"/>
      <c r="G100" s="177"/>
      <c r="H100" s="177"/>
      <c r="I100" s="186" t="s">
        <v>157</v>
      </c>
      <c r="J100" s="180" t="s">
        <v>110</v>
      </c>
      <c r="K100" s="200">
        <f>155000*5%</f>
        <v>7750</v>
      </c>
      <c r="L100" s="176"/>
      <c r="M100" s="183"/>
    </row>
    <row r="101" spans="1:14" s="134" customFormat="1" ht="23.25" customHeight="1" x14ac:dyDescent="0.2">
      <c r="A101" s="174"/>
      <c r="B101" s="175"/>
      <c r="C101" s="176"/>
      <c r="D101" s="177"/>
      <c r="E101" s="178"/>
      <c r="F101" s="178"/>
      <c r="G101" s="177"/>
      <c r="H101" s="177"/>
      <c r="I101" s="186" t="s">
        <v>241</v>
      </c>
      <c r="J101" s="185" t="s">
        <v>110</v>
      </c>
      <c r="K101" s="200">
        <f>155000*5%</f>
        <v>7750</v>
      </c>
      <c r="L101" s="176"/>
      <c r="M101" s="183"/>
    </row>
    <row r="102" spans="1:14" s="134" customFormat="1" ht="23.25" customHeight="1" x14ac:dyDescent="0.2">
      <c r="A102" s="174"/>
      <c r="B102" s="175"/>
      <c r="C102" s="176"/>
      <c r="D102" s="177"/>
      <c r="E102" s="178"/>
      <c r="F102" s="178"/>
      <c r="G102" s="177"/>
      <c r="H102" s="177"/>
      <c r="I102" s="186" t="s">
        <v>242</v>
      </c>
      <c r="J102" s="185" t="s">
        <v>243</v>
      </c>
      <c r="K102" s="240">
        <f>155000*15%</f>
        <v>23250</v>
      </c>
      <c r="L102" s="176"/>
      <c r="M102" s="183"/>
    </row>
    <row r="103" spans="1:14" s="134" customFormat="1" ht="23.25" customHeight="1" x14ac:dyDescent="0.2">
      <c r="A103" s="174"/>
      <c r="B103" s="175"/>
      <c r="C103" s="176"/>
      <c r="D103" s="177"/>
      <c r="E103" s="178"/>
      <c r="F103" s="178"/>
      <c r="G103" s="177"/>
      <c r="H103" s="177"/>
      <c r="I103" s="168" t="s">
        <v>244</v>
      </c>
      <c r="J103" s="180" t="s">
        <v>243</v>
      </c>
      <c r="K103" s="201">
        <f>155000*5%</f>
        <v>7750</v>
      </c>
      <c r="L103" s="176"/>
      <c r="M103" s="183"/>
    </row>
    <row r="104" spans="1:14" s="134" customFormat="1" ht="23.25" customHeight="1" x14ac:dyDescent="0.2">
      <c r="A104" s="174"/>
      <c r="B104" s="175"/>
      <c r="C104" s="176"/>
      <c r="D104" s="177"/>
      <c r="E104" s="178"/>
      <c r="F104" s="178"/>
      <c r="G104" s="177"/>
      <c r="H104" s="177"/>
      <c r="I104" s="186" t="s">
        <v>245</v>
      </c>
      <c r="J104" s="169" t="s">
        <v>110</v>
      </c>
      <c r="K104" s="226">
        <f>155000*2%</f>
        <v>3100</v>
      </c>
      <c r="L104" s="176"/>
      <c r="M104" s="183"/>
    </row>
    <row r="105" spans="1:14" s="134" customFormat="1" ht="23.25" customHeight="1" x14ac:dyDescent="0.2">
      <c r="A105" s="174"/>
      <c r="B105" s="175"/>
      <c r="C105" s="176"/>
      <c r="D105" s="177"/>
      <c r="E105" s="178"/>
      <c r="F105" s="178"/>
      <c r="G105" s="177"/>
      <c r="H105" s="177"/>
      <c r="I105" s="168" t="s">
        <v>246</v>
      </c>
      <c r="J105" s="185" t="s">
        <v>110</v>
      </c>
      <c r="K105" s="226">
        <f>155000*2%</f>
        <v>3100</v>
      </c>
      <c r="L105" s="176"/>
      <c r="M105" s="183"/>
    </row>
    <row r="106" spans="1:14" s="134" customFormat="1" ht="23.25" customHeight="1" x14ac:dyDescent="0.2">
      <c r="A106" s="174"/>
      <c r="B106" s="175"/>
      <c r="C106" s="176"/>
      <c r="D106" s="177"/>
      <c r="E106" s="178"/>
      <c r="F106" s="178"/>
      <c r="G106" s="177"/>
      <c r="H106" s="177"/>
      <c r="I106" s="179" t="s">
        <v>247</v>
      </c>
      <c r="J106" s="185" t="s">
        <v>126</v>
      </c>
      <c r="K106" s="226">
        <f>155000*2%</f>
        <v>3100</v>
      </c>
      <c r="L106" s="176"/>
      <c r="M106" s="183"/>
    </row>
    <row r="107" spans="1:14" s="134" customFormat="1" ht="23.25" customHeight="1" x14ac:dyDescent="0.2">
      <c r="A107" s="174"/>
      <c r="B107" s="175"/>
      <c r="C107" s="176"/>
      <c r="D107" s="177"/>
      <c r="E107" s="178"/>
      <c r="F107" s="178"/>
      <c r="G107" s="177"/>
      <c r="H107" s="177"/>
      <c r="I107" s="179" t="s">
        <v>248</v>
      </c>
      <c r="J107" s="180" t="s">
        <v>249</v>
      </c>
      <c r="K107" s="226">
        <f>155000*2%</f>
        <v>3100</v>
      </c>
      <c r="L107" s="176"/>
      <c r="M107" s="183"/>
      <c r="N107" s="214"/>
    </row>
    <row r="108" spans="1:14" s="134" customFormat="1" ht="23.25" customHeight="1" x14ac:dyDescent="0.2">
      <c r="A108" s="174"/>
      <c r="B108" s="175"/>
      <c r="C108" s="176"/>
      <c r="D108" s="177"/>
      <c r="E108" s="178"/>
      <c r="F108" s="178"/>
      <c r="G108" s="177"/>
      <c r="H108" s="177"/>
      <c r="I108" s="186" t="s">
        <v>250</v>
      </c>
      <c r="J108" s="180" t="s">
        <v>117</v>
      </c>
      <c r="K108" s="226">
        <f>155000*2%</f>
        <v>3100</v>
      </c>
      <c r="L108" s="176"/>
      <c r="M108" s="183"/>
    </row>
    <row r="109" spans="1:14" s="134" customFormat="1" ht="23.25" customHeight="1" x14ac:dyDescent="0.2">
      <c r="A109" s="187"/>
      <c r="B109" s="188"/>
      <c r="C109" s="189"/>
      <c r="D109" s="190"/>
      <c r="E109" s="191"/>
      <c r="F109" s="191"/>
      <c r="G109" s="190"/>
      <c r="H109" s="190"/>
      <c r="I109" s="192"/>
      <c r="J109" s="215"/>
      <c r="K109" s="204">
        <f>SUM(K97:K108)</f>
        <v>155000</v>
      </c>
      <c r="L109" s="189"/>
      <c r="M109" s="196"/>
    </row>
    <row r="110" spans="1:14" s="134" customFormat="1" ht="53.25" customHeight="1" x14ac:dyDescent="0.2">
      <c r="A110" s="228">
        <v>20</v>
      </c>
      <c r="B110" s="241" t="s">
        <v>251</v>
      </c>
      <c r="C110" s="242" t="s">
        <v>251</v>
      </c>
      <c r="D110" s="243" t="s">
        <v>107</v>
      </c>
      <c r="E110" s="244"/>
      <c r="F110" s="244"/>
      <c r="G110" s="243"/>
      <c r="H110" s="245"/>
      <c r="I110" s="192" t="s">
        <v>252</v>
      </c>
      <c r="J110" s="215" t="s">
        <v>253</v>
      </c>
      <c r="K110" s="246">
        <v>4900</v>
      </c>
      <c r="L110" s="247" t="s">
        <v>111</v>
      </c>
      <c r="M110" s="215" t="s">
        <v>254</v>
      </c>
      <c r="N110" s="214"/>
    </row>
    <row r="111" spans="1:14" s="134" customFormat="1" ht="49.5" customHeight="1" x14ac:dyDescent="0.2">
      <c r="A111" s="228">
        <v>21</v>
      </c>
      <c r="B111" s="241" t="s">
        <v>255</v>
      </c>
      <c r="C111" s="242" t="s">
        <v>255</v>
      </c>
      <c r="D111" s="243" t="s">
        <v>107</v>
      </c>
      <c r="E111" s="244"/>
      <c r="F111" s="244"/>
      <c r="G111" s="243"/>
      <c r="H111" s="245"/>
      <c r="I111" s="192" t="s">
        <v>256</v>
      </c>
      <c r="J111" s="215" t="s">
        <v>253</v>
      </c>
      <c r="K111" s="246">
        <v>10000</v>
      </c>
      <c r="L111" s="247" t="s">
        <v>111</v>
      </c>
      <c r="M111" s="215" t="s">
        <v>257</v>
      </c>
      <c r="N111" s="214"/>
    </row>
    <row r="112" spans="1:14" s="134" customFormat="1" ht="23.25" customHeight="1" x14ac:dyDescent="0.2">
      <c r="A112" s="163">
        <v>22</v>
      </c>
      <c r="B112" s="164" t="s">
        <v>258</v>
      </c>
      <c r="C112" s="165"/>
      <c r="D112" s="166" t="s">
        <v>107</v>
      </c>
      <c r="E112" s="167"/>
      <c r="F112" s="167"/>
      <c r="G112" s="166"/>
      <c r="H112" s="166" t="s">
        <v>162</v>
      </c>
      <c r="I112" s="217" t="s">
        <v>259</v>
      </c>
      <c r="J112" s="169" t="s">
        <v>260</v>
      </c>
      <c r="K112" s="170">
        <f>4700*80%</f>
        <v>3760</v>
      </c>
      <c r="L112" s="171" t="s">
        <v>111</v>
      </c>
      <c r="M112" s="172" t="s">
        <v>261</v>
      </c>
    </row>
    <row r="113" spans="1:13" s="134" customFormat="1" ht="23.25" customHeight="1" x14ac:dyDescent="0.2">
      <c r="A113" s="174"/>
      <c r="B113" s="175"/>
      <c r="C113" s="176"/>
      <c r="D113" s="177"/>
      <c r="E113" s="178"/>
      <c r="F113" s="178"/>
      <c r="G113" s="177"/>
      <c r="H113" s="177"/>
      <c r="I113" s="186" t="s">
        <v>262</v>
      </c>
      <c r="J113" s="185" t="s">
        <v>253</v>
      </c>
      <c r="K113" s="181">
        <f>4700*20%</f>
        <v>940</v>
      </c>
      <c r="L113" s="182"/>
      <c r="M113" s="183"/>
    </row>
    <row r="114" spans="1:13" s="134" customFormat="1" ht="23.25" customHeight="1" x14ac:dyDescent="0.2">
      <c r="A114" s="187"/>
      <c r="B114" s="188"/>
      <c r="C114" s="189"/>
      <c r="D114" s="190"/>
      <c r="E114" s="191"/>
      <c r="F114" s="191"/>
      <c r="G114" s="190"/>
      <c r="H114" s="190"/>
      <c r="I114" s="192"/>
      <c r="J114" s="193"/>
      <c r="K114" s="194">
        <f>SUM(K112:K113)</f>
        <v>4700</v>
      </c>
      <c r="L114" s="195"/>
      <c r="M114" s="196"/>
    </row>
    <row r="115" spans="1:13" s="134" customFormat="1" ht="23.25" customHeight="1" x14ac:dyDescent="0.2">
      <c r="A115" s="163">
        <v>23</v>
      </c>
      <c r="B115" s="164" t="s">
        <v>263</v>
      </c>
      <c r="C115" s="165"/>
      <c r="D115" s="166" t="s">
        <v>107</v>
      </c>
      <c r="E115" s="167"/>
      <c r="F115" s="167"/>
      <c r="G115" s="166"/>
      <c r="H115" s="166" t="s">
        <v>162</v>
      </c>
      <c r="I115" s="217" t="s">
        <v>264</v>
      </c>
      <c r="J115" s="169" t="s">
        <v>260</v>
      </c>
      <c r="K115" s="170">
        <f>4700*80%</f>
        <v>3760</v>
      </c>
      <c r="L115" s="165" t="s">
        <v>111</v>
      </c>
      <c r="M115" s="172" t="s">
        <v>265</v>
      </c>
    </row>
    <row r="116" spans="1:13" s="134" customFormat="1" ht="23.25" customHeight="1" x14ac:dyDescent="0.2">
      <c r="A116" s="174"/>
      <c r="B116" s="175"/>
      <c r="C116" s="176"/>
      <c r="D116" s="177"/>
      <c r="E116" s="178"/>
      <c r="F116" s="178"/>
      <c r="G116" s="177"/>
      <c r="H116" s="177"/>
      <c r="I116" s="168" t="s">
        <v>266</v>
      </c>
      <c r="J116" s="185" t="s">
        <v>117</v>
      </c>
      <c r="K116" s="199">
        <f>4700*20%</f>
        <v>940</v>
      </c>
      <c r="L116" s="176"/>
      <c r="M116" s="183"/>
    </row>
    <row r="117" spans="1:13" s="134" customFormat="1" ht="23.25" customHeight="1" x14ac:dyDescent="0.2">
      <c r="A117" s="187"/>
      <c r="B117" s="188"/>
      <c r="C117" s="189"/>
      <c r="D117" s="190"/>
      <c r="E117" s="191"/>
      <c r="F117" s="191"/>
      <c r="G117" s="190"/>
      <c r="H117" s="190"/>
      <c r="I117" s="202"/>
      <c r="J117" s="193"/>
      <c r="K117" s="210">
        <f>K115+K116</f>
        <v>4700</v>
      </c>
      <c r="L117" s="189"/>
      <c r="M117" s="196"/>
    </row>
    <row r="118" spans="1:13" s="134" customFormat="1" ht="71.25" customHeight="1" x14ac:dyDescent="0.2">
      <c r="A118" s="228">
        <v>24</v>
      </c>
      <c r="B118" s="241" t="s">
        <v>267</v>
      </c>
      <c r="C118" s="242" t="s">
        <v>267</v>
      </c>
      <c r="D118" s="243" t="s">
        <v>107</v>
      </c>
      <c r="E118" s="244"/>
      <c r="F118" s="244"/>
      <c r="G118" s="243"/>
      <c r="H118" s="245"/>
      <c r="I118" s="192" t="s">
        <v>268</v>
      </c>
      <c r="J118" s="215" t="s">
        <v>253</v>
      </c>
      <c r="K118" s="246">
        <v>4700</v>
      </c>
      <c r="L118" s="247" t="s">
        <v>111</v>
      </c>
      <c r="M118" s="215" t="s">
        <v>269</v>
      </c>
    </row>
    <row r="119" spans="1:13" s="134" customFormat="1" ht="72" customHeight="1" x14ac:dyDescent="0.2">
      <c r="A119" s="228">
        <v>25</v>
      </c>
      <c r="B119" s="241" t="s">
        <v>270</v>
      </c>
      <c r="C119" s="242" t="s">
        <v>270</v>
      </c>
      <c r="D119" s="243" t="s">
        <v>107</v>
      </c>
      <c r="E119" s="244"/>
      <c r="F119" s="244"/>
      <c r="G119" s="243"/>
      <c r="H119" s="245"/>
      <c r="I119" s="192" t="s">
        <v>271</v>
      </c>
      <c r="J119" s="215" t="s">
        <v>253</v>
      </c>
      <c r="K119" s="246">
        <v>5000</v>
      </c>
      <c r="L119" s="247" t="s">
        <v>111</v>
      </c>
      <c r="M119" s="215" t="s">
        <v>272</v>
      </c>
    </row>
    <row r="120" spans="1:13" s="134" customFormat="1" ht="23.25" customHeight="1" x14ac:dyDescent="0.2">
      <c r="A120" s="163">
        <v>26</v>
      </c>
      <c r="B120" s="164" t="s">
        <v>273</v>
      </c>
      <c r="C120" s="165"/>
      <c r="D120" s="166" t="s">
        <v>107</v>
      </c>
      <c r="E120" s="167"/>
      <c r="F120" s="167"/>
      <c r="G120" s="166"/>
      <c r="H120" s="166"/>
      <c r="I120" s="168" t="s">
        <v>274</v>
      </c>
      <c r="J120" s="197" t="s">
        <v>260</v>
      </c>
      <c r="K120" s="212">
        <f>10000*60%</f>
        <v>6000</v>
      </c>
      <c r="L120" s="165" t="s">
        <v>111</v>
      </c>
      <c r="M120" s="172" t="s">
        <v>275</v>
      </c>
    </row>
    <row r="121" spans="1:13" s="134" customFormat="1" ht="23.25" customHeight="1" x14ac:dyDescent="0.2">
      <c r="A121" s="174"/>
      <c r="B121" s="175"/>
      <c r="C121" s="176"/>
      <c r="D121" s="177"/>
      <c r="E121" s="178"/>
      <c r="F121" s="178"/>
      <c r="G121" s="177"/>
      <c r="H121" s="177"/>
      <c r="I121" s="179" t="s">
        <v>276</v>
      </c>
      <c r="J121" s="169" t="s">
        <v>260</v>
      </c>
      <c r="K121" s="201">
        <f>10000*10%</f>
        <v>1000</v>
      </c>
      <c r="L121" s="176"/>
      <c r="M121" s="183"/>
    </row>
    <row r="122" spans="1:13" s="134" customFormat="1" ht="23.25" customHeight="1" x14ac:dyDescent="0.2">
      <c r="A122" s="174"/>
      <c r="B122" s="175"/>
      <c r="C122" s="176"/>
      <c r="D122" s="177"/>
      <c r="E122" s="178"/>
      <c r="F122" s="178"/>
      <c r="G122" s="177"/>
      <c r="H122" s="177"/>
      <c r="I122" s="186" t="s">
        <v>277</v>
      </c>
      <c r="J122" s="185" t="s">
        <v>260</v>
      </c>
      <c r="K122" s="199">
        <f>10000*10%</f>
        <v>1000</v>
      </c>
      <c r="L122" s="176"/>
      <c r="M122" s="183"/>
    </row>
    <row r="123" spans="1:13" s="134" customFormat="1" ht="23.25" customHeight="1" x14ac:dyDescent="0.2">
      <c r="A123" s="174"/>
      <c r="B123" s="175"/>
      <c r="C123" s="176"/>
      <c r="D123" s="177"/>
      <c r="E123" s="178"/>
      <c r="F123" s="178"/>
      <c r="G123" s="177"/>
      <c r="H123" s="177"/>
      <c r="I123" s="168" t="s">
        <v>278</v>
      </c>
      <c r="J123" s="185" t="s">
        <v>260</v>
      </c>
      <c r="K123" s="199">
        <f>10000*10%</f>
        <v>1000</v>
      </c>
      <c r="L123" s="176"/>
      <c r="M123" s="183"/>
    </row>
    <row r="124" spans="1:13" s="134" customFormat="1" ht="23.25" customHeight="1" x14ac:dyDescent="0.2">
      <c r="A124" s="174"/>
      <c r="B124" s="175"/>
      <c r="C124" s="176"/>
      <c r="D124" s="177"/>
      <c r="E124" s="178"/>
      <c r="F124" s="178"/>
      <c r="G124" s="177"/>
      <c r="H124" s="177"/>
      <c r="I124" s="186" t="s">
        <v>279</v>
      </c>
      <c r="J124" s="185" t="s">
        <v>260</v>
      </c>
      <c r="K124" s="200">
        <f>10000*10%</f>
        <v>1000</v>
      </c>
      <c r="L124" s="176"/>
      <c r="M124" s="183"/>
    </row>
    <row r="125" spans="1:13" s="134" customFormat="1" ht="23.25" customHeight="1" x14ac:dyDescent="0.2">
      <c r="A125" s="187"/>
      <c r="B125" s="188"/>
      <c r="C125" s="189"/>
      <c r="D125" s="190"/>
      <c r="E125" s="191"/>
      <c r="F125" s="191"/>
      <c r="G125" s="190"/>
      <c r="H125" s="190"/>
      <c r="I125" s="192"/>
      <c r="J125" s="193"/>
      <c r="K125" s="208">
        <f>SUM(K120:K124)</f>
        <v>10000</v>
      </c>
      <c r="L125" s="189"/>
      <c r="M125" s="196"/>
    </row>
    <row r="126" spans="1:13" s="134" customFormat="1" ht="23.25" customHeight="1" x14ac:dyDescent="0.2">
      <c r="A126" s="163">
        <v>27</v>
      </c>
      <c r="B126" s="164" t="s">
        <v>280</v>
      </c>
      <c r="C126" s="165"/>
      <c r="D126" s="166" t="s">
        <v>107</v>
      </c>
      <c r="E126" s="167"/>
      <c r="F126" s="167"/>
      <c r="G126" s="166"/>
      <c r="H126" s="166" t="s">
        <v>137</v>
      </c>
      <c r="I126" s="168" t="s">
        <v>281</v>
      </c>
      <c r="J126" s="169" t="s">
        <v>260</v>
      </c>
      <c r="K126" s="170">
        <f>11000*60%</f>
        <v>6600</v>
      </c>
      <c r="L126" s="165" t="s">
        <v>111</v>
      </c>
      <c r="M126" s="172" t="s">
        <v>282</v>
      </c>
    </row>
    <row r="127" spans="1:13" s="134" customFormat="1" ht="23.25" customHeight="1" x14ac:dyDescent="0.2">
      <c r="A127" s="174"/>
      <c r="B127" s="175"/>
      <c r="C127" s="176"/>
      <c r="D127" s="177"/>
      <c r="E127" s="178"/>
      <c r="F127" s="178"/>
      <c r="G127" s="177"/>
      <c r="H127" s="177"/>
      <c r="I127" s="179" t="s">
        <v>283</v>
      </c>
      <c r="J127" s="185" t="s">
        <v>260</v>
      </c>
      <c r="K127" s="199">
        <f>11000*20%</f>
        <v>2200</v>
      </c>
      <c r="L127" s="176"/>
      <c r="M127" s="183"/>
    </row>
    <row r="128" spans="1:13" s="134" customFormat="1" ht="23.25" customHeight="1" x14ac:dyDescent="0.2">
      <c r="A128" s="174"/>
      <c r="B128" s="175"/>
      <c r="C128" s="176"/>
      <c r="D128" s="177"/>
      <c r="E128" s="178"/>
      <c r="F128" s="178"/>
      <c r="G128" s="177"/>
      <c r="H128" s="177"/>
      <c r="I128" s="179" t="s">
        <v>284</v>
      </c>
      <c r="J128" s="180" t="s">
        <v>260</v>
      </c>
      <c r="K128" s="199">
        <f>11000*20%</f>
        <v>2200</v>
      </c>
      <c r="L128" s="176"/>
      <c r="M128" s="183"/>
    </row>
    <row r="129" spans="1:13" s="134" customFormat="1" ht="23.25" customHeight="1" x14ac:dyDescent="0.2">
      <c r="A129" s="187"/>
      <c r="B129" s="188"/>
      <c r="C129" s="189"/>
      <c r="D129" s="190"/>
      <c r="E129" s="191"/>
      <c r="F129" s="191"/>
      <c r="G129" s="190"/>
      <c r="H129" s="190"/>
      <c r="I129" s="202"/>
      <c r="J129" s="215"/>
      <c r="K129" s="204">
        <f>SUM(K126:K128)</f>
        <v>11000</v>
      </c>
      <c r="L129" s="189"/>
      <c r="M129" s="196"/>
    </row>
    <row r="130" spans="1:13" s="134" customFormat="1" ht="23.25" customHeight="1" x14ac:dyDescent="0.2">
      <c r="A130" s="163">
        <v>28</v>
      </c>
      <c r="B130" s="164" t="s">
        <v>285</v>
      </c>
      <c r="C130" s="165"/>
      <c r="D130" s="166" t="s">
        <v>107</v>
      </c>
      <c r="E130" s="167"/>
      <c r="F130" s="167"/>
      <c r="G130" s="166"/>
      <c r="H130" s="166"/>
      <c r="I130" s="168" t="s">
        <v>286</v>
      </c>
      <c r="J130" s="169" t="s">
        <v>260</v>
      </c>
      <c r="K130" s="170">
        <f>15000*80%</f>
        <v>12000</v>
      </c>
      <c r="L130" s="171" t="s">
        <v>111</v>
      </c>
      <c r="M130" s="172" t="s">
        <v>287</v>
      </c>
    </row>
    <row r="131" spans="1:13" s="134" customFormat="1" ht="23.25" customHeight="1" x14ac:dyDescent="0.2">
      <c r="A131" s="174"/>
      <c r="B131" s="175"/>
      <c r="C131" s="176"/>
      <c r="D131" s="177"/>
      <c r="E131" s="178"/>
      <c r="F131" s="178"/>
      <c r="G131" s="177"/>
      <c r="H131" s="177"/>
      <c r="I131" s="186" t="s">
        <v>288</v>
      </c>
      <c r="J131" s="185" t="s">
        <v>243</v>
      </c>
      <c r="K131" s="181">
        <f>15000*10%</f>
        <v>1500</v>
      </c>
      <c r="L131" s="182"/>
      <c r="M131" s="183"/>
    </row>
    <row r="132" spans="1:13" s="134" customFormat="1" ht="23.25" customHeight="1" x14ac:dyDescent="0.2">
      <c r="A132" s="174"/>
      <c r="B132" s="175"/>
      <c r="C132" s="176"/>
      <c r="D132" s="177"/>
      <c r="E132" s="178"/>
      <c r="F132" s="178"/>
      <c r="G132" s="177"/>
      <c r="H132" s="177"/>
      <c r="I132" s="168" t="s">
        <v>289</v>
      </c>
      <c r="J132" s="180" t="s">
        <v>290</v>
      </c>
      <c r="K132" s="181">
        <f>15000*10%</f>
        <v>1500</v>
      </c>
      <c r="L132" s="182"/>
      <c r="M132" s="183"/>
    </row>
    <row r="133" spans="1:13" s="134" customFormat="1" ht="23.25" customHeight="1" x14ac:dyDescent="0.2">
      <c r="A133" s="187"/>
      <c r="B133" s="188"/>
      <c r="C133" s="189"/>
      <c r="D133" s="190"/>
      <c r="E133" s="191"/>
      <c r="F133" s="191"/>
      <c r="G133" s="190"/>
      <c r="H133" s="190"/>
      <c r="I133" s="202"/>
      <c r="J133" s="215"/>
      <c r="K133" s="216">
        <f>SUM(K130:K132)</f>
        <v>15000</v>
      </c>
      <c r="L133" s="195"/>
      <c r="M133" s="196"/>
    </row>
    <row r="134" spans="1:13" s="134" customFormat="1" ht="23.25" customHeight="1" x14ac:dyDescent="0.2">
      <c r="A134" s="163">
        <v>29</v>
      </c>
      <c r="B134" s="164" t="s">
        <v>291</v>
      </c>
      <c r="C134" s="165"/>
      <c r="D134" s="166" t="s">
        <v>107</v>
      </c>
      <c r="E134" s="167"/>
      <c r="F134" s="167"/>
      <c r="G134" s="166"/>
      <c r="H134" s="166" t="s">
        <v>162</v>
      </c>
      <c r="I134" s="217" t="s">
        <v>292</v>
      </c>
      <c r="J134" s="169" t="s">
        <v>260</v>
      </c>
      <c r="K134" s="170">
        <v>4700</v>
      </c>
      <c r="L134" s="171" t="s">
        <v>111</v>
      </c>
      <c r="M134" s="172" t="s">
        <v>293</v>
      </c>
    </row>
    <row r="135" spans="1:13" s="134" customFormat="1" ht="23.25" customHeight="1" x14ac:dyDescent="0.2">
      <c r="A135" s="174"/>
      <c r="B135" s="175"/>
      <c r="C135" s="176"/>
      <c r="D135" s="177"/>
      <c r="E135" s="178"/>
      <c r="F135" s="178"/>
      <c r="G135" s="177"/>
      <c r="H135" s="177"/>
      <c r="I135" s="186" t="s">
        <v>294</v>
      </c>
      <c r="J135" s="180" t="s">
        <v>253</v>
      </c>
      <c r="K135" s="181">
        <f>4700*20%</f>
        <v>940</v>
      </c>
      <c r="L135" s="182"/>
      <c r="M135" s="183"/>
    </row>
    <row r="136" spans="1:13" s="134" customFormat="1" ht="23.25" customHeight="1" x14ac:dyDescent="0.2">
      <c r="A136" s="187"/>
      <c r="B136" s="188"/>
      <c r="C136" s="189"/>
      <c r="D136" s="190"/>
      <c r="E136" s="191"/>
      <c r="F136" s="191"/>
      <c r="G136" s="190"/>
      <c r="H136" s="190"/>
      <c r="I136" s="192"/>
      <c r="J136" s="215"/>
      <c r="K136" s="216">
        <f>SUM(K134:K135)</f>
        <v>5640</v>
      </c>
      <c r="L136" s="195"/>
      <c r="M136" s="196"/>
    </row>
    <row r="137" spans="1:13" s="134" customFormat="1" ht="50.25" customHeight="1" x14ac:dyDescent="0.2">
      <c r="A137" s="228">
        <v>30</v>
      </c>
      <c r="B137" s="241" t="s">
        <v>295</v>
      </c>
      <c r="C137" s="242" t="s">
        <v>295</v>
      </c>
      <c r="D137" s="243" t="s">
        <v>107</v>
      </c>
      <c r="E137" s="244"/>
      <c r="F137" s="244"/>
      <c r="G137" s="243"/>
      <c r="H137" s="245"/>
      <c r="I137" s="192" t="s">
        <v>296</v>
      </c>
      <c r="J137" s="215" t="s">
        <v>253</v>
      </c>
      <c r="K137" s="246">
        <v>6050</v>
      </c>
      <c r="L137" s="247" t="s">
        <v>111</v>
      </c>
      <c r="M137" s="215" t="s">
        <v>297</v>
      </c>
    </row>
    <row r="138" spans="1:13" s="134" customFormat="1" ht="23.25" customHeight="1" x14ac:dyDescent="0.2">
      <c r="A138" s="163">
        <v>31</v>
      </c>
      <c r="B138" s="164" t="s">
        <v>298</v>
      </c>
      <c r="C138" s="165"/>
      <c r="D138" s="166" t="s">
        <v>107</v>
      </c>
      <c r="E138" s="167"/>
      <c r="F138" s="167"/>
      <c r="G138" s="166"/>
      <c r="H138" s="166" t="s">
        <v>162</v>
      </c>
      <c r="I138" s="217" t="s">
        <v>299</v>
      </c>
      <c r="J138" s="169" t="s">
        <v>260</v>
      </c>
      <c r="K138" s="170">
        <f>8000*60%</f>
        <v>4800</v>
      </c>
      <c r="L138" s="171" t="s">
        <v>111</v>
      </c>
      <c r="M138" s="172" t="s">
        <v>300</v>
      </c>
    </row>
    <row r="139" spans="1:13" s="134" customFormat="1" ht="23.25" customHeight="1" x14ac:dyDescent="0.2">
      <c r="A139" s="174"/>
      <c r="B139" s="175"/>
      <c r="C139" s="176"/>
      <c r="D139" s="177"/>
      <c r="E139" s="178"/>
      <c r="F139" s="178"/>
      <c r="G139" s="177"/>
      <c r="H139" s="177"/>
      <c r="I139" s="186" t="s">
        <v>301</v>
      </c>
      <c r="J139" s="185" t="s">
        <v>253</v>
      </c>
      <c r="K139" s="207">
        <f>8000*40%</f>
        <v>3200</v>
      </c>
      <c r="L139" s="182"/>
      <c r="M139" s="183"/>
    </row>
    <row r="140" spans="1:13" s="134" customFormat="1" ht="23.25" customHeight="1" x14ac:dyDescent="0.2">
      <c r="A140" s="187"/>
      <c r="B140" s="188"/>
      <c r="C140" s="189"/>
      <c r="D140" s="190"/>
      <c r="E140" s="191"/>
      <c r="F140" s="191"/>
      <c r="G140" s="190"/>
      <c r="H140" s="190"/>
      <c r="I140" s="192"/>
      <c r="J140" s="193"/>
      <c r="K140" s="208">
        <f>SUM(K138:K139)</f>
        <v>8000</v>
      </c>
      <c r="L140" s="195"/>
      <c r="M140" s="196"/>
    </row>
    <row r="141" spans="1:13" s="134" customFormat="1" ht="23.25" customHeight="1" x14ac:dyDescent="0.2">
      <c r="A141" s="163">
        <v>32</v>
      </c>
      <c r="B141" s="164" t="s">
        <v>302</v>
      </c>
      <c r="C141" s="165"/>
      <c r="D141" s="166" t="s">
        <v>107</v>
      </c>
      <c r="E141" s="167"/>
      <c r="F141" s="167"/>
      <c r="G141" s="166"/>
      <c r="H141" s="166" t="s">
        <v>162</v>
      </c>
      <c r="I141" s="168" t="s">
        <v>303</v>
      </c>
      <c r="J141" s="197" t="s">
        <v>253</v>
      </c>
      <c r="K141" s="170">
        <f>4900*50%</f>
        <v>2450</v>
      </c>
      <c r="L141" s="171" t="s">
        <v>111</v>
      </c>
      <c r="M141" s="172" t="s">
        <v>304</v>
      </c>
    </row>
    <row r="142" spans="1:13" s="134" customFormat="1" ht="23.25" customHeight="1" x14ac:dyDescent="0.2">
      <c r="A142" s="174"/>
      <c r="B142" s="175"/>
      <c r="C142" s="176"/>
      <c r="D142" s="177"/>
      <c r="E142" s="178"/>
      <c r="F142" s="178"/>
      <c r="G142" s="177"/>
      <c r="H142" s="177"/>
      <c r="I142" s="179" t="s">
        <v>305</v>
      </c>
      <c r="J142" s="169"/>
      <c r="K142" s="184">
        <f>4900*50%</f>
        <v>2450</v>
      </c>
      <c r="L142" s="182"/>
      <c r="M142" s="183"/>
    </row>
    <row r="143" spans="1:13" s="134" customFormat="1" ht="23.25" customHeight="1" x14ac:dyDescent="0.2">
      <c r="A143" s="187"/>
      <c r="B143" s="188"/>
      <c r="C143" s="189"/>
      <c r="D143" s="190"/>
      <c r="E143" s="191"/>
      <c r="F143" s="191"/>
      <c r="G143" s="190"/>
      <c r="H143" s="190"/>
      <c r="I143" s="202"/>
      <c r="J143" s="193"/>
      <c r="K143" s="194">
        <f>SUM(K141:K142)</f>
        <v>4900</v>
      </c>
      <c r="L143" s="195"/>
      <c r="M143" s="196"/>
    </row>
    <row r="144" spans="1:13" s="134" customFormat="1" ht="71.25" customHeight="1" x14ac:dyDescent="0.2">
      <c r="A144" s="228">
        <v>33</v>
      </c>
      <c r="B144" s="241" t="s">
        <v>306</v>
      </c>
      <c r="C144" s="242" t="s">
        <v>306</v>
      </c>
      <c r="D144" s="243" t="s">
        <v>107</v>
      </c>
      <c r="E144" s="244"/>
      <c r="F144" s="244"/>
      <c r="G144" s="243"/>
      <c r="H144" s="245"/>
      <c r="I144" s="192" t="s">
        <v>307</v>
      </c>
      <c r="J144" s="215" t="s">
        <v>253</v>
      </c>
      <c r="K144" s="246">
        <v>4700</v>
      </c>
      <c r="L144" s="247" t="s">
        <v>111</v>
      </c>
      <c r="M144" s="215" t="s">
        <v>308</v>
      </c>
    </row>
    <row r="145" spans="1:13" s="134" customFormat="1" ht="23.25" customHeight="1" x14ac:dyDescent="0.2">
      <c r="A145" s="163">
        <v>34</v>
      </c>
      <c r="B145" s="164" t="s">
        <v>309</v>
      </c>
      <c r="C145" s="165"/>
      <c r="D145" s="166" t="s">
        <v>107</v>
      </c>
      <c r="E145" s="167"/>
      <c r="F145" s="167"/>
      <c r="G145" s="166"/>
      <c r="H145" s="166"/>
      <c r="I145" s="217" t="s">
        <v>310</v>
      </c>
      <c r="J145" s="169" t="s">
        <v>311</v>
      </c>
      <c r="K145" s="170">
        <f>4000*40%</f>
        <v>1600</v>
      </c>
      <c r="L145" s="171" t="s">
        <v>111</v>
      </c>
      <c r="M145" s="172" t="s">
        <v>312</v>
      </c>
    </row>
    <row r="146" spans="1:13" s="134" customFormat="1" ht="23.25" customHeight="1" x14ac:dyDescent="0.2">
      <c r="A146" s="174"/>
      <c r="B146" s="175"/>
      <c r="C146" s="176"/>
      <c r="D146" s="177"/>
      <c r="E146" s="178"/>
      <c r="F146" s="178"/>
      <c r="G146" s="177"/>
      <c r="H146" s="177"/>
      <c r="I146" s="168" t="s">
        <v>313</v>
      </c>
      <c r="J146" s="185" t="s">
        <v>311</v>
      </c>
      <c r="K146" s="181">
        <f>4000*20%</f>
        <v>800</v>
      </c>
      <c r="L146" s="182"/>
      <c r="M146" s="183"/>
    </row>
    <row r="147" spans="1:13" s="134" customFormat="1" ht="23.25" customHeight="1" x14ac:dyDescent="0.2">
      <c r="A147" s="174"/>
      <c r="B147" s="175"/>
      <c r="C147" s="176"/>
      <c r="D147" s="177"/>
      <c r="E147" s="178"/>
      <c r="F147" s="178"/>
      <c r="G147" s="177"/>
      <c r="H147" s="177"/>
      <c r="I147" s="186" t="s">
        <v>314</v>
      </c>
      <c r="J147" s="185" t="s">
        <v>311</v>
      </c>
      <c r="K147" s="207">
        <f>4000*20%</f>
        <v>800</v>
      </c>
      <c r="L147" s="182"/>
      <c r="M147" s="183"/>
    </row>
    <row r="148" spans="1:13" s="134" customFormat="1" ht="23.25" customHeight="1" x14ac:dyDescent="0.2">
      <c r="A148" s="174"/>
      <c r="B148" s="175"/>
      <c r="C148" s="176"/>
      <c r="D148" s="177"/>
      <c r="E148" s="178"/>
      <c r="F148" s="178"/>
      <c r="G148" s="177"/>
      <c r="H148" s="177"/>
      <c r="I148" s="179" t="s">
        <v>315</v>
      </c>
      <c r="J148" s="185" t="s">
        <v>311</v>
      </c>
      <c r="K148" s="207">
        <f>4000*20%</f>
        <v>800</v>
      </c>
      <c r="L148" s="182"/>
      <c r="M148" s="183"/>
    </row>
    <row r="149" spans="1:13" s="134" customFormat="1" ht="23.25" customHeight="1" x14ac:dyDescent="0.2">
      <c r="A149" s="187"/>
      <c r="B149" s="188"/>
      <c r="C149" s="189"/>
      <c r="D149" s="190"/>
      <c r="E149" s="191"/>
      <c r="F149" s="191"/>
      <c r="G149" s="190"/>
      <c r="H149" s="190"/>
      <c r="I149" s="202"/>
      <c r="J149" s="193"/>
      <c r="K149" s="208">
        <f>SUM(K145:K148)</f>
        <v>4000</v>
      </c>
      <c r="L149" s="195"/>
      <c r="M149" s="196"/>
    </row>
    <row r="150" spans="1:13" s="134" customFormat="1" ht="23.25" customHeight="1" x14ac:dyDescent="0.2">
      <c r="A150" s="163">
        <v>35</v>
      </c>
      <c r="B150" s="164" t="s">
        <v>316</v>
      </c>
      <c r="C150" s="165"/>
      <c r="D150" s="166" t="s">
        <v>107</v>
      </c>
      <c r="E150" s="167"/>
      <c r="F150" s="167"/>
      <c r="G150" s="166"/>
      <c r="H150" s="166"/>
      <c r="I150" s="168" t="s">
        <v>310</v>
      </c>
      <c r="J150" s="169" t="s">
        <v>260</v>
      </c>
      <c r="K150" s="170">
        <f>19950*40%</f>
        <v>7980</v>
      </c>
      <c r="L150" s="165" t="s">
        <v>111</v>
      </c>
      <c r="M150" s="172" t="s">
        <v>317</v>
      </c>
    </row>
    <row r="151" spans="1:13" s="134" customFormat="1" ht="23.25" customHeight="1" x14ac:dyDescent="0.2">
      <c r="A151" s="174"/>
      <c r="B151" s="175"/>
      <c r="C151" s="176"/>
      <c r="D151" s="177"/>
      <c r="E151" s="178"/>
      <c r="F151" s="178"/>
      <c r="G151" s="177"/>
      <c r="H151" s="177"/>
      <c r="I151" s="186" t="s">
        <v>313</v>
      </c>
      <c r="J151" s="206" t="s">
        <v>260</v>
      </c>
      <c r="K151" s="198">
        <f>19950*20%</f>
        <v>3990</v>
      </c>
      <c r="L151" s="176"/>
      <c r="M151" s="183"/>
    </row>
    <row r="152" spans="1:13" s="134" customFormat="1" ht="23.25" customHeight="1" x14ac:dyDescent="0.2">
      <c r="A152" s="174"/>
      <c r="B152" s="175"/>
      <c r="C152" s="176"/>
      <c r="D152" s="177"/>
      <c r="E152" s="178"/>
      <c r="F152" s="178"/>
      <c r="G152" s="177"/>
      <c r="H152" s="177"/>
      <c r="I152" s="186" t="s">
        <v>314</v>
      </c>
      <c r="J152" s="180" t="s">
        <v>260</v>
      </c>
      <c r="K152" s="199">
        <f>19950*20%</f>
        <v>3990</v>
      </c>
      <c r="L152" s="176"/>
      <c r="M152" s="183"/>
    </row>
    <row r="153" spans="1:13" s="134" customFormat="1" ht="23.25" customHeight="1" x14ac:dyDescent="0.2">
      <c r="A153" s="174"/>
      <c r="B153" s="175"/>
      <c r="C153" s="176"/>
      <c r="D153" s="177"/>
      <c r="E153" s="178"/>
      <c r="F153" s="178"/>
      <c r="G153" s="177"/>
      <c r="H153" s="177"/>
      <c r="I153" s="168" t="s">
        <v>315</v>
      </c>
      <c r="J153" s="248" t="s">
        <v>260</v>
      </c>
      <c r="K153" s="200">
        <f>19950*20%</f>
        <v>3990</v>
      </c>
      <c r="L153" s="176"/>
      <c r="M153" s="183"/>
    </row>
    <row r="154" spans="1:13" s="134" customFormat="1" ht="23.25" customHeight="1" x14ac:dyDescent="0.2">
      <c r="A154" s="187"/>
      <c r="B154" s="188"/>
      <c r="C154" s="189"/>
      <c r="D154" s="190"/>
      <c r="E154" s="191"/>
      <c r="F154" s="191"/>
      <c r="G154" s="190"/>
      <c r="H154" s="190"/>
      <c r="I154" s="202"/>
      <c r="J154" s="215"/>
      <c r="K154" s="208">
        <f>SUM(K150:K153)</f>
        <v>19950</v>
      </c>
      <c r="L154" s="189"/>
      <c r="M154" s="196"/>
    </row>
    <row r="155" spans="1:13" s="134" customFormat="1" ht="23.25" customHeight="1" x14ac:dyDescent="0.2">
      <c r="A155" s="163">
        <v>36</v>
      </c>
      <c r="B155" s="164" t="s">
        <v>318</v>
      </c>
      <c r="C155" s="165"/>
      <c r="D155" s="166" t="s">
        <v>107</v>
      </c>
      <c r="E155" s="167"/>
      <c r="F155" s="167"/>
      <c r="G155" s="166"/>
      <c r="H155" s="166"/>
      <c r="I155" s="168" t="s">
        <v>319</v>
      </c>
      <c r="J155" s="169" t="s">
        <v>260</v>
      </c>
      <c r="K155" s="170">
        <f>7000*50%</f>
        <v>3500</v>
      </c>
      <c r="L155" s="171" t="s">
        <v>111</v>
      </c>
      <c r="M155" s="172" t="s">
        <v>320</v>
      </c>
    </row>
    <row r="156" spans="1:13" s="134" customFormat="1" ht="23.25" customHeight="1" x14ac:dyDescent="0.2">
      <c r="A156" s="174"/>
      <c r="B156" s="175"/>
      <c r="C156" s="176"/>
      <c r="D156" s="177"/>
      <c r="E156" s="178"/>
      <c r="F156" s="178"/>
      <c r="G156" s="177"/>
      <c r="H156" s="177"/>
      <c r="I156" s="186" t="s">
        <v>321</v>
      </c>
      <c r="J156" s="180" t="s">
        <v>253</v>
      </c>
      <c r="K156" s="207">
        <f>7000*50%</f>
        <v>3500</v>
      </c>
      <c r="L156" s="182"/>
      <c r="M156" s="183"/>
    </row>
    <row r="157" spans="1:13" s="134" customFormat="1" ht="23.25" customHeight="1" x14ac:dyDescent="0.2">
      <c r="A157" s="187"/>
      <c r="B157" s="188"/>
      <c r="C157" s="189"/>
      <c r="D157" s="190"/>
      <c r="E157" s="191"/>
      <c r="F157" s="191"/>
      <c r="G157" s="190"/>
      <c r="H157" s="190"/>
      <c r="I157" s="192"/>
      <c r="J157" s="215"/>
      <c r="K157" s="216">
        <f>SUM(K155:K156)</f>
        <v>7000</v>
      </c>
      <c r="L157" s="195"/>
      <c r="M157" s="196"/>
    </row>
    <row r="158" spans="1:13" s="134" customFormat="1" ht="23.25" customHeight="1" x14ac:dyDescent="0.2">
      <c r="A158" s="163">
        <v>37</v>
      </c>
      <c r="B158" s="164" t="s">
        <v>322</v>
      </c>
      <c r="C158" s="165"/>
      <c r="D158" s="166" t="s">
        <v>107</v>
      </c>
      <c r="E158" s="167"/>
      <c r="F158" s="167"/>
      <c r="G158" s="166"/>
      <c r="H158" s="166" t="s">
        <v>162</v>
      </c>
      <c r="I158" s="168" t="s">
        <v>323</v>
      </c>
      <c r="J158" s="169" t="s">
        <v>260</v>
      </c>
      <c r="K158" s="170">
        <f>4700*70%</f>
        <v>3290</v>
      </c>
      <c r="L158" s="165" t="s">
        <v>111</v>
      </c>
      <c r="M158" s="172" t="s">
        <v>324</v>
      </c>
    </row>
    <row r="159" spans="1:13" s="134" customFormat="1" ht="23.25" customHeight="1" x14ac:dyDescent="0.2">
      <c r="A159" s="174"/>
      <c r="B159" s="175"/>
      <c r="C159" s="176"/>
      <c r="D159" s="177"/>
      <c r="E159" s="178"/>
      <c r="F159" s="178"/>
      <c r="G159" s="177"/>
      <c r="H159" s="177"/>
      <c r="I159" s="179" t="s">
        <v>325</v>
      </c>
      <c r="J159" s="185" t="s">
        <v>253</v>
      </c>
      <c r="K159" s="200">
        <f>4700*30%</f>
        <v>1410</v>
      </c>
      <c r="L159" s="176"/>
      <c r="M159" s="183"/>
    </row>
    <row r="160" spans="1:13" s="134" customFormat="1" ht="23.25" customHeight="1" x14ac:dyDescent="0.2">
      <c r="A160" s="187"/>
      <c r="B160" s="188"/>
      <c r="C160" s="189"/>
      <c r="D160" s="190"/>
      <c r="E160" s="191"/>
      <c r="F160" s="191"/>
      <c r="G160" s="190"/>
      <c r="H160" s="190"/>
      <c r="I160" s="202"/>
      <c r="J160" s="193"/>
      <c r="K160" s="208">
        <f>SUM(K158:K159)</f>
        <v>4700</v>
      </c>
      <c r="L160" s="189"/>
      <c r="M160" s="196"/>
    </row>
    <row r="161" spans="1:13" s="134" customFormat="1" ht="23.25" customHeight="1" x14ac:dyDescent="0.2">
      <c r="A161" s="163">
        <v>38</v>
      </c>
      <c r="B161" s="164" t="s">
        <v>326</v>
      </c>
      <c r="C161" s="165"/>
      <c r="D161" s="166" t="s">
        <v>107</v>
      </c>
      <c r="E161" s="167"/>
      <c r="F161" s="167"/>
      <c r="G161" s="166"/>
      <c r="H161" s="166"/>
      <c r="I161" s="217" t="s">
        <v>327</v>
      </c>
      <c r="J161" s="197" t="s">
        <v>260</v>
      </c>
      <c r="K161" s="170">
        <f>4700*80%</f>
        <v>3760</v>
      </c>
      <c r="L161" s="165" t="s">
        <v>111</v>
      </c>
      <c r="M161" s="172" t="s">
        <v>328</v>
      </c>
    </row>
    <row r="162" spans="1:13" s="134" customFormat="1" ht="23.25" customHeight="1" x14ac:dyDescent="0.2">
      <c r="A162" s="174"/>
      <c r="B162" s="175"/>
      <c r="C162" s="176"/>
      <c r="D162" s="177"/>
      <c r="E162" s="178"/>
      <c r="F162" s="178"/>
      <c r="G162" s="177"/>
      <c r="H162" s="177"/>
      <c r="I162" s="186" t="s">
        <v>329</v>
      </c>
      <c r="J162" s="169" t="s">
        <v>110</v>
      </c>
      <c r="K162" s="198">
        <f>4700*10%</f>
        <v>470</v>
      </c>
      <c r="L162" s="176"/>
      <c r="M162" s="183"/>
    </row>
    <row r="163" spans="1:13" s="134" customFormat="1" ht="23.25" customHeight="1" x14ac:dyDescent="0.2">
      <c r="A163" s="174"/>
      <c r="B163" s="175"/>
      <c r="C163" s="176"/>
      <c r="D163" s="177"/>
      <c r="E163" s="178"/>
      <c r="F163" s="178"/>
      <c r="G163" s="177"/>
      <c r="H163" s="177"/>
      <c r="I163" s="168" t="s">
        <v>330</v>
      </c>
      <c r="J163" s="180" t="s">
        <v>253</v>
      </c>
      <c r="K163" s="200">
        <f>4700*10%</f>
        <v>470</v>
      </c>
      <c r="L163" s="176"/>
      <c r="M163" s="183"/>
    </row>
    <row r="164" spans="1:13" s="134" customFormat="1" ht="23.25" customHeight="1" x14ac:dyDescent="0.2">
      <c r="A164" s="187"/>
      <c r="B164" s="188"/>
      <c r="C164" s="189"/>
      <c r="D164" s="190"/>
      <c r="E164" s="191"/>
      <c r="F164" s="191"/>
      <c r="G164" s="190"/>
      <c r="H164" s="190"/>
      <c r="I164" s="202"/>
      <c r="J164" s="193"/>
      <c r="K164" s="208"/>
      <c r="L164" s="189"/>
      <c r="M164" s="196"/>
    </row>
    <row r="165" spans="1:13" s="134" customFormat="1" ht="69.75" customHeight="1" x14ac:dyDescent="0.2">
      <c r="A165" s="228">
        <v>39</v>
      </c>
      <c r="B165" s="241" t="s">
        <v>331</v>
      </c>
      <c r="C165" s="242" t="s">
        <v>331</v>
      </c>
      <c r="D165" s="243" t="s">
        <v>107</v>
      </c>
      <c r="E165" s="244"/>
      <c r="F165" s="244"/>
      <c r="G165" s="243"/>
      <c r="H165" s="245"/>
      <c r="I165" s="192" t="s">
        <v>332</v>
      </c>
      <c r="J165" s="215" t="s">
        <v>253</v>
      </c>
      <c r="K165" s="246">
        <v>4700</v>
      </c>
      <c r="L165" s="247" t="s">
        <v>111</v>
      </c>
      <c r="M165" s="215" t="s">
        <v>333</v>
      </c>
    </row>
    <row r="166" spans="1:13" s="134" customFormat="1" ht="23.25" customHeight="1" x14ac:dyDescent="0.2">
      <c r="A166" s="163">
        <v>40</v>
      </c>
      <c r="B166" s="164" t="s">
        <v>334</v>
      </c>
      <c r="C166" s="165"/>
      <c r="D166" s="166" t="s">
        <v>107</v>
      </c>
      <c r="E166" s="167"/>
      <c r="F166" s="167"/>
      <c r="G166" s="166"/>
      <c r="H166" s="166"/>
      <c r="I166" s="168" t="s">
        <v>335</v>
      </c>
      <c r="J166" s="197" t="s">
        <v>260</v>
      </c>
      <c r="K166" s="170">
        <f>4900*80%</f>
        <v>3920</v>
      </c>
      <c r="L166" s="165" t="s">
        <v>111</v>
      </c>
      <c r="M166" s="172" t="s">
        <v>336</v>
      </c>
    </row>
    <row r="167" spans="1:13" s="134" customFormat="1" ht="23.25" customHeight="1" x14ac:dyDescent="0.2">
      <c r="A167" s="174"/>
      <c r="B167" s="175"/>
      <c r="C167" s="176"/>
      <c r="D167" s="177"/>
      <c r="E167" s="178"/>
      <c r="F167" s="178"/>
      <c r="G167" s="177"/>
      <c r="H167" s="177"/>
      <c r="I167" s="179" t="s">
        <v>337</v>
      </c>
      <c r="J167" s="169" t="s">
        <v>260</v>
      </c>
      <c r="K167" s="198">
        <f>4900*10%</f>
        <v>490</v>
      </c>
      <c r="L167" s="176"/>
      <c r="M167" s="183"/>
    </row>
    <row r="168" spans="1:13" s="134" customFormat="1" ht="23.25" customHeight="1" x14ac:dyDescent="0.2">
      <c r="A168" s="174"/>
      <c r="B168" s="175"/>
      <c r="C168" s="176"/>
      <c r="D168" s="177"/>
      <c r="E168" s="178"/>
      <c r="F168" s="178"/>
      <c r="G168" s="177"/>
      <c r="H168" s="177"/>
      <c r="I168" s="186" t="s">
        <v>338</v>
      </c>
      <c r="J168" s="185" t="s">
        <v>253</v>
      </c>
      <c r="K168" s="199">
        <f>4900*10%</f>
        <v>490</v>
      </c>
      <c r="L168" s="176"/>
      <c r="M168" s="183"/>
    </row>
    <row r="169" spans="1:13" s="134" customFormat="1" ht="23.25" customHeight="1" x14ac:dyDescent="0.2">
      <c r="A169" s="187"/>
      <c r="B169" s="188"/>
      <c r="C169" s="189"/>
      <c r="D169" s="190"/>
      <c r="E169" s="191"/>
      <c r="F169" s="191"/>
      <c r="G169" s="190"/>
      <c r="H169" s="190"/>
      <c r="I169" s="192"/>
      <c r="J169" s="193"/>
      <c r="K169" s="210">
        <f>SUM(K166:K168)</f>
        <v>4900</v>
      </c>
      <c r="L169" s="189"/>
      <c r="M169" s="196"/>
    </row>
    <row r="170" spans="1:13" s="134" customFormat="1" ht="76.5" customHeight="1" x14ac:dyDescent="0.2">
      <c r="A170" s="228">
        <v>41</v>
      </c>
      <c r="B170" s="241" t="s">
        <v>339</v>
      </c>
      <c r="C170" s="242" t="s">
        <v>339</v>
      </c>
      <c r="D170" s="243" t="s">
        <v>107</v>
      </c>
      <c r="E170" s="244"/>
      <c r="F170" s="244"/>
      <c r="G170" s="243"/>
      <c r="H170" s="245"/>
      <c r="I170" s="192" t="s">
        <v>340</v>
      </c>
      <c r="J170" s="215" t="s">
        <v>253</v>
      </c>
      <c r="K170" s="246">
        <v>4700</v>
      </c>
      <c r="L170" s="247" t="s">
        <v>111</v>
      </c>
      <c r="M170" s="215" t="s">
        <v>341</v>
      </c>
    </row>
    <row r="171" spans="1:13" s="134" customFormat="1" ht="65.25" customHeight="1" x14ac:dyDescent="0.2">
      <c r="A171" s="228">
        <v>42</v>
      </c>
      <c r="B171" s="241" t="s">
        <v>342</v>
      </c>
      <c r="C171" s="242" t="s">
        <v>342</v>
      </c>
      <c r="D171" s="243" t="s">
        <v>107</v>
      </c>
      <c r="E171" s="244"/>
      <c r="F171" s="244"/>
      <c r="G171" s="243"/>
      <c r="H171" s="245"/>
      <c r="I171" s="192" t="s">
        <v>343</v>
      </c>
      <c r="J171" s="215" t="s">
        <v>253</v>
      </c>
      <c r="K171" s="246">
        <v>4700</v>
      </c>
      <c r="L171" s="247" t="s">
        <v>111</v>
      </c>
      <c r="M171" s="215" t="s">
        <v>344</v>
      </c>
    </row>
    <row r="172" spans="1:13" s="134" customFormat="1" ht="23.25" customHeight="1" x14ac:dyDescent="0.2">
      <c r="A172" s="163">
        <v>43</v>
      </c>
      <c r="B172" s="164" t="s">
        <v>345</v>
      </c>
      <c r="C172" s="165"/>
      <c r="D172" s="166" t="s">
        <v>107</v>
      </c>
      <c r="E172" s="167"/>
      <c r="F172" s="167"/>
      <c r="G172" s="166"/>
      <c r="H172" s="166" t="s">
        <v>137</v>
      </c>
      <c r="I172" s="168" t="s">
        <v>346</v>
      </c>
      <c r="J172" s="197" t="s">
        <v>243</v>
      </c>
      <c r="K172" s="249">
        <f>K175*90%</f>
        <v>3600</v>
      </c>
      <c r="L172" s="165" t="s">
        <v>111</v>
      </c>
      <c r="M172" s="172" t="s">
        <v>347</v>
      </c>
    </row>
    <row r="173" spans="1:13" s="134" customFormat="1" ht="23.25" customHeight="1" x14ac:dyDescent="0.2">
      <c r="A173" s="174"/>
      <c r="B173" s="175"/>
      <c r="C173" s="176"/>
      <c r="D173" s="177"/>
      <c r="E173" s="178"/>
      <c r="F173" s="178"/>
      <c r="G173" s="177"/>
      <c r="H173" s="177"/>
      <c r="I173" s="186" t="s">
        <v>178</v>
      </c>
      <c r="J173" s="169" t="s">
        <v>243</v>
      </c>
      <c r="K173" s="198">
        <f>K175*5%</f>
        <v>200</v>
      </c>
      <c r="L173" s="176"/>
      <c r="M173" s="183"/>
    </row>
    <row r="174" spans="1:13" s="134" customFormat="1" ht="23.25" customHeight="1" x14ac:dyDescent="0.2">
      <c r="A174" s="174"/>
      <c r="B174" s="175"/>
      <c r="C174" s="176"/>
      <c r="D174" s="177"/>
      <c r="E174" s="178"/>
      <c r="F174" s="178"/>
      <c r="G174" s="177"/>
      <c r="H174" s="177"/>
      <c r="I174" s="168" t="s">
        <v>348</v>
      </c>
      <c r="J174" s="185" t="s">
        <v>290</v>
      </c>
      <c r="K174" s="200">
        <f>K175*5%</f>
        <v>200</v>
      </c>
      <c r="L174" s="176"/>
      <c r="M174" s="183"/>
    </row>
    <row r="175" spans="1:13" s="134" customFormat="1" ht="23.25" customHeight="1" x14ac:dyDescent="0.2">
      <c r="A175" s="187"/>
      <c r="B175" s="188"/>
      <c r="C175" s="189"/>
      <c r="D175" s="190"/>
      <c r="E175" s="191"/>
      <c r="F175" s="191"/>
      <c r="G175" s="190"/>
      <c r="H175" s="190"/>
      <c r="I175" s="202"/>
      <c r="J175" s="193"/>
      <c r="K175" s="210">
        <v>4000</v>
      </c>
      <c r="L175" s="189"/>
      <c r="M175" s="196"/>
    </row>
    <row r="176" spans="1:13" s="134" customFormat="1" ht="23.25" customHeight="1" x14ac:dyDescent="0.2">
      <c r="A176" s="163">
        <v>44</v>
      </c>
      <c r="B176" s="164" t="s">
        <v>349</v>
      </c>
      <c r="C176" s="165"/>
      <c r="D176" s="166" t="s">
        <v>107</v>
      </c>
      <c r="E176" s="167"/>
      <c r="F176" s="167"/>
      <c r="G176" s="166"/>
      <c r="H176" s="166"/>
      <c r="I176" s="168" t="s">
        <v>350</v>
      </c>
      <c r="J176" s="197" t="s">
        <v>243</v>
      </c>
      <c r="K176" s="170">
        <f>4000*70%</f>
        <v>2800</v>
      </c>
      <c r="L176" s="171" t="s">
        <v>111</v>
      </c>
      <c r="M176" s="172" t="s">
        <v>351</v>
      </c>
    </row>
    <row r="177" spans="1:47" s="134" customFormat="1" ht="23.25" customHeight="1" x14ac:dyDescent="0.2">
      <c r="A177" s="174"/>
      <c r="B177" s="175"/>
      <c r="C177" s="176"/>
      <c r="D177" s="177"/>
      <c r="E177" s="178"/>
      <c r="F177" s="178"/>
      <c r="G177" s="177"/>
      <c r="H177" s="177"/>
      <c r="I177" s="179" t="s">
        <v>352</v>
      </c>
      <c r="J177" s="169" t="s">
        <v>243</v>
      </c>
      <c r="K177" s="226">
        <f>4000*10%</f>
        <v>400</v>
      </c>
      <c r="L177" s="182"/>
      <c r="M177" s="183"/>
    </row>
    <row r="178" spans="1:47" s="134" customFormat="1" ht="23.25" customHeight="1" x14ac:dyDescent="0.2">
      <c r="A178" s="174"/>
      <c r="B178" s="175"/>
      <c r="C178" s="176"/>
      <c r="D178" s="177"/>
      <c r="E178" s="178"/>
      <c r="F178" s="178"/>
      <c r="G178" s="177"/>
      <c r="H178" s="177"/>
      <c r="I178" s="179" t="s">
        <v>353</v>
      </c>
      <c r="J178" s="185" t="s">
        <v>243</v>
      </c>
      <c r="K178" s="201">
        <f>4000*10%</f>
        <v>400</v>
      </c>
      <c r="L178" s="182"/>
      <c r="M178" s="183"/>
    </row>
    <row r="179" spans="1:47" s="134" customFormat="1" ht="23.25" customHeight="1" x14ac:dyDescent="0.2">
      <c r="A179" s="174"/>
      <c r="B179" s="175"/>
      <c r="C179" s="176"/>
      <c r="D179" s="177"/>
      <c r="E179" s="178"/>
      <c r="F179" s="178"/>
      <c r="G179" s="177"/>
      <c r="H179" s="177"/>
      <c r="I179" s="186" t="s">
        <v>354</v>
      </c>
      <c r="J179" s="180" t="s">
        <v>290</v>
      </c>
      <c r="K179" s="207">
        <f>4000*10%</f>
        <v>400</v>
      </c>
      <c r="L179" s="182"/>
      <c r="M179" s="183"/>
    </row>
    <row r="180" spans="1:47" s="134" customFormat="1" ht="23.25" customHeight="1" x14ac:dyDescent="0.2">
      <c r="A180" s="187"/>
      <c r="B180" s="188"/>
      <c r="C180" s="189"/>
      <c r="D180" s="190"/>
      <c r="E180" s="191"/>
      <c r="F180" s="191"/>
      <c r="G180" s="190"/>
      <c r="H180" s="190"/>
      <c r="I180" s="192"/>
      <c r="J180" s="193"/>
      <c r="K180" s="208">
        <f>SUM(K176:K179)</f>
        <v>4000</v>
      </c>
      <c r="L180" s="195"/>
      <c r="M180" s="196"/>
    </row>
    <row r="181" spans="1:47" ht="24" customHeight="1" x14ac:dyDescent="0.2">
      <c r="A181" s="163">
        <v>45</v>
      </c>
      <c r="B181" s="164" t="s">
        <v>355</v>
      </c>
      <c r="C181" s="165"/>
      <c r="D181" s="166" t="s">
        <v>107</v>
      </c>
      <c r="E181" s="167"/>
      <c r="F181" s="167"/>
      <c r="G181" s="166"/>
      <c r="H181" s="166"/>
      <c r="I181" s="168" t="s">
        <v>356</v>
      </c>
      <c r="J181" s="169" t="s">
        <v>290</v>
      </c>
      <c r="K181" s="170">
        <f>4800*60%</f>
        <v>2880</v>
      </c>
      <c r="L181" s="165" t="s">
        <v>111</v>
      </c>
      <c r="M181" s="172" t="s">
        <v>357</v>
      </c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</row>
    <row r="182" spans="1:47" x14ac:dyDescent="0.2">
      <c r="A182" s="174"/>
      <c r="B182" s="175"/>
      <c r="C182" s="176"/>
      <c r="D182" s="177"/>
      <c r="E182" s="178"/>
      <c r="F182" s="178"/>
      <c r="G182" s="177"/>
      <c r="H182" s="177"/>
      <c r="I182" s="186" t="s">
        <v>358</v>
      </c>
      <c r="J182" s="180" t="s">
        <v>290</v>
      </c>
      <c r="K182" s="181">
        <f>4800*40%</f>
        <v>1920</v>
      </c>
      <c r="L182" s="176"/>
      <c r="M182" s="183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</row>
    <row r="183" spans="1:47" x14ac:dyDescent="0.2">
      <c r="A183" s="187"/>
      <c r="B183" s="188"/>
      <c r="C183" s="189"/>
      <c r="D183" s="190"/>
      <c r="E183" s="191"/>
      <c r="F183" s="191"/>
      <c r="G183" s="190"/>
      <c r="H183" s="190"/>
      <c r="I183" s="202"/>
      <c r="J183" s="215"/>
      <c r="K183" s="204">
        <f>SUM(K181:K182)</f>
        <v>4800</v>
      </c>
      <c r="L183" s="189"/>
      <c r="M183" s="196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</row>
    <row r="184" spans="1:47" ht="24" customHeight="1" x14ac:dyDescent="0.2">
      <c r="A184" s="163">
        <v>46</v>
      </c>
      <c r="B184" s="164" t="s">
        <v>359</v>
      </c>
      <c r="C184" s="165"/>
      <c r="D184" s="166" t="s">
        <v>107</v>
      </c>
      <c r="E184" s="167"/>
      <c r="F184" s="167"/>
      <c r="G184" s="166"/>
      <c r="H184" s="166"/>
      <c r="I184" s="168" t="s">
        <v>356</v>
      </c>
      <c r="J184" s="169" t="s">
        <v>290</v>
      </c>
      <c r="K184" s="170">
        <f>4800*60%</f>
        <v>2880</v>
      </c>
      <c r="L184" s="165" t="s">
        <v>111</v>
      </c>
      <c r="M184" s="172" t="s">
        <v>360</v>
      </c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</row>
    <row r="185" spans="1:47" x14ac:dyDescent="0.2">
      <c r="A185" s="174"/>
      <c r="B185" s="175"/>
      <c r="C185" s="176"/>
      <c r="D185" s="177"/>
      <c r="E185" s="178"/>
      <c r="F185" s="178"/>
      <c r="G185" s="177"/>
      <c r="H185" s="177"/>
      <c r="I185" s="186" t="s">
        <v>358</v>
      </c>
      <c r="J185" s="185" t="s">
        <v>290</v>
      </c>
      <c r="K185" s="199">
        <f>4800*40%</f>
        <v>1920</v>
      </c>
      <c r="L185" s="176"/>
      <c r="M185" s="183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</row>
    <row r="186" spans="1:47" x14ac:dyDescent="0.2">
      <c r="A186" s="187"/>
      <c r="B186" s="188"/>
      <c r="C186" s="189"/>
      <c r="D186" s="190"/>
      <c r="E186" s="191"/>
      <c r="F186" s="191"/>
      <c r="G186" s="190"/>
      <c r="H186" s="190"/>
      <c r="I186" s="192"/>
      <c r="J186" s="193"/>
      <c r="K186" s="210">
        <f>SUM(K184:K185)</f>
        <v>4800</v>
      </c>
      <c r="L186" s="189"/>
      <c r="M186" s="196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</row>
    <row r="187" spans="1:47" ht="50.25" customHeight="1" x14ac:dyDescent="0.2">
      <c r="A187" s="250">
        <v>47</v>
      </c>
      <c r="B187" s="164" t="s">
        <v>361</v>
      </c>
      <c r="C187" s="165"/>
      <c r="D187" s="251" t="s">
        <v>107</v>
      </c>
      <c r="E187" s="252"/>
      <c r="F187" s="252"/>
      <c r="G187" s="251"/>
      <c r="H187" s="251"/>
      <c r="I187" s="168" t="s">
        <v>362</v>
      </c>
      <c r="J187" s="253" t="s">
        <v>290</v>
      </c>
      <c r="K187" s="170">
        <v>4800</v>
      </c>
      <c r="L187" s="254" t="s">
        <v>111</v>
      </c>
      <c r="M187" s="247" t="s">
        <v>363</v>
      </c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</row>
    <row r="188" spans="1:47" ht="23.25" customHeight="1" x14ac:dyDescent="0.2">
      <c r="A188" s="163">
        <v>48</v>
      </c>
      <c r="B188" s="164" t="s">
        <v>364</v>
      </c>
      <c r="C188" s="165"/>
      <c r="D188" s="166" t="s">
        <v>107</v>
      </c>
      <c r="E188" s="167"/>
      <c r="F188" s="167"/>
      <c r="G188" s="166"/>
      <c r="H188" s="166"/>
      <c r="I188" s="217" t="s">
        <v>365</v>
      </c>
      <c r="J188" s="197" t="s">
        <v>243</v>
      </c>
      <c r="K188" s="170">
        <f>5000*40%</f>
        <v>2000</v>
      </c>
      <c r="L188" s="171" t="s">
        <v>111</v>
      </c>
      <c r="M188" s="172" t="s">
        <v>366</v>
      </c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</row>
    <row r="189" spans="1:47" x14ac:dyDescent="0.2">
      <c r="A189" s="174"/>
      <c r="B189" s="175"/>
      <c r="C189" s="176"/>
      <c r="D189" s="177"/>
      <c r="E189" s="178"/>
      <c r="F189" s="178"/>
      <c r="G189" s="177"/>
      <c r="H189" s="177"/>
      <c r="I189" s="186" t="s">
        <v>367</v>
      </c>
      <c r="J189" s="206" t="s">
        <v>290</v>
      </c>
      <c r="K189" s="184">
        <f>5000*20%</f>
        <v>1000</v>
      </c>
      <c r="L189" s="182"/>
      <c r="M189" s="183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</row>
    <row r="190" spans="1:47" x14ac:dyDescent="0.2">
      <c r="A190" s="174"/>
      <c r="B190" s="175"/>
      <c r="C190" s="176"/>
      <c r="D190" s="177"/>
      <c r="E190" s="178"/>
      <c r="F190" s="178"/>
      <c r="G190" s="177"/>
      <c r="H190" s="177"/>
      <c r="I190" s="186" t="s">
        <v>368</v>
      </c>
      <c r="J190" s="206" t="s">
        <v>290</v>
      </c>
      <c r="K190" s="184">
        <f>5000*20%</f>
        <v>1000</v>
      </c>
      <c r="L190" s="182"/>
      <c r="M190" s="183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</row>
    <row r="191" spans="1:47" x14ac:dyDescent="0.2">
      <c r="A191" s="174"/>
      <c r="B191" s="175"/>
      <c r="C191" s="176"/>
      <c r="D191" s="177"/>
      <c r="E191" s="178"/>
      <c r="F191" s="178"/>
      <c r="G191" s="177"/>
      <c r="H191" s="177"/>
      <c r="I191" s="255" t="s">
        <v>369</v>
      </c>
      <c r="J191" s="206" t="s">
        <v>290</v>
      </c>
      <c r="K191" s="184">
        <f>5000*10%</f>
        <v>500</v>
      </c>
      <c r="L191" s="182"/>
      <c r="M191" s="183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</row>
    <row r="192" spans="1:47" x14ac:dyDescent="0.2">
      <c r="A192" s="174"/>
      <c r="B192" s="175"/>
      <c r="C192" s="176"/>
      <c r="D192" s="177"/>
      <c r="E192" s="178"/>
      <c r="F192" s="178"/>
      <c r="G192" s="177"/>
      <c r="H192" s="177"/>
      <c r="I192" s="256" t="s">
        <v>370</v>
      </c>
      <c r="J192" s="169" t="s">
        <v>290</v>
      </c>
      <c r="K192" s="184">
        <f>5000*10%</f>
        <v>500</v>
      </c>
      <c r="L192" s="182"/>
      <c r="M192" s="183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</row>
    <row r="193" spans="1:47" x14ac:dyDescent="0.2">
      <c r="A193" s="187"/>
      <c r="B193" s="188"/>
      <c r="C193" s="189"/>
      <c r="D193" s="190"/>
      <c r="E193" s="191"/>
      <c r="F193" s="191"/>
      <c r="G193" s="190"/>
      <c r="H193" s="190"/>
      <c r="I193" s="202"/>
      <c r="J193" s="193"/>
      <c r="K193" s="208">
        <f>SUM(K188:K192)</f>
        <v>5000</v>
      </c>
      <c r="L193" s="195"/>
      <c r="M193" s="196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</row>
    <row r="194" spans="1:47" ht="22.5" customHeight="1" x14ac:dyDescent="0.2">
      <c r="A194" s="257">
        <v>49</v>
      </c>
      <c r="B194" s="164" t="s">
        <v>371</v>
      </c>
      <c r="C194" s="165"/>
      <c r="D194" s="166" t="s">
        <v>107</v>
      </c>
      <c r="E194" s="167"/>
      <c r="F194" s="167"/>
      <c r="G194" s="166"/>
      <c r="H194" s="166"/>
      <c r="I194" s="217" t="s">
        <v>372</v>
      </c>
      <c r="J194" s="169" t="s">
        <v>290</v>
      </c>
      <c r="K194" s="170">
        <f>6300*20%</f>
        <v>1260</v>
      </c>
      <c r="L194" s="171" t="s">
        <v>111</v>
      </c>
      <c r="M194" s="172" t="s">
        <v>373</v>
      </c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</row>
    <row r="195" spans="1:47" x14ac:dyDescent="0.2">
      <c r="A195" s="258"/>
      <c r="B195" s="175"/>
      <c r="C195" s="176"/>
      <c r="D195" s="177"/>
      <c r="E195" s="178"/>
      <c r="F195" s="178"/>
      <c r="G195" s="177"/>
      <c r="H195" s="177"/>
      <c r="I195" s="168" t="s">
        <v>374</v>
      </c>
      <c r="J195" s="180" t="s">
        <v>290</v>
      </c>
      <c r="K195" s="181">
        <f>6300*15%</f>
        <v>945</v>
      </c>
      <c r="L195" s="182"/>
      <c r="M195" s="183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</row>
    <row r="196" spans="1:47" x14ac:dyDescent="0.2">
      <c r="A196" s="258"/>
      <c r="B196" s="175"/>
      <c r="C196" s="176"/>
      <c r="D196" s="177"/>
      <c r="E196" s="178"/>
      <c r="F196" s="178"/>
      <c r="G196" s="177"/>
      <c r="H196" s="177"/>
      <c r="I196" s="186" t="s">
        <v>375</v>
      </c>
      <c r="J196" s="180" t="s">
        <v>290</v>
      </c>
      <c r="K196" s="207">
        <f>6300*15%</f>
        <v>945</v>
      </c>
      <c r="L196" s="182"/>
      <c r="M196" s="183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</row>
    <row r="197" spans="1:47" x14ac:dyDescent="0.2">
      <c r="A197" s="258"/>
      <c r="B197" s="175"/>
      <c r="C197" s="176"/>
      <c r="D197" s="177"/>
      <c r="E197" s="178"/>
      <c r="F197" s="178"/>
      <c r="G197" s="177"/>
      <c r="H197" s="177"/>
      <c r="I197" s="168" t="s">
        <v>376</v>
      </c>
      <c r="J197" s="248" t="s">
        <v>290</v>
      </c>
      <c r="K197" s="201">
        <f>6300*50%</f>
        <v>3150</v>
      </c>
      <c r="L197" s="182"/>
      <c r="M197" s="183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</row>
    <row r="198" spans="1:47" x14ac:dyDescent="0.2">
      <c r="A198" s="259"/>
      <c r="B198" s="188"/>
      <c r="C198" s="189"/>
      <c r="D198" s="190"/>
      <c r="E198" s="191"/>
      <c r="F198" s="191"/>
      <c r="G198" s="190"/>
      <c r="H198" s="190"/>
      <c r="I198" s="202"/>
      <c r="J198" s="215"/>
      <c r="K198" s="216">
        <f>SUM(K194:K197)</f>
        <v>6300</v>
      </c>
      <c r="L198" s="195"/>
      <c r="M198" s="196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</row>
    <row r="199" spans="1:47" ht="48" customHeight="1" x14ac:dyDescent="0.2">
      <c r="A199" s="163">
        <v>50</v>
      </c>
      <c r="B199" s="164" t="s">
        <v>377</v>
      </c>
      <c r="C199" s="165"/>
      <c r="D199" s="166" t="s">
        <v>107</v>
      </c>
      <c r="E199" s="167"/>
      <c r="F199" s="167"/>
      <c r="G199" s="166"/>
      <c r="H199" s="166"/>
      <c r="I199" s="168" t="s">
        <v>378</v>
      </c>
      <c r="J199" s="169" t="s">
        <v>379</v>
      </c>
      <c r="K199" s="170">
        <f>10500*65%</f>
        <v>6825</v>
      </c>
      <c r="L199" s="260" t="s">
        <v>111</v>
      </c>
      <c r="M199" s="172" t="s">
        <v>380</v>
      </c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</row>
    <row r="200" spans="1:47" x14ac:dyDescent="0.2">
      <c r="A200" s="174"/>
      <c r="B200" s="175"/>
      <c r="C200" s="176"/>
      <c r="D200" s="177"/>
      <c r="E200" s="178"/>
      <c r="F200" s="178"/>
      <c r="G200" s="177"/>
      <c r="H200" s="177"/>
      <c r="I200" s="179" t="s">
        <v>381</v>
      </c>
      <c r="J200" s="185" t="s">
        <v>379</v>
      </c>
      <c r="K200" s="181">
        <f t="shared" ref="K200:K206" si="1">10500*5%</f>
        <v>525</v>
      </c>
      <c r="L200" s="261"/>
      <c r="M200" s="183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</row>
    <row r="201" spans="1:47" x14ac:dyDescent="0.2">
      <c r="A201" s="174"/>
      <c r="B201" s="175"/>
      <c r="C201" s="176"/>
      <c r="D201" s="177"/>
      <c r="E201" s="178"/>
      <c r="F201" s="178"/>
      <c r="G201" s="177"/>
      <c r="H201" s="177"/>
      <c r="I201" s="179" t="s">
        <v>382</v>
      </c>
      <c r="J201" s="180" t="s">
        <v>379</v>
      </c>
      <c r="K201" s="181">
        <f t="shared" si="1"/>
        <v>525</v>
      </c>
      <c r="L201" s="261"/>
      <c r="M201" s="183"/>
      <c r="N201" s="173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</row>
    <row r="202" spans="1:47" x14ac:dyDescent="0.2">
      <c r="A202" s="174"/>
      <c r="B202" s="175"/>
      <c r="C202" s="176"/>
      <c r="D202" s="177"/>
      <c r="E202" s="178"/>
      <c r="F202" s="178"/>
      <c r="G202" s="177"/>
      <c r="H202" s="177"/>
      <c r="I202" s="179" t="s">
        <v>383</v>
      </c>
      <c r="J202" s="169" t="s">
        <v>379</v>
      </c>
      <c r="K202" s="184">
        <f t="shared" si="1"/>
        <v>525</v>
      </c>
      <c r="L202" s="261"/>
      <c r="M202" s="183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</row>
    <row r="203" spans="1:47" x14ac:dyDescent="0.2">
      <c r="A203" s="174"/>
      <c r="B203" s="175"/>
      <c r="C203" s="176"/>
      <c r="D203" s="177"/>
      <c r="E203" s="178"/>
      <c r="F203" s="178"/>
      <c r="G203" s="177"/>
      <c r="H203" s="177"/>
      <c r="I203" s="186" t="s">
        <v>384</v>
      </c>
      <c r="J203" s="185" t="s">
        <v>379</v>
      </c>
      <c r="K203" s="181">
        <f t="shared" si="1"/>
        <v>525</v>
      </c>
      <c r="L203" s="261"/>
      <c r="M203" s="183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</row>
    <row r="204" spans="1:47" x14ac:dyDescent="0.2">
      <c r="A204" s="174"/>
      <c r="B204" s="175"/>
      <c r="C204" s="176"/>
      <c r="D204" s="177"/>
      <c r="E204" s="178"/>
      <c r="F204" s="178"/>
      <c r="G204" s="177"/>
      <c r="H204" s="177"/>
      <c r="I204" s="168" t="s">
        <v>385</v>
      </c>
      <c r="J204" s="206" t="s">
        <v>379</v>
      </c>
      <c r="K204" s="184">
        <f t="shared" si="1"/>
        <v>525</v>
      </c>
      <c r="L204" s="261"/>
      <c r="M204" s="183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</row>
    <row r="205" spans="1:47" x14ac:dyDescent="0.2">
      <c r="A205" s="174"/>
      <c r="B205" s="175"/>
      <c r="C205" s="176"/>
      <c r="D205" s="177"/>
      <c r="E205" s="178"/>
      <c r="F205" s="178"/>
      <c r="G205" s="177"/>
      <c r="H205" s="177"/>
      <c r="I205" s="186" t="s">
        <v>386</v>
      </c>
      <c r="J205" s="262" t="s">
        <v>379</v>
      </c>
      <c r="K205" s="226">
        <f t="shared" si="1"/>
        <v>525</v>
      </c>
      <c r="L205" s="261"/>
      <c r="M205" s="183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</row>
    <row r="206" spans="1:47" x14ac:dyDescent="0.2">
      <c r="A206" s="174"/>
      <c r="B206" s="175"/>
      <c r="C206" s="176"/>
      <c r="D206" s="177"/>
      <c r="E206" s="178"/>
      <c r="F206" s="178"/>
      <c r="G206" s="177"/>
      <c r="H206" s="177"/>
      <c r="I206" s="186" t="s">
        <v>387</v>
      </c>
      <c r="J206" s="169" t="s">
        <v>379</v>
      </c>
      <c r="K206" s="201">
        <f t="shared" si="1"/>
        <v>525</v>
      </c>
      <c r="L206" s="261"/>
      <c r="M206" s="183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</row>
    <row r="207" spans="1:47" x14ac:dyDescent="0.2">
      <c r="A207" s="187"/>
      <c r="B207" s="188"/>
      <c r="C207" s="189"/>
      <c r="D207" s="190"/>
      <c r="E207" s="191"/>
      <c r="F207" s="191"/>
      <c r="G207" s="190"/>
      <c r="H207" s="190"/>
      <c r="I207" s="192"/>
      <c r="J207" s="203"/>
      <c r="K207" s="216">
        <f>SUM(K199:K206)</f>
        <v>10500</v>
      </c>
      <c r="L207" s="263"/>
      <c r="M207" s="196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</row>
    <row r="208" spans="1:47" ht="51" customHeight="1" x14ac:dyDescent="0.2">
      <c r="A208" s="250">
        <v>51</v>
      </c>
      <c r="B208" s="164" t="s">
        <v>388</v>
      </c>
      <c r="C208" s="165"/>
      <c r="D208" s="251" t="s">
        <v>107</v>
      </c>
      <c r="E208" s="252"/>
      <c r="F208" s="252"/>
      <c r="G208" s="251"/>
      <c r="H208" s="251"/>
      <c r="I208" s="264" t="s">
        <v>389</v>
      </c>
      <c r="J208" s="265" t="s">
        <v>290</v>
      </c>
      <c r="K208" s="170">
        <f>4800*100%</f>
        <v>4800</v>
      </c>
      <c r="L208" s="260" t="s">
        <v>111</v>
      </c>
      <c r="M208" s="247" t="s">
        <v>390</v>
      </c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</row>
    <row r="209" spans="1:47" ht="51" customHeight="1" x14ac:dyDescent="0.2">
      <c r="A209" s="250">
        <v>52</v>
      </c>
      <c r="B209" s="164" t="s">
        <v>391</v>
      </c>
      <c r="C209" s="165"/>
      <c r="D209" s="251" t="s">
        <v>107</v>
      </c>
      <c r="E209" s="252"/>
      <c r="F209" s="252"/>
      <c r="G209" s="251"/>
      <c r="H209" s="251"/>
      <c r="I209" s="168" t="s">
        <v>392</v>
      </c>
      <c r="J209" s="265" t="s">
        <v>290</v>
      </c>
      <c r="K209" s="170">
        <f>4800*100%</f>
        <v>4800</v>
      </c>
      <c r="L209" s="260" t="s">
        <v>111</v>
      </c>
      <c r="M209" s="247" t="s">
        <v>393</v>
      </c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</row>
    <row r="210" spans="1:47" ht="24" customHeight="1" x14ac:dyDescent="0.2">
      <c r="A210" s="163">
        <v>53</v>
      </c>
      <c r="B210" s="164" t="s">
        <v>394</v>
      </c>
      <c r="C210" s="165"/>
      <c r="D210" s="166" t="s">
        <v>107</v>
      </c>
      <c r="E210" s="167"/>
      <c r="F210" s="167"/>
      <c r="G210" s="166"/>
      <c r="H210" s="166"/>
      <c r="I210" s="217" t="s">
        <v>395</v>
      </c>
      <c r="J210" s="169" t="s">
        <v>290</v>
      </c>
      <c r="K210" s="170">
        <f>4800*50%</f>
        <v>2400</v>
      </c>
      <c r="L210" s="171" t="s">
        <v>111</v>
      </c>
      <c r="M210" s="172" t="s">
        <v>396</v>
      </c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</row>
    <row r="211" spans="1:47" ht="48" x14ac:dyDescent="0.2">
      <c r="A211" s="174"/>
      <c r="B211" s="175"/>
      <c r="C211" s="176"/>
      <c r="D211" s="177"/>
      <c r="E211" s="178"/>
      <c r="F211" s="178"/>
      <c r="G211" s="177"/>
      <c r="H211" s="177"/>
      <c r="I211" s="168" t="s">
        <v>397</v>
      </c>
      <c r="J211" s="180" t="s">
        <v>398</v>
      </c>
      <c r="K211" s="181">
        <f>4800*20%</f>
        <v>960</v>
      </c>
      <c r="L211" s="182"/>
      <c r="M211" s="183"/>
      <c r="N211" s="173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</row>
    <row r="212" spans="1:47" x14ac:dyDescent="0.2">
      <c r="A212" s="174"/>
      <c r="B212" s="175"/>
      <c r="C212" s="176"/>
      <c r="D212" s="177"/>
      <c r="E212" s="178"/>
      <c r="F212" s="178"/>
      <c r="G212" s="177"/>
      <c r="H212" s="177"/>
      <c r="I212" s="186" t="s">
        <v>399</v>
      </c>
      <c r="J212" s="169" t="s">
        <v>290</v>
      </c>
      <c r="K212" s="184">
        <f>4800*20%</f>
        <v>960</v>
      </c>
      <c r="L212" s="182"/>
      <c r="M212" s="183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</row>
    <row r="213" spans="1:47" ht="48" x14ac:dyDescent="0.2">
      <c r="A213" s="174"/>
      <c r="B213" s="175"/>
      <c r="C213" s="176"/>
      <c r="D213" s="177"/>
      <c r="E213" s="178"/>
      <c r="F213" s="178"/>
      <c r="G213" s="177"/>
      <c r="H213" s="177"/>
      <c r="I213" s="168" t="s">
        <v>400</v>
      </c>
      <c r="J213" s="185" t="s">
        <v>401</v>
      </c>
      <c r="K213" s="181">
        <f>4800*10%</f>
        <v>480</v>
      </c>
      <c r="L213" s="182"/>
      <c r="M213" s="183"/>
      <c r="N213" s="173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</row>
    <row r="214" spans="1:47" x14ac:dyDescent="0.2">
      <c r="A214" s="187"/>
      <c r="B214" s="188"/>
      <c r="C214" s="189"/>
      <c r="D214" s="190"/>
      <c r="E214" s="191"/>
      <c r="F214" s="191"/>
      <c r="G214" s="190"/>
      <c r="H214" s="190"/>
      <c r="I214" s="202"/>
      <c r="J214" s="193"/>
      <c r="K214" s="194">
        <f>SUM(K210:K213)</f>
        <v>4800</v>
      </c>
      <c r="L214" s="195"/>
      <c r="M214" s="196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</row>
    <row r="215" spans="1:47" ht="48.75" customHeight="1" x14ac:dyDescent="0.2">
      <c r="A215" s="250">
        <v>54</v>
      </c>
      <c r="B215" s="164" t="s">
        <v>402</v>
      </c>
      <c r="C215" s="165"/>
      <c r="D215" s="251" t="s">
        <v>107</v>
      </c>
      <c r="E215" s="252"/>
      <c r="F215" s="252"/>
      <c r="G215" s="251"/>
      <c r="H215" s="251"/>
      <c r="I215" s="217" t="s">
        <v>403</v>
      </c>
      <c r="J215" s="266" t="s">
        <v>290</v>
      </c>
      <c r="K215" s="211">
        <f>4800*100%</f>
        <v>4800</v>
      </c>
      <c r="L215" s="260" t="s">
        <v>111</v>
      </c>
      <c r="M215" s="247" t="s">
        <v>404</v>
      </c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</row>
    <row r="216" spans="1:47" ht="24" customHeight="1" x14ac:dyDescent="0.2">
      <c r="A216" s="163">
        <v>55</v>
      </c>
      <c r="B216" s="164" t="s">
        <v>405</v>
      </c>
      <c r="C216" s="165"/>
      <c r="D216" s="166" t="s">
        <v>107</v>
      </c>
      <c r="E216" s="167"/>
      <c r="F216" s="167"/>
      <c r="G216" s="166"/>
      <c r="H216" s="166"/>
      <c r="I216" s="217" t="s">
        <v>406</v>
      </c>
      <c r="J216" s="169" t="s">
        <v>290</v>
      </c>
      <c r="K216" s="170">
        <f>5000*90%</f>
        <v>4500</v>
      </c>
      <c r="L216" s="171" t="s">
        <v>111</v>
      </c>
      <c r="M216" s="172" t="s">
        <v>407</v>
      </c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</row>
    <row r="217" spans="1:47" x14ac:dyDescent="0.2">
      <c r="A217" s="174"/>
      <c r="B217" s="175"/>
      <c r="C217" s="176"/>
      <c r="D217" s="177"/>
      <c r="E217" s="178"/>
      <c r="F217" s="178"/>
      <c r="G217" s="177"/>
      <c r="H217" s="177"/>
      <c r="I217" s="186" t="s">
        <v>408</v>
      </c>
      <c r="J217" s="180" t="s">
        <v>290</v>
      </c>
      <c r="K217" s="181">
        <f>5000*10%</f>
        <v>500</v>
      </c>
      <c r="L217" s="182"/>
      <c r="M217" s="183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</row>
    <row r="218" spans="1:47" x14ac:dyDescent="0.2">
      <c r="A218" s="187"/>
      <c r="B218" s="188"/>
      <c r="C218" s="189"/>
      <c r="D218" s="190"/>
      <c r="E218" s="191"/>
      <c r="F218" s="191"/>
      <c r="G218" s="190"/>
      <c r="H218" s="190"/>
      <c r="I218" s="192"/>
      <c r="J218" s="215"/>
      <c r="K218" s="216">
        <f>SUM(K216:K217)</f>
        <v>5000</v>
      </c>
      <c r="L218" s="195"/>
      <c r="M218" s="196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</row>
    <row r="219" spans="1:47" ht="24" customHeight="1" x14ac:dyDescent="0.2">
      <c r="A219" s="163">
        <v>56</v>
      </c>
      <c r="B219" s="164" t="s">
        <v>409</v>
      </c>
      <c r="C219" s="165"/>
      <c r="D219" s="166" t="s">
        <v>107</v>
      </c>
      <c r="E219" s="167"/>
      <c r="F219" s="167"/>
      <c r="G219" s="166"/>
      <c r="H219" s="166"/>
      <c r="I219" s="217" t="s">
        <v>410</v>
      </c>
      <c r="J219" s="169" t="s">
        <v>290</v>
      </c>
      <c r="K219" s="170">
        <f>4300*30%</f>
        <v>1290</v>
      </c>
      <c r="L219" s="171" t="s">
        <v>111</v>
      </c>
      <c r="M219" s="172" t="s">
        <v>411</v>
      </c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</row>
    <row r="220" spans="1:47" x14ac:dyDescent="0.2">
      <c r="A220" s="174"/>
      <c r="B220" s="175"/>
      <c r="C220" s="176"/>
      <c r="D220" s="177"/>
      <c r="E220" s="178"/>
      <c r="F220" s="178"/>
      <c r="G220" s="177"/>
      <c r="H220" s="177"/>
      <c r="I220" s="186" t="s">
        <v>412</v>
      </c>
      <c r="J220" s="180" t="s">
        <v>290</v>
      </c>
      <c r="K220" s="181">
        <f>4300*40%</f>
        <v>1720</v>
      </c>
      <c r="L220" s="182"/>
      <c r="M220" s="183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</row>
    <row r="221" spans="1:47" x14ac:dyDescent="0.2">
      <c r="A221" s="174"/>
      <c r="B221" s="175"/>
      <c r="C221" s="176"/>
      <c r="D221" s="177"/>
      <c r="E221" s="178"/>
      <c r="F221" s="178"/>
      <c r="G221" s="177"/>
      <c r="H221" s="177"/>
      <c r="I221" s="168" t="s">
        <v>413</v>
      </c>
      <c r="J221" s="248" t="s">
        <v>290</v>
      </c>
      <c r="K221" s="181">
        <f>4300*30%</f>
        <v>1290</v>
      </c>
      <c r="L221" s="182"/>
      <c r="M221" s="183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</row>
    <row r="222" spans="1:47" x14ac:dyDescent="0.2">
      <c r="A222" s="187"/>
      <c r="B222" s="188"/>
      <c r="C222" s="189"/>
      <c r="D222" s="190"/>
      <c r="E222" s="191"/>
      <c r="F222" s="191"/>
      <c r="G222" s="190"/>
      <c r="H222" s="190"/>
      <c r="I222" s="202"/>
      <c r="J222" s="215"/>
      <c r="K222" s="216">
        <f>SUM(K219:K221)</f>
        <v>4300</v>
      </c>
      <c r="L222" s="195"/>
      <c r="M222" s="196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</row>
    <row r="223" spans="1:47" ht="24" customHeight="1" x14ac:dyDescent="0.2">
      <c r="A223" s="163">
        <v>57</v>
      </c>
      <c r="B223" s="164" t="s">
        <v>414</v>
      </c>
      <c r="C223" s="165"/>
      <c r="D223" s="166" t="s">
        <v>107</v>
      </c>
      <c r="E223" s="167"/>
      <c r="F223" s="167"/>
      <c r="G223" s="166"/>
      <c r="H223" s="166"/>
      <c r="I223" s="168" t="s">
        <v>415</v>
      </c>
      <c r="J223" s="169" t="s">
        <v>290</v>
      </c>
      <c r="K223" s="170">
        <f>5000*40%</f>
        <v>2000</v>
      </c>
      <c r="L223" s="171" t="s">
        <v>111</v>
      </c>
      <c r="M223" s="172" t="s">
        <v>416</v>
      </c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</row>
    <row r="224" spans="1:47" x14ac:dyDescent="0.2">
      <c r="A224" s="174"/>
      <c r="B224" s="175"/>
      <c r="C224" s="176"/>
      <c r="D224" s="177"/>
      <c r="E224" s="178"/>
      <c r="F224" s="178"/>
      <c r="G224" s="177"/>
      <c r="H224" s="177"/>
      <c r="I224" s="179" t="s">
        <v>417</v>
      </c>
      <c r="J224" s="185" t="s">
        <v>290</v>
      </c>
      <c r="K224" s="181">
        <f>5000*50%</f>
        <v>2500</v>
      </c>
      <c r="L224" s="182"/>
      <c r="M224" s="183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</row>
    <row r="225" spans="1:47" x14ac:dyDescent="0.2">
      <c r="A225" s="174"/>
      <c r="B225" s="175"/>
      <c r="C225" s="176"/>
      <c r="D225" s="177"/>
      <c r="E225" s="178"/>
      <c r="F225" s="178"/>
      <c r="G225" s="177"/>
      <c r="H225" s="177"/>
      <c r="I225" s="186" t="s">
        <v>418</v>
      </c>
      <c r="J225" s="185" t="s">
        <v>290</v>
      </c>
      <c r="K225" s="207">
        <f>5000*10%</f>
        <v>500</v>
      </c>
      <c r="L225" s="182"/>
      <c r="M225" s="183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</row>
    <row r="226" spans="1:47" x14ac:dyDescent="0.2">
      <c r="A226" s="187"/>
      <c r="B226" s="188"/>
      <c r="C226" s="189"/>
      <c r="D226" s="190"/>
      <c r="E226" s="191"/>
      <c r="F226" s="191"/>
      <c r="G226" s="190"/>
      <c r="H226" s="190"/>
      <c r="I226" s="192"/>
      <c r="J226" s="193"/>
      <c r="K226" s="208">
        <f>SUM(K223:K225)</f>
        <v>5000</v>
      </c>
      <c r="L226" s="195"/>
      <c r="M226" s="196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</row>
    <row r="227" spans="1:47" ht="24" customHeight="1" x14ac:dyDescent="0.2">
      <c r="A227" s="250">
        <v>58</v>
      </c>
      <c r="B227" s="164" t="s">
        <v>419</v>
      </c>
      <c r="C227" s="165"/>
      <c r="D227" s="251" t="s">
        <v>107</v>
      </c>
      <c r="E227" s="252"/>
      <c r="F227" s="252"/>
      <c r="G227" s="251"/>
      <c r="H227" s="251"/>
      <c r="I227" s="264" t="s">
        <v>420</v>
      </c>
      <c r="J227" s="265" t="s">
        <v>290</v>
      </c>
      <c r="K227" s="170">
        <f>8000*100%</f>
        <v>8000</v>
      </c>
      <c r="L227" s="260" t="s">
        <v>111</v>
      </c>
      <c r="M227" s="247" t="s">
        <v>421</v>
      </c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</row>
    <row r="228" spans="1:47" ht="24" customHeight="1" x14ac:dyDescent="0.2">
      <c r="A228" s="163">
        <v>59</v>
      </c>
      <c r="B228" s="164" t="s">
        <v>422</v>
      </c>
      <c r="C228" s="165"/>
      <c r="D228" s="166" t="s">
        <v>107</v>
      </c>
      <c r="E228" s="167"/>
      <c r="F228" s="167"/>
      <c r="G228" s="166"/>
      <c r="H228" s="166"/>
      <c r="I228" s="168" t="s">
        <v>423</v>
      </c>
      <c r="J228" s="169" t="s">
        <v>290</v>
      </c>
      <c r="K228" s="170">
        <f>8000*80%</f>
        <v>6400</v>
      </c>
      <c r="L228" s="171" t="s">
        <v>111</v>
      </c>
      <c r="M228" s="172" t="s">
        <v>424</v>
      </c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</row>
    <row r="229" spans="1:47" x14ac:dyDescent="0.2">
      <c r="A229" s="174"/>
      <c r="B229" s="175"/>
      <c r="C229" s="176"/>
      <c r="D229" s="177"/>
      <c r="E229" s="178"/>
      <c r="F229" s="178"/>
      <c r="G229" s="177"/>
      <c r="H229" s="177"/>
      <c r="I229" s="186" t="s">
        <v>425</v>
      </c>
      <c r="J229" s="185" t="s">
        <v>290</v>
      </c>
      <c r="K229" s="181">
        <f>8000*5%</f>
        <v>400</v>
      </c>
      <c r="L229" s="182"/>
      <c r="M229" s="183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</row>
    <row r="230" spans="1:47" x14ac:dyDescent="0.2">
      <c r="A230" s="174"/>
      <c r="B230" s="175"/>
      <c r="C230" s="176"/>
      <c r="D230" s="177"/>
      <c r="E230" s="178"/>
      <c r="F230" s="178"/>
      <c r="G230" s="177"/>
      <c r="H230" s="177"/>
      <c r="I230" s="179" t="s">
        <v>426</v>
      </c>
      <c r="J230" s="185" t="s">
        <v>290</v>
      </c>
      <c r="K230" s="207">
        <f>8000*5%</f>
        <v>400</v>
      </c>
      <c r="L230" s="182"/>
      <c r="M230" s="183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</row>
    <row r="231" spans="1:47" x14ac:dyDescent="0.2">
      <c r="A231" s="174"/>
      <c r="B231" s="175"/>
      <c r="C231" s="176"/>
      <c r="D231" s="177"/>
      <c r="E231" s="178"/>
      <c r="F231" s="178"/>
      <c r="G231" s="177"/>
      <c r="H231" s="177"/>
      <c r="I231" s="179" t="s">
        <v>427</v>
      </c>
      <c r="J231" s="180" t="s">
        <v>290</v>
      </c>
      <c r="K231" s="201">
        <f>8000*5%</f>
        <v>400</v>
      </c>
      <c r="L231" s="182"/>
      <c r="M231" s="183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</row>
    <row r="232" spans="1:47" x14ac:dyDescent="0.2">
      <c r="A232" s="174"/>
      <c r="B232" s="175"/>
      <c r="C232" s="176"/>
      <c r="D232" s="177"/>
      <c r="E232" s="178"/>
      <c r="F232" s="178"/>
      <c r="G232" s="177"/>
      <c r="H232" s="177"/>
      <c r="I232" s="186" t="s">
        <v>428</v>
      </c>
      <c r="J232" s="169" t="s">
        <v>290</v>
      </c>
      <c r="K232" s="184">
        <f>8000*5%</f>
        <v>400</v>
      </c>
      <c r="L232" s="182"/>
      <c r="M232" s="183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</row>
    <row r="233" spans="1:47" x14ac:dyDescent="0.2">
      <c r="A233" s="187"/>
      <c r="B233" s="188"/>
      <c r="C233" s="189"/>
      <c r="D233" s="190"/>
      <c r="E233" s="191"/>
      <c r="F233" s="191"/>
      <c r="G233" s="190"/>
      <c r="H233" s="190"/>
      <c r="I233" s="202"/>
      <c r="J233" s="193"/>
      <c r="K233" s="194">
        <f>SUM(K228:K232)</f>
        <v>8000</v>
      </c>
      <c r="L233" s="195"/>
      <c r="M233" s="196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</row>
    <row r="234" spans="1:47" ht="68.25" customHeight="1" x14ac:dyDescent="0.2">
      <c r="A234" s="250">
        <v>60</v>
      </c>
      <c r="B234" s="164" t="s">
        <v>429</v>
      </c>
      <c r="C234" s="165"/>
      <c r="D234" s="251" t="s">
        <v>161</v>
      </c>
      <c r="E234" s="252"/>
      <c r="F234" s="252"/>
      <c r="G234" s="251"/>
      <c r="H234" s="267"/>
      <c r="I234" s="264" t="s">
        <v>430</v>
      </c>
      <c r="J234" s="265" t="s">
        <v>290</v>
      </c>
      <c r="K234" s="205">
        <f>100000*100%</f>
        <v>100000</v>
      </c>
      <c r="L234" s="260" t="s">
        <v>164</v>
      </c>
      <c r="M234" s="247" t="s">
        <v>431</v>
      </c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</row>
    <row r="235" spans="1:47" ht="51" customHeight="1" x14ac:dyDescent="0.2">
      <c r="A235" s="250">
        <v>61</v>
      </c>
      <c r="B235" s="164" t="s">
        <v>432</v>
      </c>
      <c r="C235" s="165"/>
      <c r="D235" s="251" t="s">
        <v>161</v>
      </c>
      <c r="E235" s="252"/>
      <c r="F235" s="252"/>
      <c r="G235" s="251"/>
      <c r="H235" s="251"/>
      <c r="I235" s="264" t="s">
        <v>433</v>
      </c>
      <c r="J235" s="169" t="s">
        <v>290</v>
      </c>
      <c r="K235" s="170">
        <f>200000*100%</f>
        <v>200000</v>
      </c>
      <c r="L235" s="260" t="s">
        <v>164</v>
      </c>
      <c r="M235" s="247" t="s">
        <v>434</v>
      </c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</row>
    <row r="236" spans="1:47" ht="24" customHeight="1" x14ac:dyDescent="0.2">
      <c r="A236" s="163">
        <v>62</v>
      </c>
      <c r="B236" s="164" t="s">
        <v>435</v>
      </c>
      <c r="C236" s="165"/>
      <c r="D236" s="166" t="s">
        <v>161</v>
      </c>
      <c r="E236" s="167"/>
      <c r="F236" s="167"/>
      <c r="G236" s="167"/>
      <c r="H236" s="166"/>
      <c r="I236" s="168" t="s">
        <v>436</v>
      </c>
      <c r="J236" s="197" t="s">
        <v>290</v>
      </c>
      <c r="K236" s="170">
        <f>88132*55%</f>
        <v>48472.600000000006</v>
      </c>
      <c r="L236" s="171" t="s">
        <v>164</v>
      </c>
      <c r="M236" s="172" t="s">
        <v>437</v>
      </c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</row>
    <row r="237" spans="1:47" ht="48" x14ac:dyDescent="0.2">
      <c r="A237" s="174"/>
      <c r="B237" s="175"/>
      <c r="C237" s="176"/>
      <c r="D237" s="177"/>
      <c r="E237" s="178"/>
      <c r="F237" s="178"/>
      <c r="G237" s="178"/>
      <c r="H237" s="177"/>
      <c r="I237" s="186" t="s">
        <v>438</v>
      </c>
      <c r="J237" s="169" t="s">
        <v>290</v>
      </c>
      <c r="K237" s="226">
        <f>88132*15%</f>
        <v>13219.8</v>
      </c>
      <c r="L237" s="182"/>
      <c r="M237" s="183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</row>
    <row r="238" spans="1:47" x14ac:dyDescent="0.2">
      <c r="A238" s="174"/>
      <c r="B238" s="175"/>
      <c r="C238" s="176"/>
      <c r="D238" s="177"/>
      <c r="E238" s="178"/>
      <c r="F238" s="178"/>
      <c r="G238" s="178"/>
      <c r="H238" s="177"/>
      <c r="I238" s="179" t="s">
        <v>439</v>
      </c>
      <c r="J238" s="180" t="s">
        <v>398</v>
      </c>
      <c r="K238" s="201">
        <f>88132*15%</f>
        <v>13219.8</v>
      </c>
      <c r="L238" s="182"/>
      <c r="M238" s="183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</row>
    <row r="239" spans="1:47" x14ac:dyDescent="0.2">
      <c r="A239" s="174"/>
      <c r="B239" s="175"/>
      <c r="C239" s="176"/>
      <c r="D239" s="177"/>
      <c r="E239" s="178"/>
      <c r="F239" s="178"/>
      <c r="G239" s="178"/>
      <c r="H239" s="177"/>
      <c r="I239" s="186" t="s">
        <v>440</v>
      </c>
      <c r="J239" s="169" t="s">
        <v>441</v>
      </c>
      <c r="K239" s="184">
        <f>88132*15%</f>
        <v>13219.8</v>
      </c>
      <c r="L239" s="182"/>
      <c r="M239" s="183"/>
      <c r="N239" s="173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</row>
    <row r="240" spans="1:47" x14ac:dyDescent="0.2">
      <c r="A240" s="187"/>
      <c r="B240" s="188"/>
      <c r="C240" s="189"/>
      <c r="D240" s="190"/>
      <c r="E240" s="191"/>
      <c r="F240" s="191"/>
      <c r="G240" s="191"/>
      <c r="H240" s="190"/>
      <c r="I240" s="202"/>
      <c r="J240" s="193"/>
      <c r="K240" s="194">
        <f>SUM(K236:K239)</f>
        <v>88132.000000000015</v>
      </c>
      <c r="L240" s="195"/>
      <c r="M240" s="196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</row>
    <row r="241" spans="1:47" ht="75.75" customHeight="1" x14ac:dyDescent="0.2">
      <c r="A241" s="250">
        <v>63</v>
      </c>
      <c r="B241" s="164" t="s">
        <v>442</v>
      </c>
      <c r="C241" s="165"/>
      <c r="D241" s="251" t="s">
        <v>161</v>
      </c>
      <c r="E241" s="252"/>
      <c r="F241" s="252"/>
      <c r="G241" s="251"/>
      <c r="H241" s="251"/>
      <c r="I241" s="264" t="s">
        <v>443</v>
      </c>
      <c r="J241" s="265" t="s">
        <v>290</v>
      </c>
      <c r="K241" s="170">
        <f>278721*100%</f>
        <v>278721</v>
      </c>
      <c r="L241" s="260" t="s">
        <v>164</v>
      </c>
      <c r="M241" s="247" t="s">
        <v>444</v>
      </c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  <c r="AU241" s="135"/>
    </row>
    <row r="242" spans="1:47" ht="48" customHeight="1" x14ac:dyDescent="0.2">
      <c r="A242" s="163">
        <v>64</v>
      </c>
      <c r="B242" s="164" t="s">
        <v>445</v>
      </c>
      <c r="C242" s="165"/>
      <c r="D242" s="166" t="s">
        <v>161</v>
      </c>
      <c r="E242" s="167"/>
      <c r="F242" s="167"/>
      <c r="G242" s="166"/>
      <c r="H242" s="166"/>
      <c r="I242" s="168" t="s">
        <v>446</v>
      </c>
      <c r="J242" s="169" t="s">
        <v>290</v>
      </c>
      <c r="K242" s="170">
        <f>255975*85%</f>
        <v>217578.75</v>
      </c>
      <c r="L242" s="171" t="s">
        <v>164</v>
      </c>
      <c r="M242" s="172" t="s">
        <v>447</v>
      </c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</row>
    <row r="243" spans="1:47" x14ac:dyDescent="0.2">
      <c r="A243" s="174"/>
      <c r="B243" s="175"/>
      <c r="C243" s="176"/>
      <c r="D243" s="177"/>
      <c r="E243" s="178"/>
      <c r="F243" s="178"/>
      <c r="G243" s="177"/>
      <c r="H243" s="177"/>
      <c r="I243" s="179" t="s">
        <v>448</v>
      </c>
      <c r="J243" s="180" t="s">
        <v>290</v>
      </c>
      <c r="K243" s="181">
        <f>255975*5%</f>
        <v>12798.75</v>
      </c>
      <c r="L243" s="182"/>
      <c r="M243" s="183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</row>
    <row r="244" spans="1:47" x14ac:dyDescent="0.2">
      <c r="A244" s="174"/>
      <c r="B244" s="175"/>
      <c r="C244" s="176"/>
      <c r="D244" s="177"/>
      <c r="E244" s="178"/>
      <c r="F244" s="178"/>
      <c r="G244" s="177"/>
      <c r="H244" s="177"/>
      <c r="I244" s="179" t="s">
        <v>449</v>
      </c>
      <c r="J244" s="180" t="s">
        <v>290</v>
      </c>
      <c r="K244" s="181">
        <f>255975*5%</f>
        <v>12798.75</v>
      </c>
      <c r="L244" s="182"/>
      <c r="M244" s="183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</row>
    <row r="245" spans="1:47" x14ac:dyDescent="0.2">
      <c r="A245" s="174"/>
      <c r="B245" s="175"/>
      <c r="C245" s="176"/>
      <c r="D245" s="177"/>
      <c r="E245" s="178"/>
      <c r="F245" s="178"/>
      <c r="G245" s="177"/>
      <c r="H245" s="177"/>
      <c r="I245" s="186" t="s">
        <v>450</v>
      </c>
      <c r="J245" s="169" t="s">
        <v>398</v>
      </c>
      <c r="K245" s="226">
        <f>255975*5%</f>
        <v>12798.75</v>
      </c>
      <c r="L245" s="182"/>
      <c r="M245" s="183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</row>
    <row r="246" spans="1:47" x14ac:dyDescent="0.2">
      <c r="A246" s="187"/>
      <c r="B246" s="188"/>
      <c r="C246" s="189"/>
      <c r="D246" s="190"/>
      <c r="E246" s="191"/>
      <c r="F246" s="191"/>
      <c r="G246" s="190"/>
      <c r="H246" s="190"/>
      <c r="I246" s="192"/>
      <c r="J246" s="193"/>
      <c r="K246" s="208">
        <f>SUM(K242:K245)</f>
        <v>255975</v>
      </c>
      <c r="L246" s="195"/>
      <c r="M246" s="196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</row>
    <row r="247" spans="1:47" ht="24" customHeight="1" x14ac:dyDescent="0.2">
      <c r="A247" s="163">
        <v>65</v>
      </c>
      <c r="B247" s="164" t="s">
        <v>451</v>
      </c>
      <c r="C247" s="165"/>
      <c r="D247" s="166" t="s">
        <v>107</v>
      </c>
      <c r="E247" s="167"/>
      <c r="F247" s="167"/>
      <c r="G247" s="166"/>
      <c r="H247" s="166"/>
      <c r="I247" s="168" t="s">
        <v>452</v>
      </c>
      <c r="J247" s="197" t="s">
        <v>453</v>
      </c>
      <c r="K247" s="205">
        <f>6300*75%</f>
        <v>4725</v>
      </c>
      <c r="L247" s="171" t="s">
        <v>111</v>
      </c>
      <c r="M247" s="172" t="s">
        <v>454</v>
      </c>
      <c r="N247" s="173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</row>
    <row r="248" spans="1:47" x14ac:dyDescent="0.2">
      <c r="A248" s="174"/>
      <c r="B248" s="175"/>
      <c r="C248" s="176"/>
      <c r="D248" s="177"/>
      <c r="E248" s="178"/>
      <c r="F248" s="178"/>
      <c r="G248" s="177"/>
      <c r="H248" s="177"/>
      <c r="I248" s="179" t="s">
        <v>455</v>
      </c>
      <c r="J248" s="248" t="s">
        <v>453</v>
      </c>
      <c r="K248" s="201">
        <f>6300*5%</f>
        <v>315</v>
      </c>
      <c r="L248" s="182"/>
      <c r="M248" s="183"/>
      <c r="N248" s="173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</row>
    <row r="249" spans="1:47" x14ac:dyDescent="0.2">
      <c r="A249" s="174"/>
      <c r="B249" s="175"/>
      <c r="C249" s="176"/>
      <c r="D249" s="177"/>
      <c r="E249" s="178"/>
      <c r="F249" s="178"/>
      <c r="G249" s="177"/>
      <c r="H249" s="177"/>
      <c r="I249" s="186" t="s">
        <v>456</v>
      </c>
      <c r="J249" s="248" t="s">
        <v>453</v>
      </c>
      <c r="K249" s="207">
        <f>6300*5%</f>
        <v>315</v>
      </c>
      <c r="L249" s="182"/>
      <c r="M249" s="183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</row>
    <row r="250" spans="1:47" x14ac:dyDescent="0.2">
      <c r="A250" s="174"/>
      <c r="B250" s="175"/>
      <c r="C250" s="176"/>
      <c r="D250" s="177"/>
      <c r="E250" s="178"/>
      <c r="F250" s="178"/>
      <c r="G250" s="177"/>
      <c r="H250" s="177"/>
      <c r="I250" s="168" t="s">
        <v>457</v>
      </c>
      <c r="J250" s="169" t="s">
        <v>453</v>
      </c>
      <c r="K250" s="226">
        <f>6300*5%</f>
        <v>315</v>
      </c>
      <c r="L250" s="182"/>
      <c r="M250" s="183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</row>
    <row r="251" spans="1:47" x14ac:dyDescent="0.2">
      <c r="A251" s="174"/>
      <c r="B251" s="175"/>
      <c r="C251" s="176"/>
      <c r="D251" s="177"/>
      <c r="E251" s="178"/>
      <c r="F251" s="178"/>
      <c r="G251" s="177"/>
      <c r="H251" s="177"/>
      <c r="I251" s="179" t="s">
        <v>458</v>
      </c>
      <c r="J251" s="180" t="s">
        <v>453</v>
      </c>
      <c r="K251" s="207">
        <f>6300*5%</f>
        <v>315</v>
      </c>
      <c r="L251" s="182"/>
      <c r="M251" s="183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</row>
    <row r="252" spans="1:47" x14ac:dyDescent="0.2">
      <c r="A252" s="174"/>
      <c r="B252" s="175"/>
      <c r="C252" s="176"/>
      <c r="D252" s="177"/>
      <c r="E252" s="178"/>
      <c r="F252" s="178"/>
      <c r="G252" s="177"/>
      <c r="H252" s="177"/>
      <c r="I252" s="186" t="s">
        <v>459</v>
      </c>
      <c r="J252" s="169" t="s">
        <v>460</v>
      </c>
      <c r="K252" s="201">
        <f>6300*5%</f>
        <v>315</v>
      </c>
      <c r="L252" s="182"/>
      <c r="M252" s="183"/>
      <c r="N252" s="173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</row>
    <row r="253" spans="1:47" x14ac:dyDescent="0.2">
      <c r="A253" s="187"/>
      <c r="B253" s="188"/>
      <c r="C253" s="189"/>
      <c r="D253" s="190"/>
      <c r="E253" s="191"/>
      <c r="F253" s="191"/>
      <c r="G253" s="190"/>
      <c r="H253" s="190"/>
      <c r="I253" s="192"/>
      <c r="J253" s="193"/>
      <c r="K253" s="194">
        <f>SUM(K247:K252)</f>
        <v>6300</v>
      </c>
      <c r="L253" s="195"/>
      <c r="M253" s="196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</row>
    <row r="254" spans="1:47" ht="24" customHeight="1" x14ac:dyDescent="0.2">
      <c r="A254" s="163">
        <v>66</v>
      </c>
      <c r="B254" s="164" t="s">
        <v>461</v>
      </c>
      <c r="C254" s="165"/>
      <c r="D254" s="166" t="s">
        <v>107</v>
      </c>
      <c r="E254" s="167"/>
      <c r="F254" s="167"/>
      <c r="G254" s="166"/>
      <c r="H254" s="166"/>
      <c r="I254" s="168" t="s">
        <v>462</v>
      </c>
      <c r="J254" s="169" t="s">
        <v>253</v>
      </c>
      <c r="K254" s="170">
        <f>6300*5%</f>
        <v>315</v>
      </c>
      <c r="L254" s="171" t="s">
        <v>111</v>
      </c>
      <c r="M254" s="172" t="s">
        <v>463</v>
      </c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</row>
    <row r="255" spans="1:47" x14ac:dyDescent="0.2">
      <c r="A255" s="174"/>
      <c r="B255" s="175"/>
      <c r="C255" s="176"/>
      <c r="D255" s="177"/>
      <c r="E255" s="178"/>
      <c r="F255" s="178"/>
      <c r="G255" s="177"/>
      <c r="H255" s="177"/>
      <c r="I255" s="179" t="s">
        <v>464</v>
      </c>
      <c r="J255" s="180" t="s">
        <v>453</v>
      </c>
      <c r="K255" s="181">
        <f>6300*5%</f>
        <v>315</v>
      </c>
      <c r="L255" s="182"/>
      <c r="M255" s="183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</row>
    <row r="256" spans="1:47" x14ac:dyDescent="0.2">
      <c r="A256" s="174"/>
      <c r="B256" s="175"/>
      <c r="C256" s="176"/>
      <c r="D256" s="177"/>
      <c r="E256" s="178"/>
      <c r="F256" s="178"/>
      <c r="G256" s="177"/>
      <c r="H256" s="177"/>
      <c r="I256" s="179" t="s">
        <v>455</v>
      </c>
      <c r="J256" s="180" t="s">
        <v>453</v>
      </c>
      <c r="K256" s="181">
        <f>6300*5%</f>
        <v>315</v>
      </c>
      <c r="L256" s="182"/>
      <c r="M256" s="183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</row>
    <row r="257" spans="1:47" x14ac:dyDescent="0.2">
      <c r="A257" s="174"/>
      <c r="B257" s="175"/>
      <c r="C257" s="176"/>
      <c r="D257" s="177"/>
      <c r="E257" s="178"/>
      <c r="F257" s="178"/>
      <c r="G257" s="177"/>
      <c r="H257" s="177"/>
      <c r="I257" s="179" t="s">
        <v>465</v>
      </c>
      <c r="J257" s="180" t="s">
        <v>453</v>
      </c>
      <c r="K257" s="181">
        <f>6300*70%</f>
        <v>4410</v>
      </c>
      <c r="L257" s="182"/>
      <c r="M257" s="183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</row>
    <row r="258" spans="1:47" x14ac:dyDescent="0.2">
      <c r="A258" s="174"/>
      <c r="B258" s="175"/>
      <c r="C258" s="176"/>
      <c r="D258" s="177"/>
      <c r="E258" s="178"/>
      <c r="F258" s="178"/>
      <c r="G258" s="177"/>
      <c r="H258" s="177"/>
      <c r="I258" s="179" t="s">
        <v>458</v>
      </c>
      <c r="J258" s="169" t="s">
        <v>453</v>
      </c>
      <c r="K258" s="226">
        <f>6300*5%</f>
        <v>315</v>
      </c>
      <c r="L258" s="182"/>
      <c r="M258" s="183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</row>
    <row r="259" spans="1:47" x14ac:dyDescent="0.2">
      <c r="A259" s="174"/>
      <c r="B259" s="175"/>
      <c r="C259" s="176"/>
      <c r="D259" s="177"/>
      <c r="E259" s="178"/>
      <c r="F259" s="178"/>
      <c r="G259" s="177"/>
      <c r="H259" s="177"/>
      <c r="I259" s="186" t="s">
        <v>466</v>
      </c>
      <c r="J259" s="180" t="s">
        <v>453</v>
      </c>
      <c r="K259" s="207">
        <f>6300*5%</f>
        <v>315</v>
      </c>
      <c r="L259" s="182"/>
      <c r="M259" s="183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</row>
    <row r="260" spans="1:47" x14ac:dyDescent="0.2">
      <c r="A260" s="174"/>
      <c r="B260" s="175"/>
      <c r="C260" s="176"/>
      <c r="D260" s="177"/>
      <c r="E260" s="178"/>
      <c r="F260" s="178"/>
      <c r="G260" s="177"/>
      <c r="H260" s="177"/>
      <c r="I260" s="168" t="s">
        <v>457</v>
      </c>
      <c r="J260" s="180" t="s">
        <v>453</v>
      </c>
      <c r="K260" s="201">
        <f>6300*5%</f>
        <v>315</v>
      </c>
      <c r="L260" s="182"/>
      <c r="M260" s="183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</row>
    <row r="261" spans="1:47" x14ac:dyDescent="0.2">
      <c r="A261" s="187"/>
      <c r="B261" s="188"/>
      <c r="C261" s="189"/>
      <c r="D261" s="190"/>
      <c r="E261" s="191"/>
      <c r="F261" s="191"/>
      <c r="G261" s="190"/>
      <c r="H261" s="190"/>
      <c r="I261" s="268"/>
      <c r="J261" s="215"/>
      <c r="K261" s="216">
        <f>SUM(K254:K260)</f>
        <v>6300</v>
      </c>
      <c r="L261" s="195"/>
      <c r="M261" s="196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</row>
    <row r="262" spans="1:47" ht="24" customHeight="1" x14ac:dyDescent="0.2">
      <c r="A262" s="163">
        <v>67</v>
      </c>
      <c r="B262" s="164" t="s">
        <v>467</v>
      </c>
      <c r="C262" s="165"/>
      <c r="D262" s="166" t="s">
        <v>107</v>
      </c>
      <c r="E262" s="167"/>
      <c r="F262" s="167"/>
      <c r="G262" s="166"/>
      <c r="H262" s="166"/>
      <c r="I262" s="168" t="s">
        <v>468</v>
      </c>
      <c r="J262" s="197" t="s">
        <v>453</v>
      </c>
      <c r="K262" s="205">
        <f>6300*30%</f>
        <v>1890</v>
      </c>
      <c r="L262" s="171" t="s">
        <v>111</v>
      </c>
      <c r="M262" s="172" t="s">
        <v>469</v>
      </c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</row>
    <row r="263" spans="1:47" x14ac:dyDescent="0.2">
      <c r="A263" s="174"/>
      <c r="B263" s="175"/>
      <c r="C263" s="176"/>
      <c r="D263" s="177"/>
      <c r="E263" s="178"/>
      <c r="F263" s="178"/>
      <c r="G263" s="177"/>
      <c r="H263" s="177"/>
      <c r="I263" s="179" t="s">
        <v>470</v>
      </c>
      <c r="J263" s="169" t="s">
        <v>453</v>
      </c>
      <c r="K263" s="201">
        <f>6300*5%</f>
        <v>315</v>
      </c>
      <c r="L263" s="182"/>
      <c r="M263" s="183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</row>
    <row r="264" spans="1:47" x14ac:dyDescent="0.2">
      <c r="A264" s="174"/>
      <c r="B264" s="175"/>
      <c r="C264" s="176"/>
      <c r="D264" s="177"/>
      <c r="E264" s="178"/>
      <c r="F264" s="178"/>
      <c r="G264" s="177"/>
      <c r="H264" s="177"/>
      <c r="I264" s="186" t="s">
        <v>471</v>
      </c>
      <c r="J264" s="180" t="s">
        <v>453</v>
      </c>
      <c r="K264" s="207">
        <f>6300*5%</f>
        <v>315</v>
      </c>
      <c r="L264" s="182"/>
      <c r="M264" s="183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</row>
    <row r="265" spans="1:47" x14ac:dyDescent="0.2">
      <c r="A265" s="174"/>
      <c r="B265" s="175"/>
      <c r="C265" s="176"/>
      <c r="D265" s="177"/>
      <c r="E265" s="178"/>
      <c r="F265" s="178"/>
      <c r="G265" s="177"/>
      <c r="H265" s="177"/>
      <c r="I265" s="186" t="s">
        <v>472</v>
      </c>
      <c r="J265" s="180" t="s">
        <v>453</v>
      </c>
      <c r="K265" s="207">
        <f>6300*5%</f>
        <v>315</v>
      </c>
      <c r="L265" s="182"/>
      <c r="M265" s="183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35"/>
    </row>
    <row r="266" spans="1:47" x14ac:dyDescent="0.2">
      <c r="A266" s="174"/>
      <c r="B266" s="175"/>
      <c r="C266" s="176"/>
      <c r="D266" s="177"/>
      <c r="E266" s="178"/>
      <c r="F266" s="178"/>
      <c r="G266" s="177"/>
      <c r="H266" s="177"/>
      <c r="I266" s="186" t="s">
        <v>473</v>
      </c>
      <c r="J266" s="180" t="s">
        <v>453</v>
      </c>
      <c r="K266" s="207">
        <f>6300*50%</f>
        <v>3150</v>
      </c>
      <c r="L266" s="182"/>
      <c r="M266" s="183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</row>
    <row r="267" spans="1:47" x14ac:dyDescent="0.2">
      <c r="A267" s="174"/>
      <c r="B267" s="175"/>
      <c r="C267" s="176"/>
      <c r="D267" s="177"/>
      <c r="E267" s="178"/>
      <c r="F267" s="178"/>
      <c r="G267" s="177"/>
      <c r="H267" s="177"/>
      <c r="I267" s="168" t="s">
        <v>474</v>
      </c>
      <c r="J267" s="180" t="s">
        <v>453</v>
      </c>
      <c r="K267" s="201">
        <f>6300*5%</f>
        <v>315</v>
      </c>
      <c r="L267" s="182"/>
      <c r="M267" s="183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</row>
    <row r="268" spans="1:47" x14ac:dyDescent="0.2">
      <c r="A268" s="187"/>
      <c r="B268" s="188"/>
      <c r="C268" s="189"/>
      <c r="D268" s="190"/>
      <c r="E268" s="191"/>
      <c r="F268" s="191"/>
      <c r="G268" s="190"/>
      <c r="H268" s="190"/>
      <c r="I268" s="202"/>
      <c r="J268" s="215"/>
      <c r="K268" s="216">
        <f>SUM(K262:K267)</f>
        <v>6300</v>
      </c>
      <c r="L268" s="195"/>
      <c r="M268" s="196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</row>
    <row r="269" spans="1:47" ht="24" customHeight="1" x14ac:dyDescent="0.2">
      <c r="A269" s="163">
        <v>68</v>
      </c>
      <c r="B269" s="164" t="s">
        <v>475</v>
      </c>
      <c r="C269" s="165"/>
      <c r="D269" s="166" t="s">
        <v>107</v>
      </c>
      <c r="E269" s="167"/>
      <c r="F269" s="167"/>
      <c r="G269" s="166"/>
      <c r="H269" s="166"/>
      <c r="I269" s="168" t="s">
        <v>476</v>
      </c>
      <c r="J269" s="169" t="s">
        <v>453</v>
      </c>
      <c r="K269" s="170">
        <f>6300*70%</f>
        <v>4410</v>
      </c>
      <c r="L269" s="171" t="s">
        <v>111</v>
      </c>
      <c r="M269" s="172" t="s">
        <v>477</v>
      </c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</row>
    <row r="270" spans="1:47" x14ac:dyDescent="0.2">
      <c r="A270" s="174"/>
      <c r="B270" s="175"/>
      <c r="C270" s="176"/>
      <c r="D270" s="177"/>
      <c r="E270" s="178"/>
      <c r="F270" s="178"/>
      <c r="G270" s="177"/>
      <c r="H270" s="177"/>
      <c r="I270" s="186" t="s">
        <v>464</v>
      </c>
      <c r="J270" s="180" t="s">
        <v>453</v>
      </c>
      <c r="K270" s="181">
        <f t="shared" ref="K270:K275" si="2">6300*5%</f>
        <v>315</v>
      </c>
      <c r="L270" s="182"/>
      <c r="M270" s="183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</row>
    <row r="271" spans="1:47" x14ac:dyDescent="0.2">
      <c r="A271" s="174"/>
      <c r="B271" s="175"/>
      <c r="C271" s="176"/>
      <c r="D271" s="177"/>
      <c r="E271" s="178"/>
      <c r="F271" s="178"/>
      <c r="G271" s="177"/>
      <c r="H271" s="177"/>
      <c r="I271" s="186" t="s">
        <v>478</v>
      </c>
      <c r="J271" s="180" t="s">
        <v>453</v>
      </c>
      <c r="K271" s="207">
        <f t="shared" si="2"/>
        <v>315</v>
      </c>
      <c r="L271" s="182"/>
      <c r="M271" s="183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</row>
    <row r="272" spans="1:47" x14ac:dyDescent="0.2">
      <c r="A272" s="174"/>
      <c r="B272" s="175"/>
      <c r="C272" s="176"/>
      <c r="D272" s="177"/>
      <c r="E272" s="178"/>
      <c r="F272" s="178"/>
      <c r="G272" s="177"/>
      <c r="H272" s="177"/>
      <c r="I272" s="186" t="s">
        <v>479</v>
      </c>
      <c r="J272" s="169" t="s">
        <v>453</v>
      </c>
      <c r="K272" s="226">
        <f t="shared" si="2"/>
        <v>315</v>
      </c>
      <c r="L272" s="182"/>
      <c r="M272" s="183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/>
    </row>
    <row r="273" spans="1:47" x14ac:dyDescent="0.2">
      <c r="A273" s="174"/>
      <c r="B273" s="175"/>
      <c r="C273" s="176"/>
      <c r="D273" s="177"/>
      <c r="E273" s="178"/>
      <c r="F273" s="178"/>
      <c r="G273" s="177"/>
      <c r="H273" s="177"/>
      <c r="I273" s="186" t="s">
        <v>480</v>
      </c>
      <c r="J273" s="180" t="s">
        <v>398</v>
      </c>
      <c r="K273" s="201">
        <f t="shared" si="2"/>
        <v>315</v>
      </c>
      <c r="L273" s="182"/>
      <c r="M273" s="183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  <c r="AU273" s="135"/>
    </row>
    <row r="274" spans="1:47" x14ac:dyDescent="0.2">
      <c r="A274" s="174"/>
      <c r="B274" s="175"/>
      <c r="C274" s="176"/>
      <c r="D274" s="177"/>
      <c r="E274" s="178"/>
      <c r="F274" s="178"/>
      <c r="G274" s="177"/>
      <c r="H274" s="177"/>
      <c r="I274" s="186" t="s">
        <v>481</v>
      </c>
      <c r="J274" s="180" t="s">
        <v>460</v>
      </c>
      <c r="K274" s="181">
        <f t="shared" si="2"/>
        <v>315</v>
      </c>
      <c r="L274" s="182"/>
      <c r="M274" s="183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</row>
    <row r="275" spans="1:47" x14ac:dyDescent="0.2">
      <c r="A275" s="174"/>
      <c r="B275" s="175"/>
      <c r="C275" s="176"/>
      <c r="D275" s="177"/>
      <c r="E275" s="178"/>
      <c r="F275" s="178"/>
      <c r="G275" s="177"/>
      <c r="H275" s="177"/>
      <c r="I275" s="168" t="s">
        <v>462</v>
      </c>
      <c r="J275" s="169" t="s">
        <v>253</v>
      </c>
      <c r="K275" s="226">
        <f t="shared" si="2"/>
        <v>315</v>
      </c>
      <c r="L275" s="182"/>
      <c r="M275" s="183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</row>
    <row r="276" spans="1:47" x14ac:dyDescent="0.2">
      <c r="A276" s="187"/>
      <c r="B276" s="188"/>
      <c r="C276" s="189"/>
      <c r="D276" s="190"/>
      <c r="E276" s="191"/>
      <c r="F276" s="191"/>
      <c r="G276" s="190"/>
      <c r="H276" s="190"/>
      <c r="I276" s="202"/>
      <c r="J276" s="193"/>
      <c r="K276" s="208">
        <f>SUM(K269:K275)</f>
        <v>6300</v>
      </c>
      <c r="L276" s="195"/>
      <c r="M276" s="196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  <c r="AU276" s="135"/>
    </row>
    <row r="277" spans="1:47" ht="24" customHeight="1" x14ac:dyDescent="0.2">
      <c r="A277" s="163">
        <v>69</v>
      </c>
      <c r="B277" s="164" t="s">
        <v>482</v>
      </c>
      <c r="C277" s="165"/>
      <c r="D277" s="166" t="s">
        <v>107</v>
      </c>
      <c r="E277" s="167"/>
      <c r="F277" s="167"/>
      <c r="G277" s="166"/>
      <c r="H277" s="166"/>
      <c r="I277" s="168" t="s">
        <v>483</v>
      </c>
      <c r="J277" s="169" t="s">
        <v>453</v>
      </c>
      <c r="K277" s="211">
        <f>6300*60%</f>
        <v>3780</v>
      </c>
      <c r="L277" s="171" t="s">
        <v>111</v>
      </c>
      <c r="M277" s="172" t="s">
        <v>484</v>
      </c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</row>
    <row r="278" spans="1:47" x14ac:dyDescent="0.2">
      <c r="A278" s="174"/>
      <c r="B278" s="175"/>
      <c r="C278" s="176"/>
      <c r="D278" s="177"/>
      <c r="E278" s="178"/>
      <c r="F278" s="178"/>
      <c r="G278" s="177"/>
      <c r="H278" s="177"/>
      <c r="I278" s="186" t="s">
        <v>485</v>
      </c>
      <c r="J278" s="180" t="s">
        <v>453</v>
      </c>
      <c r="K278" s="201">
        <f t="shared" ref="K278:K285" si="3">6300*5%</f>
        <v>315</v>
      </c>
      <c r="L278" s="182"/>
      <c r="M278" s="183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</row>
    <row r="279" spans="1:47" x14ac:dyDescent="0.2">
      <c r="A279" s="174"/>
      <c r="B279" s="175"/>
      <c r="C279" s="176"/>
      <c r="D279" s="177"/>
      <c r="E279" s="178"/>
      <c r="F279" s="178"/>
      <c r="G279" s="177"/>
      <c r="H279" s="177"/>
      <c r="I279" s="168" t="s">
        <v>486</v>
      </c>
      <c r="J279" s="180" t="s">
        <v>453</v>
      </c>
      <c r="K279" s="181">
        <f t="shared" si="3"/>
        <v>315</v>
      </c>
      <c r="L279" s="182"/>
      <c r="M279" s="183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</row>
    <row r="280" spans="1:47" x14ac:dyDescent="0.2">
      <c r="A280" s="174"/>
      <c r="B280" s="175"/>
      <c r="C280" s="176"/>
      <c r="D280" s="177"/>
      <c r="E280" s="178"/>
      <c r="F280" s="178"/>
      <c r="G280" s="177"/>
      <c r="H280" s="177"/>
      <c r="I280" s="186" t="s">
        <v>487</v>
      </c>
      <c r="J280" s="180" t="s">
        <v>453</v>
      </c>
      <c r="K280" s="181">
        <f t="shared" si="3"/>
        <v>315</v>
      </c>
      <c r="L280" s="182"/>
      <c r="M280" s="183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</row>
    <row r="281" spans="1:47" x14ac:dyDescent="0.2">
      <c r="A281" s="174"/>
      <c r="B281" s="175"/>
      <c r="C281" s="176"/>
      <c r="D281" s="177"/>
      <c r="E281" s="178"/>
      <c r="F281" s="178"/>
      <c r="G281" s="177"/>
      <c r="H281" s="177"/>
      <c r="I281" s="186" t="s">
        <v>488</v>
      </c>
      <c r="J281" s="248" t="s">
        <v>453</v>
      </c>
      <c r="K281" s="181">
        <f t="shared" si="3"/>
        <v>315</v>
      </c>
      <c r="L281" s="182"/>
      <c r="M281" s="183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</row>
    <row r="282" spans="1:47" x14ac:dyDescent="0.2">
      <c r="A282" s="174"/>
      <c r="B282" s="175"/>
      <c r="C282" s="176"/>
      <c r="D282" s="177"/>
      <c r="E282" s="178"/>
      <c r="F282" s="178"/>
      <c r="G282" s="177"/>
      <c r="H282" s="177"/>
      <c r="I282" s="186" t="s">
        <v>489</v>
      </c>
      <c r="J282" s="169" t="s">
        <v>453</v>
      </c>
      <c r="K282" s="226">
        <f t="shared" si="3"/>
        <v>315</v>
      </c>
      <c r="L282" s="182"/>
      <c r="M282" s="183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</row>
    <row r="283" spans="1:47" x14ac:dyDescent="0.2">
      <c r="A283" s="174"/>
      <c r="B283" s="175"/>
      <c r="C283" s="176"/>
      <c r="D283" s="177"/>
      <c r="E283" s="178"/>
      <c r="F283" s="178"/>
      <c r="G283" s="177"/>
      <c r="H283" s="177"/>
      <c r="I283" s="168" t="s">
        <v>471</v>
      </c>
      <c r="J283" s="180" t="s">
        <v>453</v>
      </c>
      <c r="K283" s="201">
        <f t="shared" si="3"/>
        <v>315</v>
      </c>
      <c r="L283" s="182"/>
      <c r="M283" s="183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35"/>
    </row>
    <row r="284" spans="1:47" x14ac:dyDescent="0.2">
      <c r="A284" s="174"/>
      <c r="B284" s="175"/>
      <c r="C284" s="176"/>
      <c r="D284" s="177"/>
      <c r="E284" s="178"/>
      <c r="F284" s="178"/>
      <c r="G284" s="177"/>
      <c r="H284" s="177"/>
      <c r="I284" s="186" t="s">
        <v>490</v>
      </c>
      <c r="J284" s="180" t="s">
        <v>453</v>
      </c>
      <c r="K284" s="207">
        <f t="shared" si="3"/>
        <v>315</v>
      </c>
      <c r="L284" s="182"/>
      <c r="M284" s="183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35"/>
    </row>
    <row r="285" spans="1:47" x14ac:dyDescent="0.2">
      <c r="A285" s="174"/>
      <c r="B285" s="175"/>
      <c r="C285" s="176"/>
      <c r="D285" s="177"/>
      <c r="E285" s="178"/>
      <c r="F285" s="178"/>
      <c r="G285" s="177"/>
      <c r="H285" s="177"/>
      <c r="I285" s="186" t="s">
        <v>491</v>
      </c>
      <c r="J285" s="180" t="s">
        <v>453</v>
      </c>
      <c r="K285" s="201">
        <f t="shared" si="3"/>
        <v>315</v>
      </c>
      <c r="L285" s="182"/>
      <c r="M285" s="183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</row>
    <row r="286" spans="1:47" x14ac:dyDescent="0.2">
      <c r="A286" s="187"/>
      <c r="B286" s="188"/>
      <c r="C286" s="189"/>
      <c r="D286" s="190"/>
      <c r="E286" s="191"/>
      <c r="F286" s="191"/>
      <c r="G286" s="190"/>
      <c r="H286" s="190"/>
      <c r="I286" s="192"/>
      <c r="J286" s="215"/>
      <c r="K286" s="216">
        <f>SUM(K277:K285)</f>
        <v>6300</v>
      </c>
      <c r="L286" s="195"/>
      <c r="M286" s="196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</row>
    <row r="287" spans="1:47" ht="24" customHeight="1" x14ac:dyDescent="0.2">
      <c r="A287" s="163">
        <v>70</v>
      </c>
      <c r="B287" s="164" t="s">
        <v>492</v>
      </c>
      <c r="C287" s="165"/>
      <c r="D287" s="166" t="s">
        <v>107</v>
      </c>
      <c r="E287" s="167"/>
      <c r="F287" s="167"/>
      <c r="G287" s="166"/>
      <c r="H287" s="166"/>
      <c r="I287" s="168" t="s">
        <v>493</v>
      </c>
      <c r="J287" s="197" t="s">
        <v>453</v>
      </c>
      <c r="K287" s="205">
        <f>6300*15%</f>
        <v>945</v>
      </c>
      <c r="L287" s="171" t="s">
        <v>111</v>
      </c>
      <c r="M287" s="172" t="s">
        <v>494</v>
      </c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</row>
    <row r="288" spans="1:47" x14ac:dyDescent="0.2">
      <c r="A288" s="174"/>
      <c r="B288" s="175"/>
      <c r="C288" s="176"/>
      <c r="D288" s="177"/>
      <c r="E288" s="178"/>
      <c r="F288" s="178"/>
      <c r="G288" s="177"/>
      <c r="H288" s="177"/>
      <c r="I288" s="179" t="s">
        <v>495</v>
      </c>
      <c r="J288" s="169" t="s">
        <v>453</v>
      </c>
      <c r="K288" s="201">
        <f>6300*55%</f>
        <v>3465.0000000000005</v>
      </c>
      <c r="L288" s="182"/>
      <c r="M288" s="183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</row>
    <row r="289" spans="1:47" x14ac:dyDescent="0.2">
      <c r="A289" s="174"/>
      <c r="B289" s="175"/>
      <c r="C289" s="176"/>
      <c r="D289" s="177"/>
      <c r="E289" s="178"/>
      <c r="F289" s="178"/>
      <c r="G289" s="177"/>
      <c r="H289" s="177"/>
      <c r="I289" s="186" t="s">
        <v>496</v>
      </c>
      <c r="J289" s="180" t="s">
        <v>453</v>
      </c>
      <c r="K289" s="181">
        <f t="shared" ref="K289:K294" si="4">6300*5%</f>
        <v>315</v>
      </c>
      <c r="L289" s="182"/>
      <c r="M289" s="183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</row>
    <row r="290" spans="1:47" x14ac:dyDescent="0.2">
      <c r="A290" s="174"/>
      <c r="B290" s="175"/>
      <c r="C290" s="176"/>
      <c r="D290" s="177"/>
      <c r="E290" s="178"/>
      <c r="F290" s="178"/>
      <c r="G290" s="177"/>
      <c r="H290" s="177"/>
      <c r="I290" s="168" t="s">
        <v>497</v>
      </c>
      <c r="J290" s="169" t="s">
        <v>453</v>
      </c>
      <c r="K290" s="184">
        <f t="shared" si="4"/>
        <v>315</v>
      </c>
      <c r="L290" s="182"/>
      <c r="M290" s="183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</row>
    <row r="291" spans="1:47" x14ac:dyDescent="0.2">
      <c r="A291" s="174"/>
      <c r="B291" s="175"/>
      <c r="C291" s="176"/>
      <c r="D291" s="177"/>
      <c r="E291" s="178"/>
      <c r="F291" s="178"/>
      <c r="G291" s="177"/>
      <c r="H291" s="177"/>
      <c r="I291" s="179" t="s">
        <v>498</v>
      </c>
      <c r="J291" s="185" t="s">
        <v>453</v>
      </c>
      <c r="K291" s="207">
        <f t="shared" si="4"/>
        <v>315</v>
      </c>
      <c r="L291" s="182"/>
      <c r="M291" s="183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</row>
    <row r="292" spans="1:47" x14ac:dyDescent="0.2">
      <c r="A292" s="174"/>
      <c r="B292" s="175"/>
      <c r="C292" s="176"/>
      <c r="D292" s="177"/>
      <c r="E292" s="178"/>
      <c r="F292" s="178"/>
      <c r="G292" s="177"/>
      <c r="H292" s="177"/>
      <c r="I292" s="186" t="s">
        <v>499</v>
      </c>
      <c r="J292" s="180" t="s">
        <v>453</v>
      </c>
      <c r="K292" s="207">
        <f t="shared" si="4"/>
        <v>315</v>
      </c>
      <c r="L292" s="182"/>
      <c r="M292" s="183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</row>
    <row r="293" spans="1:47" x14ac:dyDescent="0.2">
      <c r="A293" s="174"/>
      <c r="B293" s="175"/>
      <c r="C293" s="176"/>
      <c r="D293" s="177"/>
      <c r="E293" s="178"/>
      <c r="F293" s="178"/>
      <c r="G293" s="177"/>
      <c r="H293" s="177"/>
      <c r="I293" s="186" t="s">
        <v>500</v>
      </c>
      <c r="J293" s="185" t="s">
        <v>453</v>
      </c>
      <c r="K293" s="207">
        <f t="shared" si="4"/>
        <v>315</v>
      </c>
      <c r="L293" s="182"/>
      <c r="M293" s="183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</row>
    <row r="294" spans="1:47" x14ac:dyDescent="0.2">
      <c r="A294" s="174"/>
      <c r="B294" s="175"/>
      <c r="C294" s="176"/>
      <c r="D294" s="177"/>
      <c r="E294" s="178"/>
      <c r="F294" s="178"/>
      <c r="G294" s="177"/>
      <c r="H294" s="177"/>
      <c r="I294" s="186" t="s">
        <v>501</v>
      </c>
      <c r="J294" s="180" t="s">
        <v>453</v>
      </c>
      <c r="K294" s="201">
        <f t="shared" si="4"/>
        <v>315</v>
      </c>
      <c r="L294" s="182"/>
      <c r="M294" s="183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</row>
    <row r="295" spans="1:47" x14ac:dyDescent="0.2">
      <c r="A295" s="187"/>
      <c r="B295" s="188"/>
      <c r="C295" s="189"/>
      <c r="D295" s="190"/>
      <c r="E295" s="191"/>
      <c r="F295" s="191"/>
      <c r="G295" s="190"/>
      <c r="H295" s="190"/>
      <c r="I295" s="192"/>
      <c r="J295" s="193"/>
      <c r="K295" s="194">
        <f>SUM(K287:K294)</f>
        <v>6300</v>
      </c>
      <c r="L295" s="195"/>
      <c r="M295" s="196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</row>
    <row r="296" spans="1:47" ht="51.75" customHeight="1" x14ac:dyDescent="0.2">
      <c r="A296" s="250">
        <v>71</v>
      </c>
      <c r="B296" s="164" t="s">
        <v>502</v>
      </c>
      <c r="C296" s="165"/>
      <c r="D296" s="251" t="s">
        <v>107</v>
      </c>
      <c r="E296" s="252"/>
      <c r="F296" s="252"/>
      <c r="G296" s="251"/>
      <c r="H296" s="251"/>
      <c r="I296" s="264" t="s">
        <v>503</v>
      </c>
      <c r="J296" s="265" t="s">
        <v>453</v>
      </c>
      <c r="K296" s="170">
        <f>6300*100%</f>
        <v>6300</v>
      </c>
      <c r="L296" s="260" t="s">
        <v>111</v>
      </c>
      <c r="M296" s="247" t="s">
        <v>504</v>
      </c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</row>
    <row r="297" spans="1:47" ht="68.25" customHeight="1" x14ac:dyDescent="0.2">
      <c r="A297" s="250">
        <v>72</v>
      </c>
      <c r="B297" s="164" t="s">
        <v>505</v>
      </c>
      <c r="C297" s="165"/>
      <c r="D297" s="251" t="s">
        <v>107</v>
      </c>
      <c r="E297" s="252"/>
      <c r="F297" s="252"/>
      <c r="G297" s="251"/>
      <c r="H297" s="251"/>
      <c r="I297" s="264" t="s">
        <v>503</v>
      </c>
      <c r="J297" s="169" t="s">
        <v>453</v>
      </c>
      <c r="K297" s="170">
        <f>6300*100%</f>
        <v>6300</v>
      </c>
      <c r="L297" s="260" t="s">
        <v>111</v>
      </c>
      <c r="M297" s="247" t="s">
        <v>506</v>
      </c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</row>
    <row r="298" spans="1:47" ht="24" customHeight="1" x14ac:dyDescent="0.2">
      <c r="A298" s="163">
        <v>73</v>
      </c>
      <c r="B298" s="164" t="s">
        <v>507</v>
      </c>
      <c r="C298" s="165"/>
      <c r="D298" s="166" t="s">
        <v>107</v>
      </c>
      <c r="E298" s="167"/>
      <c r="F298" s="167"/>
      <c r="G298" s="166"/>
      <c r="H298" s="166"/>
      <c r="I298" s="168" t="s">
        <v>508</v>
      </c>
      <c r="J298" s="197" t="s">
        <v>453</v>
      </c>
      <c r="K298" s="170">
        <f>6300*80%</f>
        <v>5040</v>
      </c>
      <c r="L298" s="165" t="s">
        <v>111</v>
      </c>
      <c r="M298" s="172" t="s">
        <v>509</v>
      </c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</row>
    <row r="299" spans="1:47" ht="48" x14ac:dyDescent="0.2">
      <c r="A299" s="174"/>
      <c r="B299" s="175"/>
      <c r="C299" s="176"/>
      <c r="D299" s="177"/>
      <c r="E299" s="178"/>
      <c r="F299" s="178"/>
      <c r="G299" s="177"/>
      <c r="H299" s="177"/>
      <c r="I299" s="179" t="s">
        <v>510</v>
      </c>
      <c r="J299" s="248" t="s">
        <v>453</v>
      </c>
      <c r="K299" s="200">
        <f>6300*5%</f>
        <v>315</v>
      </c>
      <c r="L299" s="176"/>
      <c r="M299" s="183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</row>
    <row r="300" spans="1:47" x14ac:dyDescent="0.2">
      <c r="A300" s="174"/>
      <c r="B300" s="175"/>
      <c r="C300" s="176"/>
      <c r="D300" s="177"/>
      <c r="E300" s="178"/>
      <c r="F300" s="178"/>
      <c r="G300" s="177"/>
      <c r="H300" s="177"/>
      <c r="I300" s="179" t="s">
        <v>511</v>
      </c>
      <c r="J300" s="169" t="s">
        <v>453</v>
      </c>
      <c r="K300" s="201">
        <f>6300*5%</f>
        <v>315</v>
      </c>
      <c r="L300" s="176"/>
      <c r="M300" s="183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</row>
    <row r="301" spans="1:47" x14ac:dyDescent="0.2">
      <c r="A301" s="174"/>
      <c r="B301" s="175"/>
      <c r="C301" s="176"/>
      <c r="D301" s="177"/>
      <c r="E301" s="178"/>
      <c r="F301" s="178"/>
      <c r="G301" s="177"/>
      <c r="H301" s="177"/>
      <c r="I301" s="186" t="s">
        <v>485</v>
      </c>
      <c r="J301" s="180" t="s">
        <v>453</v>
      </c>
      <c r="K301" s="199">
        <f>6300*5%</f>
        <v>315</v>
      </c>
      <c r="L301" s="176"/>
      <c r="M301" s="183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</row>
    <row r="302" spans="1:47" x14ac:dyDescent="0.2">
      <c r="A302" s="174"/>
      <c r="B302" s="175"/>
      <c r="C302" s="176"/>
      <c r="D302" s="177"/>
      <c r="E302" s="178"/>
      <c r="F302" s="178"/>
      <c r="G302" s="177"/>
      <c r="H302" s="177"/>
      <c r="I302" s="168" t="s">
        <v>486</v>
      </c>
      <c r="J302" s="180" t="s">
        <v>453</v>
      </c>
      <c r="K302" s="200">
        <f>6300*5%</f>
        <v>315</v>
      </c>
      <c r="L302" s="176"/>
      <c r="M302" s="183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</row>
    <row r="303" spans="1:47" x14ac:dyDescent="0.2">
      <c r="A303" s="187"/>
      <c r="B303" s="188"/>
      <c r="C303" s="189"/>
      <c r="D303" s="190"/>
      <c r="E303" s="191"/>
      <c r="F303" s="191"/>
      <c r="G303" s="190"/>
      <c r="H303" s="190"/>
      <c r="I303" s="202"/>
      <c r="J303" s="215"/>
      <c r="K303" s="208">
        <f>SUM(K298:K302)</f>
        <v>6300</v>
      </c>
      <c r="L303" s="189"/>
      <c r="M303" s="196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</row>
    <row r="304" spans="1:47" ht="24" customHeight="1" x14ac:dyDescent="0.2">
      <c r="A304" s="163">
        <v>74</v>
      </c>
      <c r="B304" s="164" t="s">
        <v>512</v>
      </c>
      <c r="C304" s="165"/>
      <c r="D304" s="166" t="s">
        <v>107</v>
      </c>
      <c r="E304" s="167"/>
      <c r="F304" s="167"/>
      <c r="G304" s="166"/>
      <c r="H304" s="166"/>
      <c r="I304" s="168" t="s">
        <v>513</v>
      </c>
      <c r="J304" s="169" t="s">
        <v>453</v>
      </c>
      <c r="K304" s="211">
        <f>6300*60%</f>
        <v>3780</v>
      </c>
      <c r="L304" s="171" t="s">
        <v>111</v>
      </c>
      <c r="M304" s="172" t="s">
        <v>514</v>
      </c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</row>
    <row r="305" spans="1:47" ht="48" x14ac:dyDescent="0.2">
      <c r="A305" s="174"/>
      <c r="B305" s="175"/>
      <c r="C305" s="176"/>
      <c r="D305" s="177"/>
      <c r="E305" s="178"/>
      <c r="F305" s="178"/>
      <c r="G305" s="177"/>
      <c r="H305" s="177"/>
      <c r="I305" s="186" t="s">
        <v>515</v>
      </c>
      <c r="J305" s="185" t="s">
        <v>453</v>
      </c>
      <c r="K305" s="201">
        <f>6300*10%</f>
        <v>630</v>
      </c>
      <c r="L305" s="182"/>
      <c r="M305" s="183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  <c r="AU305" s="135"/>
    </row>
    <row r="306" spans="1:47" x14ac:dyDescent="0.2">
      <c r="A306" s="174"/>
      <c r="B306" s="175"/>
      <c r="C306" s="176"/>
      <c r="D306" s="177"/>
      <c r="E306" s="178"/>
      <c r="F306" s="178"/>
      <c r="G306" s="177"/>
      <c r="H306" s="177"/>
      <c r="I306" s="168" t="s">
        <v>516</v>
      </c>
      <c r="J306" s="180" t="s">
        <v>453</v>
      </c>
      <c r="K306" s="207">
        <f>6300*10%</f>
        <v>630</v>
      </c>
      <c r="L306" s="182"/>
      <c r="M306" s="183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</row>
    <row r="307" spans="1:47" x14ac:dyDescent="0.2">
      <c r="A307" s="174"/>
      <c r="B307" s="175"/>
      <c r="C307" s="176"/>
      <c r="D307" s="177"/>
      <c r="E307" s="178"/>
      <c r="F307" s="178"/>
      <c r="G307" s="177"/>
      <c r="H307" s="177"/>
      <c r="I307" s="186" t="s">
        <v>517</v>
      </c>
      <c r="J307" s="169" t="s">
        <v>453</v>
      </c>
      <c r="K307" s="226">
        <f>6300*10%</f>
        <v>630</v>
      </c>
      <c r="L307" s="182"/>
      <c r="M307" s="183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</row>
    <row r="308" spans="1:47" ht="48" x14ac:dyDescent="0.2">
      <c r="A308" s="174"/>
      <c r="B308" s="175"/>
      <c r="C308" s="176"/>
      <c r="D308" s="177"/>
      <c r="E308" s="178"/>
      <c r="F308" s="178"/>
      <c r="G308" s="177"/>
      <c r="H308" s="177"/>
      <c r="I308" s="168" t="s">
        <v>518</v>
      </c>
      <c r="J308" s="185" t="s">
        <v>460</v>
      </c>
      <c r="K308" s="207">
        <f>6300*10%</f>
        <v>630</v>
      </c>
      <c r="L308" s="182"/>
      <c r="M308" s="183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</row>
    <row r="309" spans="1:47" x14ac:dyDescent="0.2">
      <c r="A309" s="187"/>
      <c r="B309" s="188"/>
      <c r="C309" s="189"/>
      <c r="D309" s="190"/>
      <c r="E309" s="191"/>
      <c r="F309" s="191"/>
      <c r="G309" s="190"/>
      <c r="H309" s="190"/>
      <c r="I309" s="202"/>
      <c r="J309" s="193"/>
      <c r="K309" s="208">
        <f>SUM(K304:K308)</f>
        <v>6300</v>
      </c>
      <c r="L309" s="195"/>
      <c r="M309" s="196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</row>
    <row r="310" spans="1:47" ht="48" customHeight="1" x14ac:dyDescent="0.2">
      <c r="A310" s="163">
        <v>75</v>
      </c>
      <c r="B310" s="164" t="s">
        <v>519</v>
      </c>
      <c r="C310" s="165"/>
      <c r="D310" s="166" t="s">
        <v>107</v>
      </c>
      <c r="E310" s="167"/>
      <c r="F310" s="167"/>
      <c r="G310" s="166"/>
      <c r="H310" s="166"/>
      <c r="I310" s="217" t="s">
        <v>520</v>
      </c>
      <c r="J310" s="169" t="s">
        <v>453</v>
      </c>
      <c r="K310" s="170">
        <f>6300*90%</f>
        <v>5670</v>
      </c>
      <c r="L310" s="165" t="s">
        <v>111</v>
      </c>
      <c r="M310" s="172" t="s">
        <v>521</v>
      </c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</row>
    <row r="311" spans="1:47" x14ac:dyDescent="0.2">
      <c r="A311" s="174"/>
      <c r="B311" s="175"/>
      <c r="C311" s="176"/>
      <c r="D311" s="177"/>
      <c r="E311" s="178"/>
      <c r="F311" s="178"/>
      <c r="G311" s="177"/>
      <c r="H311" s="177"/>
      <c r="I311" s="168" t="s">
        <v>522</v>
      </c>
      <c r="J311" s="185" t="s">
        <v>453</v>
      </c>
      <c r="K311" s="200">
        <f>6300*10%</f>
        <v>630</v>
      </c>
      <c r="L311" s="176"/>
      <c r="M311" s="183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</row>
    <row r="312" spans="1:47" x14ac:dyDescent="0.2">
      <c r="A312" s="187"/>
      <c r="B312" s="188"/>
      <c r="C312" s="189"/>
      <c r="D312" s="190"/>
      <c r="E312" s="191"/>
      <c r="F312" s="191"/>
      <c r="G312" s="190"/>
      <c r="H312" s="190"/>
      <c r="I312" s="202"/>
      <c r="J312" s="193"/>
      <c r="K312" s="208">
        <f>SUM(K310:K311)</f>
        <v>6300</v>
      </c>
      <c r="L312" s="189"/>
      <c r="M312" s="196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</row>
    <row r="313" spans="1:47" ht="48" customHeight="1" x14ac:dyDescent="0.2">
      <c r="A313" s="163">
        <v>76</v>
      </c>
      <c r="B313" s="164" t="s">
        <v>523</v>
      </c>
      <c r="C313" s="165"/>
      <c r="D313" s="166" t="s">
        <v>107</v>
      </c>
      <c r="E313" s="167"/>
      <c r="F313" s="167"/>
      <c r="G313" s="166"/>
      <c r="H313" s="166"/>
      <c r="I313" s="168" t="s">
        <v>524</v>
      </c>
      <c r="J313" s="197" t="s">
        <v>453</v>
      </c>
      <c r="K313" s="205">
        <f>6300*70%</f>
        <v>4410</v>
      </c>
      <c r="L313" s="171" t="s">
        <v>111</v>
      </c>
      <c r="M313" s="172" t="s">
        <v>525</v>
      </c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</row>
    <row r="314" spans="1:47" x14ac:dyDescent="0.2">
      <c r="A314" s="174"/>
      <c r="B314" s="175"/>
      <c r="C314" s="176"/>
      <c r="D314" s="177"/>
      <c r="E314" s="178"/>
      <c r="F314" s="178"/>
      <c r="G314" s="177"/>
      <c r="H314" s="177"/>
      <c r="I314" s="179" t="s">
        <v>522</v>
      </c>
      <c r="J314" s="169" t="s">
        <v>453</v>
      </c>
      <c r="K314" s="201">
        <f>6300*10%</f>
        <v>630</v>
      </c>
      <c r="L314" s="182"/>
      <c r="M314" s="183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</row>
    <row r="315" spans="1:47" x14ac:dyDescent="0.2">
      <c r="A315" s="174"/>
      <c r="B315" s="175"/>
      <c r="C315" s="176"/>
      <c r="D315" s="177"/>
      <c r="E315" s="178"/>
      <c r="F315" s="178"/>
      <c r="G315" s="177"/>
      <c r="H315" s="177"/>
      <c r="I315" s="186" t="s">
        <v>526</v>
      </c>
      <c r="J315" s="180" t="s">
        <v>453</v>
      </c>
      <c r="K315" s="181">
        <f>6300*10%</f>
        <v>630</v>
      </c>
      <c r="L315" s="182"/>
      <c r="M315" s="183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</row>
    <row r="316" spans="1:47" x14ac:dyDescent="0.2">
      <c r="A316" s="174"/>
      <c r="B316" s="175"/>
      <c r="C316" s="176"/>
      <c r="D316" s="177"/>
      <c r="E316" s="178"/>
      <c r="F316" s="178"/>
      <c r="G316" s="177"/>
      <c r="H316" s="177"/>
      <c r="I316" s="168" t="s">
        <v>527</v>
      </c>
      <c r="J316" s="180" t="s">
        <v>453</v>
      </c>
      <c r="K316" s="181">
        <f>6300*10%</f>
        <v>630</v>
      </c>
      <c r="L316" s="182"/>
      <c r="M316" s="183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</row>
    <row r="317" spans="1:47" x14ac:dyDescent="0.2">
      <c r="A317" s="187"/>
      <c r="B317" s="188"/>
      <c r="C317" s="189"/>
      <c r="D317" s="190"/>
      <c r="E317" s="191"/>
      <c r="F317" s="191"/>
      <c r="G317" s="190"/>
      <c r="H317" s="190"/>
      <c r="I317" s="202"/>
      <c r="J317" s="193"/>
      <c r="K317" s="194">
        <f>SUM(K313:K316)</f>
        <v>6300</v>
      </c>
      <c r="L317" s="195"/>
      <c r="M317" s="196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</row>
    <row r="318" spans="1:47" ht="24" customHeight="1" x14ac:dyDescent="0.2">
      <c r="A318" s="163">
        <v>77</v>
      </c>
      <c r="B318" s="164" t="s">
        <v>528</v>
      </c>
      <c r="C318" s="165"/>
      <c r="D318" s="166" t="s">
        <v>161</v>
      </c>
      <c r="E318" s="167"/>
      <c r="F318" s="167"/>
      <c r="G318" s="166"/>
      <c r="H318" s="166"/>
      <c r="I318" s="217" t="s">
        <v>529</v>
      </c>
      <c r="J318" s="197" t="s">
        <v>453</v>
      </c>
      <c r="K318" s="170">
        <f>100000*50%</f>
        <v>50000</v>
      </c>
      <c r="L318" s="171" t="s">
        <v>164</v>
      </c>
      <c r="M318" s="172" t="s">
        <v>530</v>
      </c>
      <c r="N318" s="173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</row>
    <row r="319" spans="1:47" x14ac:dyDescent="0.2">
      <c r="A319" s="174"/>
      <c r="B319" s="175"/>
      <c r="C319" s="176"/>
      <c r="D319" s="177"/>
      <c r="E319" s="178"/>
      <c r="F319" s="178"/>
      <c r="G319" s="177"/>
      <c r="H319" s="177"/>
      <c r="I319" s="186" t="s">
        <v>531</v>
      </c>
      <c r="J319" s="169" t="s">
        <v>460</v>
      </c>
      <c r="K319" s="226">
        <f>100000*10%</f>
        <v>10000</v>
      </c>
      <c r="L319" s="182"/>
      <c r="M319" s="183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</row>
    <row r="320" spans="1:47" x14ac:dyDescent="0.2">
      <c r="A320" s="174"/>
      <c r="B320" s="175"/>
      <c r="C320" s="176"/>
      <c r="D320" s="177"/>
      <c r="E320" s="178"/>
      <c r="F320" s="178"/>
      <c r="G320" s="177"/>
      <c r="H320" s="177"/>
      <c r="I320" s="168" t="s">
        <v>532</v>
      </c>
      <c r="J320" s="180" t="s">
        <v>460</v>
      </c>
      <c r="K320" s="201">
        <f>100000*10%</f>
        <v>10000</v>
      </c>
      <c r="L320" s="182"/>
      <c r="M320" s="183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</row>
    <row r="321" spans="1:47" x14ac:dyDescent="0.2">
      <c r="A321" s="174"/>
      <c r="B321" s="175"/>
      <c r="C321" s="176"/>
      <c r="D321" s="177"/>
      <c r="E321" s="178"/>
      <c r="F321" s="178"/>
      <c r="G321" s="177"/>
      <c r="H321" s="177"/>
      <c r="I321" s="179" t="s">
        <v>533</v>
      </c>
      <c r="J321" s="169" t="s">
        <v>460</v>
      </c>
      <c r="K321" s="184">
        <f>100000*10%</f>
        <v>10000</v>
      </c>
      <c r="L321" s="182"/>
      <c r="M321" s="183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  <c r="AU321" s="135"/>
    </row>
    <row r="322" spans="1:47" x14ac:dyDescent="0.2">
      <c r="A322" s="174"/>
      <c r="B322" s="175"/>
      <c r="C322" s="176"/>
      <c r="D322" s="177"/>
      <c r="E322" s="178"/>
      <c r="F322" s="178"/>
      <c r="G322" s="177"/>
      <c r="H322" s="177"/>
      <c r="I322" s="179" t="s">
        <v>534</v>
      </c>
      <c r="J322" s="180" t="s">
        <v>460</v>
      </c>
      <c r="K322" s="181">
        <f>100000*10%</f>
        <v>10000</v>
      </c>
      <c r="L322" s="182"/>
      <c r="M322" s="183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</row>
    <row r="323" spans="1:47" ht="48" x14ac:dyDescent="0.2">
      <c r="A323" s="174"/>
      <c r="B323" s="175"/>
      <c r="C323" s="176"/>
      <c r="D323" s="177"/>
      <c r="E323" s="178"/>
      <c r="F323" s="178"/>
      <c r="G323" s="177"/>
      <c r="H323" s="177"/>
      <c r="I323" s="186" t="s">
        <v>535</v>
      </c>
      <c r="J323" s="169" t="s">
        <v>401</v>
      </c>
      <c r="K323" s="184">
        <f>100000*5%</f>
        <v>5000</v>
      </c>
      <c r="L323" s="182"/>
      <c r="M323" s="183"/>
      <c r="N323" s="173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</row>
    <row r="324" spans="1:47" ht="48" x14ac:dyDescent="0.2">
      <c r="A324" s="174"/>
      <c r="B324" s="175"/>
      <c r="C324" s="176"/>
      <c r="D324" s="177"/>
      <c r="E324" s="178"/>
      <c r="F324" s="178"/>
      <c r="G324" s="177"/>
      <c r="H324" s="177"/>
      <c r="I324" s="186" t="s">
        <v>536</v>
      </c>
      <c r="J324" s="180" t="s">
        <v>401</v>
      </c>
      <c r="K324" s="207">
        <f>100000*5%</f>
        <v>5000</v>
      </c>
      <c r="L324" s="182"/>
      <c r="M324" s="183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</row>
    <row r="325" spans="1:47" x14ac:dyDescent="0.2">
      <c r="A325" s="187"/>
      <c r="B325" s="188"/>
      <c r="C325" s="189"/>
      <c r="D325" s="190"/>
      <c r="E325" s="191"/>
      <c r="F325" s="191"/>
      <c r="G325" s="190"/>
      <c r="H325" s="190"/>
      <c r="I325" s="192"/>
      <c r="J325" s="193"/>
      <c r="K325" s="208">
        <f>SUM(K318:K324)</f>
        <v>100000</v>
      </c>
      <c r="L325" s="195"/>
      <c r="M325" s="196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</row>
    <row r="326" spans="1:47" ht="24" customHeight="1" x14ac:dyDescent="0.2">
      <c r="A326" s="163">
        <v>78</v>
      </c>
      <c r="B326" s="164" t="s">
        <v>537</v>
      </c>
      <c r="C326" s="165"/>
      <c r="D326" s="166" t="s">
        <v>161</v>
      </c>
      <c r="E326" s="167"/>
      <c r="F326" s="167"/>
      <c r="G326" s="166"/>
      <c r="H326" s="166"/>
      <c r="I326" s="217" t="s">
        <v>538</v>
      </c>
      <c r="J326" s="169" t="s">
        <v>453</v>
      </c>
      <c r="K326" s="211">
        <f>154000*80%</f>
        <v>123200</v>
      </c>
      <c r="L326" s="171" t="s">
        <v>164</v>
      </c>
      <c r="M326" s="172" t="s">
        <v>539</v>
      </c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</row>
    <row r="327" spans="1:47" x14ac:dyDescent="0.2">
      <c r="A327" s="174"/>
      <c r="B327" s="175"/>
      <c r="C327" s="176"/>
      <c r="D327" s="177"/>
      <c r="E327" s="178"/>
      <c r="F327" s="178"/>
      <c r="G327" s="177"/>
      <c r="H327" s="177"/>
      <c r="I327" s="168" t="s">
        <v>540</v>
      </c>
      <c r="J327" s="180" t="s">
        <v>460</v>
      </c>
      <c r="K327" s="207">
        <f>154000*5%</f>
        <v>7700</v>
      </c>
      <c r="L327" s="182"/>
      <c r="M327" s="183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</row>
    <row r="328" spans="1:47" x14ac:dyDescent="0.2">
      <c r="A328" s="174"/>
      <c r="B328" s="175"/>
      <c r="C328" s="176"/>
      <c r="D328" s="177"/>
      <c r="E328" s="178"/>
      <c r="F328" s="178"/>
      <c r="G328" s="177"/>
      <c r="H328" s="177"/>
      <c r="I328" s="186" t="s">
        <v>541</v>
      </c>
      <c r="J328" s="169" t="s">
        <v>460</v>
      </c>
      <c r="K328" s="201">
        <f>154000*5%</f>
        <v>7700</v>
      </c>
      <c r="L328" s="182"/>
      <c r="M328" s="183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</row>
    <row r="329" spans="1:47" ht="48" x14ac:dyDescent="0.2">
      <c r="A329" s="174"/>
      <c r="B329" s="175"/>
      <c r="C329" s="176"/>
      <c r="D329" s="177"/>
      <c r="E329" s="178"/>
      <c r="F329" s="178"/>
      <c r="G329" s="177"/>
      <c r="H329" s="177"/>
      <c r="I329" s="186" t="s">
        <v>542</v>
      </c>
      <c r="J329" s="180" t="s">
        <v>460</v>
      </c>
      <c r="K329" s="207">
        <f>154000*5%</f>
        <v>7700</v>
      </c>
      <c r="L329" s="182"/>
      <c r="M329" s="183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  <c r="AU329" s="135"/>
    </row>
    <row r="330" spans="1:47" x14ac:dyDescent="0.2">
      <c r="A330" s="174"/>
      <c r="B330" s="175"/>
      <c r="C330" s="176"/>
      <c r="D330" s="177"/>
      <c r="E330" s="178"/>
      <c r="F330" s="178"/>
      <c r="G330" s="177"/>
      <c r="H330" s="177"/>
      <c r="I330" s="168" t="s">
        <v>543</v>
      </c>
      <c r="J330" s="180" t="s">
        <v>460</v>
      </c>
      <c r="K330" s="201">
        <f>154000*5%</f>
        <v>7700</v>
      </c>
      <c r="L330" s="182"/>
      <c r="M330" s="183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</row>
    <row r="331" spans="1:47" x14ac:dyDescent="0.2">
      <c r="A331" s="187"/>
      <c r="B331" s="188"/>
      <c r="C331" s="189"/>
      <c r="D331" s="190"/>
      <c r="E331" s="191"/>
      <c r="F331" s="191"/>
      <c r="G331" s="190"/>
      <c r="H331" s="190"/>
      <c r="I331" s="202"/>
      <c r="J331" s="215"/>
      <c r="K331" s="216">
        <f>SUM(K326:K330)</f>
        <v>154000</v>
      </c>
      <c r="L331" s="195"/>
      <c r="M331" s="196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</row>
    <row r="332" spans="1:47" ht="21.75" customHeight="1" x14ac:dyDescent="0.2">
      <c r="A332" s="163">
        <v>79</v>
      </c>
      <c r="B332" s="164" t="s">
        <v>544</v>
      </c>
      <c r="C332" s="165"/>
      <c r="D332" s="166" t="s">
        <v>25</v>
      </c>
      <c r="E332" s="167"/>
      <c r="F332" s="167"/>
      <c r="G332" s="172" t="s">
        <v>545</v>
      </c>
      <c r="H332" s="166" t="s">
        <v>546</v>
      </c>
      <c r="I332" s="269" t="s">
        <v>547</v>
      </c>
      <c r="J332" s="220" t="s">
        <v>548</v>
      </c>
      <c r="K332" s="270">
        <f>2068000*80%</f>
        <v>1654400</v>
      </c>
      <c r="L332" s="172" t="s">
        <v>549</v>
      </c>
      <c r="M332" s="172" t="s">
        <v>550</v>
      </c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  <c r="AU332" s="135"/>
    </row>
    <row r="333" spans="1:47" x14ac:dyDescent="0.2">
      <c r="A333" s="174"/>
      <c r="B333" s="175"/>
      <c r="C333" s="176"/>
      <c r="D333" s="177"/>
      <c r="E333" s="178"/>
      <c r="F333" s="178"/>
      <c r="G333" s="183"/>
      <c r="H333" s="177"/>
      <c r="I333" s="271" t="s">
        <v>551</v>
      </c>
      <c r="J333" s="206" t="s">
        <v>552</v>
      </c>
      <c r="K333" s="270">
        <f>K335*10%</f>
        <v>206800</v>
      </c>
      <c r="L333" s="183"/>
      <c r="M333" s="183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  <c r="AU333" s="135"/>
    </row>
    <row r="334" spans="1:47" x14ac:dyDescent="0.2">
      <c r="A334" s="174"/>
      <c r="B334" s="175"/>
      <c r="C334" s="176"/>
      <c r="D334" s="177"/>
      <c r="E334" s="178"/>
      <c r="F334" s="178"/>
      <c r="G334" s="183"/>
      <c r="H334" s="177"/>
      <c r="I334" s="272" t="s">
        <v>553</v>
      </c>
      <c r="J334" s="169" t="s">
        <v>552</v>
      </c>
      <c r="K334" s="270">
        <f>K335*10%</f>
        <v>206800</v>
      </c>
      <c r="L334" s="183"/>
      <c r="M334" s="183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</row>
    <row r="335" spans="1:47" ht="25.5" customHeight="1" x14ac:dyDescent="0.2">
      <c r="A335" s="187"/>
      <c r="B335" s="188"/>
      <c r="C335" s="189"/>
      <c r="D335" s="190"/>
      <c r="E335" s="191"/>
      <c r="F335" s="191"/>
      <c r="G335" s="196"/>
      <c r="H335" s="190"/>
      <c r="I335" s="273"/>
      <c r="J335" s="203"/>
      <c r="K335" s="270">
        <v>2068000</v>
      </c>
      <c r="L335" s="196"/>
      <c r="M335" s="196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</row>
    <row r="336" spans="1:47" ht="24" customHeight="1" x14ac:dyDescent="0.2">
      <c r="A336" s="167">
        <v>80</v>
      </c>
      <c r="B336" s="274" t="s">
        <v>554</v>
      </c>
      <c r="C336" s="275"/>
      <c r="D336" s="166" t="s">
        <v>25</v>
      </c>
      <c r="E336" s="276"/>
      <c r="F336" s="276"/>
      <c r="G336" s="172" t="s">
        <v>555</v>
      </c>
      <c r="H336" s="166" t="s">
        <v>546</v>
      </c>
      <c r="I336" s="277" t="s">
        <v>556</v>
      </c>
      <c r="J336" s="277" t="s">
        <v>552</v>
      </c>
      <c r="K336" s="278">
        <v>60514999.999999993</v>
      </c>
      <c r="L336" s="279" t="s">
        <v>555</v>
      </c>
      <c r="M336" s="172" t="s">
        <v>557</v>
      </c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  <c r="AU336" s="135"/>
    </row>
    <row r="337" spans="1:47" ht="48" x14ac:dyDescent="0.2">
      <c r="A337" s="178"/>
      <c r="B337" s="280"/>
      <c r="C337" s="281"/>
      <c r="D337" s="177"/>
      <c r="E337" s="282"/>
      <c r="F337" s="282"/>
      <c r="G337" s="183"/>
      <c r="H337" s="177"/>
      <c r="I337" s="283" t="s">
        <v>558</v>
      </c>
      <c r="J337" s="283" t="s">
        <v>193</v>
      </c>
      <c r="K337" s="213">
        <v>25935000</v>
      </c>
      <c r="L337" s="284"/>
      <c r="M337" s="183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  <c r="AU337" s="135"/>
    </row>
    <row r="338" spans="1:47" x14ac:dyDescent="0.2">
      <c r="A338" s="178"/>
      <c r="B338" s="280"/>
      <c r="C338" s="281"/>
      <c r="D338" s="177"/>
      <c r="E338" s="282"/>
      <c r="F338" s="282"/>
      <c r="G338" s="183"/>
      <c r="H338" s="177"/>
      <c r="I338" s="273"/>
      <c r="J338" s="273"/>
      <c r="K338" s="198">
        <v>86450000</v>
      </c>
      <c r="L338" s="284"/>
      <c r="M338" s="183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</row>
    <row r="339" spans="1:47" ht="24" customHeight="1" x14ac:dyDescent="0.2">
      <c r="A339" s="163">
        <v>81</v>
      </c>
      <c r="B339" s="164" t="s">
        <v>559</v>
      </c>
      <c r="C339" s="165"/>
      <c r="D339" s="166" t="s">
        <v>107</v>
      </c>
      <c r="E339" s="167"/>
      <c r="F339" s="167"/>
      <c r="G339" s="166"/>
      <c r="H339" s="166"/>
      <c r="I339" s="168" t="s">
        <v>560</v>
      </c>
      <c r="J339" s="169" t="s">
        <v>398</v>
      </c>
      <c r="K339" s="170">
        <f>7500*25%</f>
        <v>1875</v>
      </c>
      <c r="L339" s="171" t="s">
        <v>111</v>
      </c>
      <c r="M339" s="172" t="s">
        <v>561</v>
      </c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  <c r="AU339" s="135"/>
    </row>
    <row r="340" spans="1:47" x14ac:dyDescent="0.2">
      <c r="A340" s="174"/>
      <c r="B340" s="175"/>
      <c r="C340" s="176"/>
      <c r="D340" s="177"/>
      <c r="E340" s="178"/>
      <c r="F340" s="178"/>
      <c r="G340" s="177"/>
      <c r="H340" s="177"/>
      <c r="I340" s="186" t="s">
        <v>562</v>
      </c>
      <c r="J340" s="180" t="s">
        <v>398</v>
      </c>
      <c r="K340" s="181">
        <f>7500*25%</f>
        <v>1875</v>
      </c>
      <c r="L340" s="182"/>
      <c r="M340" s="183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</row>
    <row r="341" spans="1:47" x14ac:dyDescent="0.2">
      <c r="A341" s="174"/>
      <c r="B341" s="175"/>
      <c r="C341" s="176"/>
      <c r="D341" s="177"/>
      <c r="E341" s="178"/>
      <c r="F341" s="178"/>
      <c r="G341" s="177"/>
      <c r="H341" s="177"/>
      <c r="I341" s="186" t="s">
        <v>563</v>
      </c>
      <c r="J341" s="169" t="s">
        <v>379</v>
      </c>
      <c r="K341" s="184">
        <f>7500*25%</f>
        <v>1875</v>
      </c>
      <c r="L341" s="182"/>
      <c r="M341" s="183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</row>
    <row r="342" spans="1:47" x14ac:dyDescent="0.2">
      <c r="A342" s="174"/>
      <c r="B342" s="175"/>
      <c r="C342" s="176"/>
      <c r="D342" s="177"/>
      <c r="E342" s="178"/>
      <c r="F342" s="178"/>
      <c r="G342" s="177"/>
      <c r="H342" s="177"/>
      <c r="I342" s="168" t="s">
        <v>564</v>
      </c>
      <c r="J342" s="180" t="s">
        <v>379</v>
      </c>
      <c r="K342" s="207">
        <f>7500*15%</f>
        <v>1125</v>
      </c>
      <c r="L342" s="182"/>
      <c r="M342" s="183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</row>
    <row r="343" spans="1:47" x14ac:dyDescent="0.2">
      <c r="A343" s="174"/>
      <c r="B343" s="175"/>
      <c r="C343" s="176"/>
      <c r="D343" s="177"/>
      <c r="E343" s="178"/>
      <c r="F343" s="178"/>
      <c r="G343" s="177"/>
      <c r="H343" s="177"/>
      <c r="I343" s="186" t="s">
        <v>565</v>
      </c>
      <c r="J343" s="180" t="s">
        <v>379</v>
      </c>
      <c r="K343" s="201">
        <f>7500*10%</f>
        <v>750</v>
      </c>
      <c r="L343" s="182"/>
      <c r="M343" s="183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</row>
    <row r="344" spans="1:47" x14ac:dyDescent="0.2">
      <c r="A344" s="187"/>
      <c r="B344" s="188"/>
      <c r="C344" s="189"/>
      <c r="D344" s="190"/>
      <c r="E344" s="191"/>
      <c r="F344" s="191"/>
      <c r="G344" s="190"/>
      <c r="H344" s="190"/>
      <c r="I344" s="192"/>
      <c r="J344" s="215"/>
      <c r="K344" s="216">
        <f>SUM(K339:K343)</f>
        <v>7500</v>
      </c>
      <c r="L344" s="195"/>
      <c r="M344" s="196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</row>
    <row r="345" spans="1:47" ht="48" customHeight="1" x14ac:dyDescent="0.2">
      <c r="A345" s="163">
        <v>82</v>
      </c>
      <c r="B345" s="164" t="s">
        <v>566</v>
      </c>
      <c r="C345" s="165"/>
      <c r="D345" s="166" t="s">
        <v>107</v>
      </c>
      <c r="E345" s="167"/>
      <c r="F345" s="167"/>
      <c r="G345" s="166"/>
      <c r="H345" s="166"/>
      <c r="I345" s="217" t="s">
        <v>567</v>
      </c>
      <c r="J345" s="169" t="s">
        <v>398</v>
      </c>
      <c r="K345" s="170">
        <f>6000*50%</f>
        <v>3000</v>
      </c>
      <c r="L345" s="171" t="s">
        <v>111</v>
      </c>
      <c r="M345" s="172" t="s">
        <v>568</v>
      </c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  <c r="AU345" s="135"/>
    </row>
    <row r="346" spans="1:47" x14ac:dyDescent="0.2">
      <c r="A346" s="174"/>
      <c r="B346" s="175"/>
      <c r="C346" s="176"/>
      <c r="D346" s="177"/>
      <c r="E346" s="178"/>
      <c r="F346" s="178"/>
      <c r="G346" s="177"/>
      <c r="H346" s="177"/>
      <c r="I346" s="168" t="s">
        <v>569</v>
      </c>
      <c r="J346" s="180" t="s">
        <v>398</v>
      </c>
      <c r="K346" s="181">
        <f>6000*5%</f>
        <v>300</v>
      </c>
      <c r="L346" s="182"/>
      <c r="M346" s="183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  <c r="AU346" s="135"/>
    </row>
    <row r="347" spans="1:47" x14ac:dyDescent="0.2">
      <c r="A347" s="174"/>
      <c r="B347" s="175"/>
      <c r="C347" s="176"/>
      <c r="D347" s="177"/>
      <c r="E347" s="178"/>
      <c r="F347" s="178"/>
      <c r="G347" s="177"/>
      <c r="H347" s="177"/>
      <c r="I347" s="186" t="s">
        <v>439</v>
      </c>
      <c r="J347" s="180" t="s">
        <v>398</v>
      </c>
      <c r="K347" s="181">
        <f>6000*15%</f>
        <v>900</v>
      </c>
      <c r="L347" s="182"/>
      <c r="M347" s="183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  <c r="AU347" s="135"/>
    </row>
    <row r="348" spans="1:47" x14ac:dyDescent="0.2">
      <c r="A348" s="174"/>
      <c r="B348" s="175"/>
      <c r="C348" s="176"/>
      <c r="D348" s="177"/>
      <c r="E348" s="178"/>
      <c r="F348" s="178"/>
      <c r="G348" s="177"/>
      <c r="H348" s="177"/>
      <c r="I348" s="186" t="s">
        <v>570</v>
      </c>
      <c r="J348" s="169" t="s">
        <v>398</v>
      </c>
      <c r="K348" s="184">
        <f>6000*5%</f>
        <v>300</v>
      </c>
      <c r="L348" s="182"/>
      <c r="M348" s="183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</row>
    <row r="349" spans="1:47" x14ac:dyDescent="0.2">
      <c r="A349" s="174"/>
      <c r="B349" s="175"/>
      <c r="C349" s="176"/>
      <c r="D349" s="177"/>
      <c r="E349" s="178"/>
      <c r="F349" s="178"/>
      <c r="G349" s="177"/>
      <c r="H349" s="177"/>
      <c r="I349" s="186" t="s">
        <v>571</v>
      </c>
      <c r="J349" s="180" t="s">
        <v>398</v>
      </c>
      <c r="K349" s="207">
        <f>6000*5%</f>
        <v>300</v>
      </c>
      <c r="L349" s="182"/>
      <c r="M349" s="183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</row>
    <row r="350" spans="1:47" x14ac:dyDescent="0.2">
      <c r="A350" s="174"/>
      <c r="B350" s="175"/>
      <c r="C350" s="176"/>
      <c r="D350" s="177"/>
      <c r="E350" s="178"/>
      <c r="F350" s="178"/>
      <c r="G350" s="177"/>
      <c r="H350" s="177"/>
      <c r="I350" s="186" t="s">
        <v>572</v>
      </c>
      <c r="J350" s="169" t="s">
        <v>398</v>
      </c>
      <c r="K350" s="201">
        <f>6000*15%</f>
        <v>900</v>
      </c>
      <c r="L350" s="182"/>
      <c r="M350" s="183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</row>
    <row r="351" spans="1:47" x14ac:dyDescent="0.2">
      <c r="A351" s="174"/>
      <c r="B351" s="175"/>
      <c r="C351" s="176"/>
      <c r="D351" s="177"/>
      <c r="E351" s="178"/>
      <c r="F351" s="178"/>
      <c r="G351" s="177"/>
      <c r="H351" s="177"/>
      <c r="I351" s="186" t="s">
        <v>573</v>
      </c>
      <c r="J351" s="180" t="s">
        <v>398</v>
      </c>
      <c r="K351" s="207">
        <f>6000*5%</f>
        <v>300</v>
      </c>
      <c r="L351" s="182"/>
      <c r="M351" s="183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  <c r="AU351" s="135"/>
    </row>
    <row r="352" spans="1:47" x14ac:dyDescent="0.2">
      <c r="A352" s="187"/>
      <c r="B352" s="188"/>
      <c r="C352" s="189"/>
      <c r="D352" s="190"/>
      <c r="E352" s="191"/>
      <c r="F352" s="191"/>
      <c r="G352" s="190"/>
      <c r="H352" s="190"/>
      <c r="I352" s="192"/>
      <c r="J352" s="193"/>
      <c r="K352" s="208">
        <f>SUM(K345:K351)</f>
        <v>6000</v>
      </c>
      <c r="L352" s="195"/>
      <c r="M352" s="196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  <c r="AR352" s="135"/>
      <c r="AS352" s="135"/>
      <c r="AT352" s="135"/>
      <c r="AU352" s="135"/>
    </row>
    <row r="353" spans="1:47" ht="48" customHeight="1" x14ac:dyDescent="0.2">
      <c r="A353" s="163">
        <v>83</v>
      </c>
      <c r="B353" s="164" t="s">
        <v>574</v>
      </c>
      <c r="C353" s="165"/>
      <c r="D353" s="166" t="s">
        <v>107</v>
      </c>
      <c r="E353" s="167"/>
      <c r="F353" s="167"/>
      <c r="G353" s="166"/>
      <c r="H353" s="166"/>
      <c r="I353" s="217" t="s">
        <v>575</v>
      </c>
      <c r="J353" s="197" t="s">
        <v>398</v>
      </c>
      <c r="K353" s="170">
        <f>7000*50%</f>
        <v>3500</v>
      </c>
      <c r="L353" s="171" t="s">
        <v>111</v>
      </c>
      <c r="M353" s="172" t="s">
        <v>576</v>
      </c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</row>
    <row r="354" spans="1:47" x14ac:dyDescent="0.2">
      <c r="A354" s="174"/>
      <c r="B354" s="175"/>
      <c r="C354" s="176"/>
      <c r="D354" s="177"/>
      <c r="E354" s="178"/>
      <c r="F354" s="178"/>
      <c r="G354" s="177"/>
      <c r="H354" s="177"/>
      <c r="I354" s="168" t="s">
        <v>577</v>
      </c>
      <c r="J354" s="169" t="s">
        <v>398</v>
      </c>
      <c r="K354" s="226">
        <f>7000*19%</f>
        <v>1330</v>
      </c>
      <c r="L354" s="182"/>
      <c r="M354" s="183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</row>
    <row r="355" spans="1:47" x14ac:dyDescent="0.2">
      <c r="A355" s="174"/>
      <c r="B355" s="175"/>
      <c r="C355" s="176"/>
      <c r="D355" s="177"/>
      <c r="E355" s="178"/>
      <c r="F355" s="178"/>
      <c r="G355" s="177"/>
      <c r="H355" s="177"/>
      <c r="I355" s="179" t="s">
        <v>573</v>
      </c>
      <c r="J355" s="180" t="s">
        <v>398</v>
      </c>
      <c r="K355" s="181">
        <f>7000*5%</f>
        <v>350</v>
      </c>
      <c r="L355" s="182"/>
      <c r="M355" s="183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</row>
    <row r="356" spans="1:47" x14ac:dyDescent="0.2">
      <c r="A356" s="174"/>
      <c r="B356" s="175"/>
      <c r="C356" s="176"/>
      <c r="D356" s="177"/>
      <c r="E356" s="178"/>
      <c r="F356" s="178"/>
      <c r="G356" s="177"/>
      <c r="H356" s="177"/>
      <c r="I356" s="179" t="s">
        <v>578</v>
      </c>
      <c r="J356" s="169" t="s">
        <v>253</v>
      </c>
      <c r="K356" s="226">
        <f>7000*3%</f>
        <v>210</v>
      </c>
      <c r="L356" s="182"/>
      <c r="M356" s="183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</row>
    <row r="357" spans="1:47" x14ac:dyDescent="0.2">
      <c r="A357" s="174"/>
      <c r="B357" s="175"/>
      <c r="C357" s="176"/>
      <c r="D357" s="177"/>
      <c r="E357" s="178"/>
      <c r="F357" s="178"/>
      <c r="G357" s="177"/>
      <c r="H357" s="177"/>
      <c r="I357" s="179" t="s">
        <v>569</v>
      </c>
      <c r="J357" s="180" t="s">
        <v>398</v>
      </c>
      <c r="K357" s="207">
        <f>7000*5%</f>
        <v>350</v>
      </c>
      <c r="L357" s="182"/>
      <c r="M357" s="183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</row>
    <row r="358" spans="1:47" x14ac:dyDescent="0.2">
      <c r="A358" s="174"/>
      <c r="B358" s="175"/>
      <c r="C358" s="176"/>
      <c r="D358" s="177"/>
      <c r="E358" s="178"/>
      <c r="F358" s="178"/>
      <c r="G358" s="177"/>
      <c r="H358" s="177"/>
      <c r="I358" s="186" t="s">
        <v>579</v>
      </c>
      <c r="J358" s="180" t="s">
        <v>398</v>
      </c>
      <c r="K358" s="207">
        <f>7000*5%</f>
        <v>350</v>
      </c>
      <c r="L358" s="182"/>
      <c r="M358" s="183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</row>
    <row r="359" spans="1:47" x14ac:dyDescent="0.2">
      <c r="A359" s="174"/>
      <c r="B359" s="175"/>
      <c r="C359" s="176"/>
      <c r="D359" s="177"/>
      <c r="E359" s="178"/>
      <c r="F359" s="178"/>
      <c r="G359" s="177"/>
      <c r="H359" s="177"/>
      <c r="I359" s="168" t="s">
        <v>571</v>
      </c>
      <c r="J359" s="180" t="s">
        <v>398</v>
      </c>
      <c r="K359" s="201">
        <f>7000*5%</f>
        <v>350</v>
      </c>
      <c r="L359" s="182"/>
      <c r="M359" s="183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</row>
    <row r="360" spans="1:47" x14ac:dyDescent="0.2">
      <c r="A360" s="174"/>
      <c r="B360" s="175"/>
      <c r="C360" s="176"/>
      <c r="D360" s="177"/>
      <c r="E360" s="178"/>
      <c r="F360" s="178"/>
      <c r="G360" s="177"/>
      <c r="H360" s="177"/>
      <c r="I360" s="186" t="s">
        <v>570</v>
      </c>
      <c r="J360" s="169" t="s">
        <v>398</v>
      </c>
      <c r="K360" s="226">
        <f>7000*5%</f>
        <v>350</v>
      </c>
      <c r="L360" s="182"/>
      <c r="M360" s="183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  <c r="AU360" s="135"/>
    </row>
    <row r="361" spans="1:47" x14ac:dyDescent="0.2">
      <c r="A361" s="174"/>
      <c r="B361" s="175"/>
      <c r="C361" s="176"/>
      <c r="D361" s="177"/>
      <c r="E361" s="178"/>
      <c r="F361" s="178"/>
      <c r="G361" s="177"/>
      <c r="H361" s="177"/>
      <c r="I361" s="186" t="s">
        <v>580</v>
      </c>
      <c r="J361" s="180" t="s">
        <v>398</v>
      </c>
      <c r="K361" s="207">
        <f>7000*3%</f>
        <v>210</v>
      </c>
      <c r="L361" s="182"/>
      <c r="M361" s="183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</row>
    <row r="362" spans="1:47" x14ac:dyDescent="0.2">
      <c r="A362" s="187"/>
      <c r="B362" s="188"/>
      <c r="C362" s="189"/>
      <c r="D362" s="190"/>
      <c r="E362" s="191"/>
      <c r="F362" s="191"/>
      <c r="G362" s="190"/>
      <c r="H362" s="190"/>
      <c r="I362" s="192"/>
      <c r="J362" s="193"/>
      <c r="K362" s="208">
        <f>SUM(K353:K361)</f>
        <v>7000</v>
      </c>
      <c r="L362" s="195"/>
      <c r="M362" s="196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</row>
    <row r="363" spans="1:47" ht="24" customHeight="1" x14ac:dyDescent="0.2">
      <c r="A363" s="163">
        <v>84</v>
      </c>
      <c r="B363" s="164" t="s">
        <v>581</v>
      </c>
      <c r="C363" s="165"/>
      <c r="D363" s="166" t="s">
        <v>107</v>
      </c>
      <c r="E363" s="167"/>
      <c r="F363" s="167"/>
      <c r="G363" s="166"/>
      <c r="H363" s="166"/>
      <c r="I363" s="217" t="s">
        <v>582</v>
      </c>
      <c r="J363" s="169" t="s">
        <v>398</v>
      </c>
      <c r="K363" s="170">
        <f>7000*50%</f>
        <v>3500</v>
      </c>
      <c r="L363" s="165" t="s">
        <v>111</v>
      </c>
      <c r="M363" s="172" t="s">
        <v>583</v>
      </c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</row>
    <row r="364" spans="1:47" x14ac:dyDescent="0.2">
      <c r="A364" s="174"/>
      <c r="B364" s="175"/>
      <c r="C364" s="176"/>
      <c r="D364" s="177"/>
      <c r="E364" s="178"/>
      <c r="F364" s="178"/>
      <c r="G364" s="177"/>
      <c r="H364" s="177"/>
      <c r="I364" s="168" t="s">
        <v>584</v>
      </c>
      <c r="J364" s="180" t="s">
        <v>398</v>
      </c>
      <c r="K364" s="200">
        <f>7000*25%</f>
        <v>1750</v>
      </c>
      <c r="L364" s="176"/>
      <c r="M364" s="183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  <c r="AU364" s="135"/>
    </row>
    <row r="365" spans="1:47" x14ac:dyDescent="0.2">
      <c r="A365" s="174"/>
      <c r="B365" s="175"/>
      <c r="C365" s="176"/>
      <c r="D365" s="177"/>
      <c r="E365" s="178"/>
      <c r="F365" s="178"/>
      <c r="G365" s="177"/>
      <c r="H365" s="177"/>
      <c r="I365" s="186" t="s">
        <v>570</v>
      </c>
      <c r="J365" s="169" t="s">
        <v>398</v>
      </c>
      <c r="K365" s="198">
        <f>7000*5%</f>
        <v>350</v>
      </c>
      <c r="L365" s="176"/>
      <c r="M365" s="183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  <c r="AU365" s="135"/>
    </row>
    <row r="366" spans="1:47" x14ac:dyDescent="0.2">
      <c r="A366" s="174"/>
      <c r="B366" s="175"/>
      <c r="C366" s="176"/>
      <c r="D366" s="177"/>
      <c r="E366" s="178"/>
      <c r="F366" s="178"/>
      <c r="G366" s="177"/>
      <c r="H366" s="177"/>
      <c r="I366" s="186" t="s">
        <v>585</v>
      </c>
      <c r="J366" s="180" t="s">
        <v>398</v>
      </c>
      <c r="K366" s="199">
        <f>7000*10%</f>
        <v>700</v>
      </c>
      <c r="L366" s="176"/>
      <c r="M366" s="183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</row>
    <row r="367" spans="1:47" x14ac:dyDescent="0.2">
      <c r="A367" s="174"/>
      <c r="B367" s="175"/>
      <c r="C367" s="176"/>
      <c r="D367" s="177"/>
      <c r="E367" s="178"/>
      <c r="F367" s="178"/>
      <c r="G367" s="177"/>
      <c r="H367" s="177"/>
      <c r="I367" s="168" t="s">
        <v>586</v>
      </c>
      <c r="J367" s="180" t="s">
        <v>398</v>
      </c>
      <c r="K367" s="199">
        <f>7000*2%</f>
        <v>140</v>
      </c>
      <c r="L367" s="176"/>
      <c r="M367" s="183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</row>
    <row r="368" spans="1:47" ht="48" x14ac:dyDescent="0.2">
      <c r="A368" s="174"/>
      <c r="B368" s="175"/>
      <c r="C368" s="176"/>
      <c r="D368" s="177"/>
      <c r="E368" s="178"/>
      <c r="F368" s="178"/>
      <c r="G368" s="177"/>
      <c r="H368" s="177"/>
      <c r="I368" s="179" t="s">
        <v>587</v>
      </c>
      <c r="J368" s="180" t="s">
        <v>398</v>
      </c>
      <c r="K368" s="200">
        <f>7000*2%</f>
        <v>140</v>
      </c>
      <c r="L368" s="176"/>
      <c r="M368" s="183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</row>
    <row r="369" spans="1:47" x14ac:dyDescent="0.2">
      <c r="A369" s="174"/>
      <c r="B369" s="175"/>
      <c r="C369" s="176"/>
      <c r="D369" s="177"/>
      <c r="E369" s="178"/>
      <c r="F369" s="178"/>
      <c r="G369" s="177"/>
      <c r="H369" s="177"/>
      <c r="I369" s="186" t="s">
        <v>588</v>
      </c>
      <c r="J369" s="180" t="s">
        <v>398</v>
      </c>
      <c r="K369" s="200">
        <f>7000*2%</f>
        <v>140</v>
      </c>
      <c r="L369" s="176"/>
      <c r="M369" s="183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</row>
    <row r="370" spans="1:47" x14ac:dyDescent="0.2">
      <c r="A370" s="174"/>
      <c r="B370" s="175"/>
      <c r="C370" s="176"/>
      <c r="D370" s="177"/>
      <c r="E370" s="178"/>
      <c r="F370" s="178"/>
      <c r="G370" s="177"/>
      <c r="H370" s="177"/>
      <c r="I370" s="186" t="s">
        <v>589</v>
      </c>
      <c r="J370" s="180" t="s">
        <v>398</v>
      </c>
      <c r="K370" s="200">
        <f>7000*2%</f>
        <v>140</v>
      </c>
      <c r="L370" s="176"/>
      <c r="M370" s="183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</row>
    <row r="371" spans="1:47" x14ac:dyDescent="0.2">
      <c r="A371" s="174"/>
      <c r="B371" s="175"/>
      <c r="C371" s="176"/>
      <c r="D371" s="177"/>
      <c r="E371" s="178"/>
      <c r="F371" s="178"/>
      <c r="G371" s="177"/>
      <c r="H371" s="177"/>
      <c r="I371" s="168" t="s">
        <v>590</v>
      </c>
      <c r="J371" s="180" t="s">
        <v>398</v>
      </c>
      <c r="K371" s="201">
        <f>7000*2%</f>
        <v>140</v>
      </c>
      <c r="L371" s="176"/>
      <c r="M371" s="183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</row>
    <row r="372" spans="1:47" x14ac:dyDescent="0.2">
      <c r="A372" s="187"/>
      <c r="B372" s="188"/>
      <c r="C372" s="189"/>
      <c r="D372" s="190"/>
      <c r="E372" s="191"/>
      <c r="F372" s="191"/>
      <c r="G372" s="190"/>
      <c r="H372" s="190"/>
      <c r="I372" s="202"/>
      <c r="J372" s="193"/>
      <c r="K372" s="210">
        <f>SUM(K363:K371)</f>
        <v>7000</v>
      </c>
      <c r="L372" s="189"/>
      <c r="M372" s="196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</row>
    <row r="373" spans="1:47" ht="48" customHeight="1" x14ac:dyDescent="0.2">
      <c r="A373" s="163">
        <v>85</v>
      </c>
      <c r="B373" s="164" t="s">
        <v>591</v>
      </c>
      <c r="C373" s="165"/>
      <c r="D373" s="166" t="s">
        <v>107</v>
      </c>
      <c r="E373" s="167"/>
      <c r="F373" s="167"/>
      <c r="G373" s="166"/>
      <c r="H373" s="166"/>
      <c r="I373" s="168" t="s">
        <v>592</v>
      </c>
      <c r="J373" s="197" t="s">
        <v>398</v>
      </c>
      <c r="K373" s="170">
        <f>7000*90%</f>
        <v>6300</v>
      </c>
      <c r="L373" s="171" t="s">
        <v>111</v>
      </c>
      <c r="M373" s="172" t="s">
        <v>593</v>
      </c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</row>
    <row r="374" spans="1:47" ht="48" x14ac:dyDescent="0.2">
      <c r="A374" s="174"/>
      <c r="B374" s="175"/>
      <c r="C374" s="176"/>
      <c r="D374" s="177"/>
      <c r="E374" s="178"/>
      <c r="F374" s="178"/>
      <c r="G374" s="177"/>
      <c r="H374" s="177"/>
      <c r="I374" s="186" t="s">
        <v>594</v>
      </c>
      <c r="J374" s="180" t="s">
        <v>398</v>
      </c>
      <c r="K374" s="181">
        <f>7000*10%</f>
        <v>700</v>
      </c>
      <c r="L374" s="182"/>
      <c r="M374" s="183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</row>
    <row r="375" spans="1:47" x14ac:dyDescent="0.2">
      <c r="A375" s="187"/>
      <c r="B375" s="188"/>
      <c r="C375" s="189"/>
      <c r="D375" s="190"/>
      <c r="E375" s="191"/>
      <c r="F375" s="191"/>
      <c r="G375" s="190"/>
      <c r="H375" s="190"/>
      <c r="I375" s="192"/>
      <c r="J375" s="215"/>
      <c r="K375" s="216">
        <f>SUM(K373:K374)</f>
        <v>7000</v>
      </c>
      <c r="L375" s="195"/>
      <c r="M375" s="196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</row>
    <row r="376" spans="1:47" ht="48" customHeight="1" x14ac:dyDescent="0.2">
      <c r="A376" s="163">
        <v>86</v>
      </c>
      <c r="B376" s="164" t="s">
        <v>595</v>
      </c>
      <c r="C376" s="165"/>
      <c r="D376" s="166" t="s">
        <v>107</v>
      </c>
      <c r="E376" s="167"/>
      <c r="F376" s="167"/>
      <c r="G376" s="166"/>
      <c r="H376" s="166"/>
      <c r="I376" s="217" t="s">
        <v>596</v>
      </c>
      <c r="J376" s="169" t="s">
        <v>398</v>
      </c>
      <c r="K376" s="209">
        <f>6000*100%</f>
        <v>6000</v>
      </c>
      <c r="L376" s="172" t="s">
        <v>111</v>
      </c>
      <c r="M376" s="172" t="s">
        <v>597</v>
      </c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</row>
    <row r="377" spans="1:47" x14ac:dyDescent="0.2">
      <c r="A377" s="187"/>
      <c r="B377" s="188"/>
      <c r="C377" s="189"/>
      <c r="D377" s="190"/>
      <c r="E377" s="191"/>
      <c r="F377" s="191"/>
      <c r="G377" s="190"/>
      <c r="H377" s="190"/>
      <c r="I377" s="192"/>
      <c r="J377" s="203"/>
      <c r="K377" s="285">
        <f>SUM(K376)</f>
        <v>6000</v>
      </c>
      <c r="L377" s="196"/>
      <c r="M377" s="196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</row>
    <row r="378" spans="1:47" ht="24" customHeight="1" x14ac:dyDescent="0.2">
      <c r="A378" s="163">
        <v>87</v>
      </c>
      <c r="B378" s="164" t="s">
        <v>598</v>
      </c>
      <c r="C378" s="165"/>
      <c r="D378" s="166" t="s">
        <v>107</v>
      </c>
      <c r="E378" s="167"/>
      <c r="F378" s="167"/>
      <c r="G378" s="166"/>
      <c r="H378" s="166"/>
      <c r="I378" s="168" t="s">
        <v>599</v>
      </c>
      <c r="J378" s="247" t="s">
        <v>398</v>
      </c>
      <c r="K378" s="286">
        <f>7000*80%</f>
        <v>5600</v>
      </c>
      <c r="L378" s="172" t="s">
        <v>111</v>
      </c>
      <c r="M378" s="172" t="s">
        <v>600</v>
      </c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</row>
    <row r="379" spans="1:47" x14ac:dyDescent="0.2">
      <c r="A379" s="174"/>
      <c r="B379" s="175"/>
      <c r="C379" s="176"/>
      <c r="D379" s="177"/>
      <c r="E379" s="178"/>
      <c r="F379" s="178"/>
      <c r="G379" s="177"/>
      <c r="H379" s="177"/>
      <c r="I379" s="179" t="s">
        <v>601</v>
      </c>
      <c r="J379" s="206" t="s">
        <v>602</v>
      </c>
      <c r="K379" s="287">
        <f>7000*10%</f>
        <v>700</v>
      </c>
      <c r="L379" s="183"/>
      <c r="M379" s="183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</row>
    <row r="380" spans="1:47" x14ac:dyDescent="0.2">
      <c r="A380" s="174"/>
      <c r="B380" s="175"/>
      <c r="C380" s="176"/>
      <c r="D380" s="177"/>
      <c r="E380" s="178"/>
      <c r="F380" s="178"/>
      <c r="G380" s="177"/>
      <c r="H380" s="177"/>
      <c r="I380" s="186" t="s">
        <v>603</v>
      </c>
      <c r="J380" s="169" t="s">
        <v>398</v>
      </c>
      <c r="K380" s="287">
        <f>7000*10%</f>
        <v>700</v>
      </c>
      <c r="L380" s="183"/>
      <c r="M380" s="183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</row>
    <row r="381" spans="1:47" x14ac:dyDescent="0.2">
      <c r="A381" s="187"/>
      <c r="B381" s="188"/>
      <c r="C381" s="189"/>
      <c r="D381" s="190"/>
      <c r="E381" s="191"/>
      <c r="F381" s="191"/>
      <c r="G381" s="190"/>
      <c r="H381" s="190"/>
      <c r="I381" s="192"/>
      <c r="J381" s="203"/>
      <c r="K381" s="288">
        <f>SUM(K378:K380)</f>
        <v>7000</v>
      </c>
      <c r="L381" s="196"/>
      <c r="M381" s="196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</row>
    <row r="382" spans="1:47" ht="48" customHeight="1" x14ac:dyDescent="0.2">
      <c r="A382" s="163">
        <v>88</v>
      </c>
      <c r="B382" s="164" t="s">
        <v>604</v>
      </c>
      <c r="C382" s="165"/>
      <c r="D382" s="166" t="s">
        <v>107</v>
      </c>
      <c r="E382" s="167"/>
      <c r="F382" s="167"/>
      <c r="G382" s="166"/>
      <c r="H382" s="166"/>
      <c r="I382" s="168" t="s">
        <v>605</v>
      </c>
      <c r="J382" s="220" t="s">
        <v>398</v>
      </c>
      <c r="K382" s="289">
        <f>8000*85%</f>
        <v>6800</v>
      </c>
      <c r="L382" s="171" t="s">
        <v>111</v>
      </c>
      <c r="M382" s="172" t="s">
        <v>606</v>
      </c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</row>
    <row r="383" spans="1:47" x14ac:dyDescent="0.2">
      <c r="A383" s="174"/>
      <c r="B383" s="175"/>
      <c r="C383" s="176"/>
      <c r="D383" s="177"/>
      <c r="E383" s="178"/>
      <c r="F383" s="178"/>
      <c r="G383" s="177"/>
      <c r="H383" s="177"/>
      <c r="I383" s="186" t="s">
        <v>607</v>
      </c>
      <c r="J383" s="169" t="s">
        <v>398</v>
      </c>
      <c r="K383" s="290">
        <f>8000*5%</f>
        <v>400</v>
      </c>
      <c r="L383" s="182"/>
      <c r="M383" s="183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  <c r="AU383" s="135"/>
    </row>
    <row r="384" spans="1:47" ht="48" x14ac:dyDescent="0.2">
      <c r="A384" s="174"/>
      <c r="B384" s="175"/>
      <c r="C384" s="176"/>
      <c r="D384" s="177"/>
      <c r="E384" s="178"/>
      <c r="F384" s="178"/>
      <c r="G384" s="177"/>
      <c r="H384" s="177"/>
      <c r="I384" s="168" t="s">
        <v>608</v>
      </c>
      <c r="J384" s="206" t="s">
        <v>398</v>
      </c>
      <c r="K384" s="291">
        <f>8000*5%</f>
        <v>400</v>
      </c>
      <c r="L384" s="182"/>
      <c r="M384" s="183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</row>
    <row r="385" spans="1:47" x14ac:dyDescent="0.2">
      <c r="A385" s="174"/>
      <c r="B385" s="175"/>
      <c r="C385" s="176"/>
      <c r="D385" s="177"/>
      <c r="E385" s="178"/>
      <c r="F385" s="178"/>
      <c r="G385" s="177"/>
      <c r="H385" s="177"/>
      <c r="I385" s="186" t="s">
        <v>609</v>
      </c>
      <c r="J385" s="206" t="s">
        <v>398</v>
      </c>
      <c r="K385" s="292">
        <f>8000*5%</f>
        <v>400</v>
      </c>
      <c r="L385" s="182"/>
      <c r="M385" s="183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  <c r="AU385" s="135"/>
    </row>
    <row r="386" spans="1:47" x14ac:dyDescent="0.2">
      <c r="A386" s="187"/>
      <c r="B386" s="188"/>
      <c r="C386" s="189"/>
      <c r="D386" s="190"/>
      <c r="E386" s="191"/>
      <c r="F386" s="191"/>
      <c r="G386" s="190"/>
      <c r="H386" s="190"/>
      <c r="I386" s="192"/>
      <c r="J386" s="215"/>
      <c r="K386" s="293">
        <f>SUM(K382:K385)</f>
        <v>8000</v>
      </c>
      <c r="L386" s="195"/>
      <c r="M386" s="196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</row>
    <row r="387" spans="1:47" ht="24" customHeight="1" x14ac:dyDescent="0.2">
      <c r="A387" s="163">
        <v>89</v>
      </c>
      <c r="B387" s="164" t="s">
        <v>610</v>
      </c>
      <c r="C387" s="165"/>
      <c r="D387" s="166" t="s">
        <v>161</v>
      </c>
      <c r="E387" s="167"/>
      <c r="F387" s="167"/>
      <c r="G387" s="166"/>
      <c r="H387" s="166"/>
      <c r="I387" s="168" t="s">
        <v>611</v>
      </c>
      <c r="J387" s="169" t="s">
        <v>398</v>
      </c>
      <c r="K387" s="294">
        <f>530000*85%</f>
        <v>450500</v>
      </c>
      <c r="L387" s="171" t="s">
        <v>164</v>
      </c>
      <c r="M387" s="172" t="s">
        <v>612</v>
      </c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  <c r="AU387" s="135"/>
    </row>
    <row r="388" spans="1:47" x14ac:dyDescent="0.2">
      <c r="A388" s="174"/>
      <c r="B388" s="175"/>
      <c r="C388" s="176"/>
      <c r="D388" s="177"/>
      <c r="E388" s="178"/>
      <c r="F388" s="178"/>
      <c r="G388" s="177"/>
      <c r="H388" s="177"/>
      <c r="I388" s="186" t="s">
        <v>613</v>
      </c>
      <c r="J388" s="206" t="s">
        <v>398</v>
      </c>
      <c r="K388" s="292">
        <f>530000*5%</f>
        <v>26500</v>
      </c>
      <c r="L388" s="182"/>
      <c r="M388" s="183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</row>
    <row r="389" spans="1:47" x14ac:dyDescent="0.2">
      <c r="A389" s="174"/>
      <c r="B389" s="175"/>
      <c r="C389" s="176"/>
      <c r="D389" s="177"/>
      <c r="E389" s="178"/>
      <c r="F389" s="178"/>
      <c r="G389" s="177"/>
      <c r="H389" s="177"/>
      <c r="I389" s="186" t="s">
        <v>614</v>
      </c>
      <c r="J389" s="206" t="s">
        <v>398</v>
      </c>
      <c r="K389" s="292">
        <f>530000*5%</f>
        <v>26500</v>
      </c>
      <c r="L389" s="182"/>
      <c r="M389" s="183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  <c r="AU389" s="135"/>
    </row>
    <row r="390" spans="1:47" ht="48" x14ac:dyDescent="0.2">
      <c r="A390" s="174"/>
      <c r="B390" s="175"/>
      <c r="C390" s="176"/>
      <c r="D390" s="177"/>
      <c r="E390" s="178"/>
      <c r="F390" s="178"/>
      <c r="G390" s="177"/>
      <c r="H390" s="177"/>
      <c r="I390" s="186" t="s">
        <v>615</v>
      </c>
      <c r="J390" s="262" t="s">
        <v>398</v>
      </c>
      <c r="K390" s="292">
        <f>530000*5%</f>
        <v>26500</v>
      </c>
      <c r="L390" s="182"/>
      <c r="M390" s="183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</row>
    <row r="391" spans="1:47" x14ac:dyDescent="0.2">
      <c r="A391" s="187"/>
      <c r="B391" s="188"/>
      <c r="C391" s="189"/>
      <c r="D391" s="190"/>
      <c r="E391" s="191"/>
      <c r="F391" s="191"/>
      <c r="G391" s="190"/>
      <c r="H391" s="190"/>
      <c r="I391" s="192"/>
      <c r="J391" s="215"/>
      <c r="K391" s="293">
        <f>SUM(K387:K390)</f>
        <v>530000</v>
      </c>
      <c r="L391" s="195"/>
      <c r="M391" s="196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  <c r="AU391" s="135"/>
    </row>
    <row r="392" spans="1:47" ht="24" customHeight="1" x14ac:dyDescent="0.2">
      <c r="A392" s="163">
        <v>90</v>
      </c>
      <c r="B392" s="164" t="s">
        <v>616</v>
      </c>
      <c r="C392" s="165"/>
      <c r="D392" s="166" t="s">
        <v>161</v>
      </c>
      <c r="E392" s="167"/>
      <c r="F392" s="167"/>
      <c r="G392" s="166"/>
      <c r="H392" s="166"/>
      <c r="I392" s="168" t="s">
        <v>617</v>
      </c>
      <c r="J392" s="169" t="s">
        <v>398</v>
      </c>
      <c r="K392" s="294">
        <f>530000*60%</f>
        <v>318000</v>
      </c>
      <c r="L392" s="165" t="s">
        <v>164</v>
      </c>
      <c r="M392" s="172" t="s">
        <v>618</v>
      </c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</row>
    <row r="393" spans="1:47" x14ac:dyDescent="0.2">
      <c r="A393" s="174"/>
      <c r="B393" s="175"/>
      <c r="C393" s="176"/>
      <c r="D393" s="177"/>
      <c r="E393" s="178"/>
      <c r="F393" s="178"/>
      <c r="G393" s="177"/>
      <c r="H393" s="177"/>
      <c r="I393" s="179" t="s">
        <v>619</v>
      </c>
      <c r="J393" s="206" t="s">
        <v>441</v>
      </c>
      <c r="K393" s="295">
        <f>530000*8%</f>
        <v>42400</v>
      </c>
      <c r="L393" s="176"/>
      <c r="M393" s="183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</row>
    <row r="394" spans="1:47" x14ac:dyDescent="0.2">
      <c r="A394" s="174"/>
      <c r="B394" s="175"/>
      <c r="C394" s="176"/>
      <c r="D394" s="177"/>
      <c r="E394" s="178"/>
      <c r="F394" s="178"/>
      <c r="G394" s="177"/>
      <c r="H394" s="177"/>
      <c r="I394" s="179" t="s">
        <v>620</v>
      </c>
      <c r="J394" s="206" t="s">
        <v>398</v>
      </c>
      <c r="K394" s="287">
        <f t="shared" ref="K394:K401" si="5">530000*4%</f>
        <v>21200</v>
      </c>
      <c r="L394" s="176"/>
      <c r="M394" s="183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</row>
    <row r="395" spans="1:47" x14ac:dyDescent="0.2">
      <c r="A395" s="174"/>
      <c r="B395" s="175"/>
      <c r="C395" s="176"/>
      <c r="D395" s="177"/>
      <c r="E395" s="178"/>
      <c r="F395" s="178"/>
      <c r="G395" s="177"/>
      <c r="H395" s="177"/>
      <c r="I395" s="179" t="s">
        <v>621</v>
      </c>
      <c r="J395" s="206" t="s">
        <v>398</v>
      </c>
      <c r="K395" s="291">
        <f t="shared" si="5"/>
        <v>21200</v>
      </c>
      <c r="L395" s="176"/>
      <c r="M395" s="183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</row>
    <row r="396" spans="1:47" x14ac:dyDescent="0.2">
      <c r="A396" s="174"/>
      <c r="B396" s="175"/>
      <c r="C396" s="176"/>
      <c r="D396" s="177"/>
      <c r="E396" s="178"/>
      <c r="F396" s="178"/>
      <c r="G396" s="177"/>
      <c r="H396" s="177"/>
      <c r="I396" s="186" t="s">
        <v>622</v>
      </c>
      <c r="J396" s="169" t="s">
        <v>253</v>
      </c>
      <c r="K396" s="295">
        <f t="shared" si="5"/>
        <v>21200</v>
      </c>
      <c r="L396" s="176"/>
      <c r="M396" s="183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</row>
    <row r="397" spans="1:47" x14ac:dyDescent="0.2">
      <c r="A397" s="174"/>
      <c r="B397" s="175"/>
      <c r="C397" s="176"/>
      <c r="D397" s="177"/>
      <c r="E397" s="178"/>
      <c r="F397" s="178"/>
      <c r="G397" s="177"/>
      <c r="H397" s="177"/>
      <c r="I397" s="186" t="s">
        <v>623</v>
      </c>
      <c r="J397" s="206" t="s">
        <v>398</v>
      </c>
      <c r="K397" s="295">
        <f t="shared" si="5"/>
        <v>21200</v>
      </c>
      <c r="L397" s="176"/>
      <c r="M397" s="183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  <c r="AU397" s="135"/>
    </row>
    <row r="398" spans="1:47" x14ac:dyDescent="0.2">
      <c r="A398" s="174"/>
      <c r="B398" s="175"/>
      <c r="C398" s="176"/>
      <c r="D398" s="177"/>
      <c r="E398" s="178"/>
      <c r="F398" s="178"/>
      <c r="G398" s="177"/>
      <c r="H398" s="177"/>
      <c r="I398" s="168" t="s">
        <v>624</v>
      </c>
      <c r="J398" s="206" t="s">
        <v>398</v>
      </c>
      <c r="K398" s="287">
        <f t="shared" si="5"/>
        <v>21200</v>
      </c>
      <c r="L398" s="176"/>
      <c r="M398" s="183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</row>
    <row r="399" spans="1:47" x14ac:dyDescent="0.2">
      <c r="A399" s="174"/>
      <c r="B399" s="175"/>
      <c r="C399" s="176"/>
      <c r="D399" s="177"/>
      <c r="E399" s="178"/>
      <c r="F399" s="178"/>
      <c r="G399" s="177"/>
      <c r="H399" s="177"/>
      <c r="I399" s="179" t="s">
        <v>625</v>
      </c>
      <c r="J399" s="169" t="s">
        <v>398</v>
      </c>
      <c r="K399" s="291">
        <f t="shared" si="5"/>
        <v>21200</v>
      </c>
      <c r="L399" s="176"/>
      <c r="M399" s="183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  <c r="AU399" s="135"/>
    </row>
    <row r="400" spans="1:47" x14ac:dyDescent="0.2">
      <c r="A400" s="174"/>
      <c r="B400" s="175"/>
      <c r="C400" s="176"/>
      <c r="D400" s="177"/>
      <c r="E400" s="178"/>
      <c r="F400" s="178"/>
      <c r="G400" s="177"/>
      <c r="H400" s="177"/>
      <c r="I400" s="179" t="s">
        <v>626</v>
      </c>
      <c r="J400" s="206" t="s">
        <v>398</v>
      </c>
      <c r="K400" s="295">
        <f t="shared" si="5"/>
        <v>21200</v>
      </c>
      <c r="L400" s="176"/>
      <c r="M400" s="183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  <c r="AU400" s="135"/>
    </row>
    <row r="401" spans="1:47" x14ac:dyDescent="0.2">
      <c r="A401" s="174"/>
      <c r="B401" s="175"/>
      <c r="C401" s="176"/>
      <c r="D401" s="177"/>
      <c r="E401" s="178"/>
      <c r="F401" s="178"/>
      <c r="G401" s="177"/>
      <c r="H401" s="177"/>
      <c r="I401" s="186" t="s">
        <v>627</v>
      </c>
      <c r="J401" s="223" t="s">
        <v>290</v>
      </c>
      <c r="K401" s="295">
        <f t="shared" si="5"/>
        <v>21200</v>
      </c>
      <c r="L401" s="176"/>
      <c r="M401" s="183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  <c r="AU401" s="135"/>
    </row>
    <row r="402" spans="1:47" x14ac:dyDescent="0.2">
      <c r="A402" s="187"/>
      <c r="B402" s="188"/>
      <c r="C402" s="189"/>
      <c r="D402" s="190"/>
      <c r="E402" s="191"/>
      <c r="F402" s="191"/>
      <c r="G402" s="190"/>
      <c r="H402" s="190"/>
      <c r="I402" s="192"/>
      <c r="J402" s="203"/>
      <c r="K402" s="288">
        <f>SUM(K392:K401)</f>
        <v>530000</v>
      </c>
      <c r="L402" s="189"/>
      <c r="M402" s="196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  <c r="AU402" s="135"/>
    </row>
    <row r="403" spans="1:47" ht="64.5" customHeight="1" x14ac:dyDescent="0.2">
      <c r="A403" s="250">
        <v>91</v>
      </c>
      <c r="B403" s="164" t="s">
        <v>628</v>
      </c>
      <c r="C403" s="165"/>
      <c r="D403" s="251" t="s">
        <v>161</v>
      </c>
      <c r="E403" s="252"/>
      <c r="F403" s="252"/>
      <c r="G403" s="251"/>
      <c r="H403" s="251"/>
      <c r="I403" s="264" t="s">
        <v>629</v>
      </c>
      <c r="J403" s="169" t="s">
        <v>398</v>
      </c>
      <c r="K403" s="289">
        <f>530000*100%</f>
        <v>530000</v>
      </c>
      <c r="L403" s="260" t="s">
        <v>164</v>
      </c>
      <c r="M403" s="247" t="s">
        <v>630</v>
      </c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  <c r="AU403" s="135"/>
    </row>
    <row r="404" spans="1:47" ht="23.25" customHeight="1" x14ac:dyDescent="0.2">
      <c r="A404" s="163">
        <v>92</v>
      </c>
      <c r="B404" s="164" t="s">
        <v>631</v>
      </c>
      <c r="C404" s="165"/>
      <c r="D404" s="166" t="s">
        <v>161</v>
      </c>
      <c r="E404" s="167"/>
      <c r="F404" s="167"/>
      <c r="G404" s="166"/>
      <c r="H404" s="166"/>
      <c r="I404" s="168" t="s">
        <v>617</v>
      </c>
      <c r="J404" s="220" t="s">
        <v>398</v>
      </c>
      <c r="K404" s="294">
        <f>530000*60%</f>
        <v>318000</v>
      </c>
      <c r="L404" s="171" t="s">
        <v>164</v>
      </c>
      <c r="M404" s="172" t="s">
        <v>632</v>
      </c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  <c r="AU404" s="135"/>
    </row>
    <row r="405" spans="1:47" x14ac:dyDescent="0.2">
      <c r="A405" s="174"/>
      <c r="B405" s="175"/>
      <c r="C405" s="176"/>
      <c r="D405" s="177"/>
      <c r="E405" s="178"/>
      <c r="F405" s="178"/>
      <c r="G405" s="177"/>
      <c r="H405" s="177"/>
      <c r="I405" s="179" t="s">
        <v>633</v>
      </c>
      <c r="J405" s="206" t="s">
        <v>398</v>
      </c>
      <c r="K405" s="292">
        <f>530000*5%</f>
        <v>26500</v>
      </c>
      <c r="L405" s="182"/>
      <c r="M405" s="183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  <c r="AU405" s="135"/>
    </row>
    <row r="406" spans="1:47" x14ac:dyDescent="0.2">
      <c r="A406" s="174"/>
      <c r="B406" s="175"/>
      <c r="C406" s="176"/>
      <c r="D406" s="177"/>
      <c r="E406" s="178"/>
      <c r="F406" s="178"/>
      <c r="G406" s="177"/>
      <c r="H406" s="177"/>
      <c r="I406" s="179" t="s">
        <v>450</v>
      </c>
      <c r="J406" s="169" t="s">
        <v>398</v>
      </c>
      <c r="K406" s="290">
        <f>530000*5%</f>
        <v>26500</v>
      </c>
      <c r="L406" s="182"/>
      <c r="M406" s="183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  <c r="AU406" s="135"/>
    </row>
    <row r="407" spans="1:47" x14ac:dyDescent="0.2">
      <c r="A407" s="174"/>
      <c r="B407" s="175"/>
      <c r="C407" s="176"/>
      <c r="D407" s="177"/>
      <c r="E407" s="178"/>
      <c r="F407" s="178"/>
      <c r="G407" s="177"/>
      <c r="H407" s="177"/>
      <c r="I407" s="179" t="s">
        <v>634</v>
      </c>
      <c r="J407" s="206" t="s">
        <v>253</v>
      </c>
      <c r="K407" s="291">
        <f>530000*5%</f>
        <v>26500</v>
      </c>
      <c r="L407" s="182"/>
      <c r="M407" s="183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</row>
    <row r="408" spans="1:47" x14ac:dyDescent="0.2">
      <c r="A408" s="174"/>
      <c r="B408" s="175"/>
      <c r="C408" s="176"/>
      <c r="D408" s="177"/>
      <c r="E408" s="178"/>
      <c r="F408" s="178"/>
      <c r="G408" s="177"/>
      <c r="H408" s="177"/>
      <c r="I408" s="179" t="s">
        <v>635</v>
      </c>
      <c r="J408" s="262" t="s">
        <v>398</v>
      </c>
      <c r="K408" s="290">
        <f>530000*5%</f>
        <v>26500</v>
      </c>
      <c r="L408" s="182"/>
      <c r="M408" s="183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</row>
    <row r="409" spans="1:47" x14ac:dyDescent="0.2">
      <c r="A409" s="174"/>
      <c r="B409" s="175"/>
      <c r="C409" s="176"/>
      <c r="D409" s="177"/>
      <c r="E409" s="178"/>
      <c r="F409" s="178"/>
      <c r="G409" s="177"/>
      <c r="H409" s="177"/>
      <c r="I409" s="186" t="s">
        <v>624</v>
      </c>
      <c r="J409" s="169" t="s">
        <v>398</v>
      </c>
      <c r="K409" s="292">
        <f>530000*4%</f>
        <v>21200</v>
      </c>
      <c r="L409" s="182"/>
      <c r="M409" s="183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  <c r="AU409" s="135"/>
    </row>
    <row r="410" spans="1:47" x14ac:dyDescent="0.2">
      <c r="A410" s="174"/>
      <c r="B410" s="175"/>
      <c r="C410" s="176"/>
      <c r="D410" s="177"/>
      <c r="E410" s="178"/>
      <c r="F410" s="178"/>
      <c r="G410" s="177"/>
      <c r="H410" s="177"/>
      <c r="I410" s="168" t="s">
        <v>625</v>
      </c>
      <c r="J410" s="206" t="s">
        <v>398</v>
      </c>
      <c r="K410" s="290">
        <f>530000*4%</f>
        <v>21200</v>
      </c>
      <c r="L410" s="182"/>
      <c r="M410" s="183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  <c r="AU410" s="135"/>
    </row>
    <row r="411" spans="1:47" x14ac:dyDescent="0.2">
      <c r="A411" s="174"/>
      <c r="B411" s="175"/>
      <c r="C411" s="176"/>
      <c r="D411" s="177"/>
      <c r="E411" s="178"/>
      <c r="F411" s="178"/>
      <c r="G411" s="177"/>
      <c r="H411" s="177"/>
      <c r="I411" s="186" t="s">
        <v>626</v>
      </c>
      <c r="J411" s="206" t="s">
        <v>398</v>
      </c>
      <c r="K411" s="290">
        <f>530000*4%</f>
        <v>21200</v>
      </c>
      <c r="L411" s="182"/>
      <c r="M411" s="183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  <c r="AU411" s="135"/>
    </row>
    <row r="412" spans="1:47" x14ac:dyDescent="0.2">
      <c r="A412" s="174"/>
      <c r="B412" s="175"/>
      <c r="C412" s="176"/>
      <c r="D412" s="177"/>
      <c r="E412" s="178"/>
      <c r="F412" s="178"/>
      <c r="G412" s="177"/>
      <c r="H412" s="177"/>
      <c r="I412" s="179" t="s">
        <v>627</v>
      </c>
      <c r="J412" s="169" t="s">
        <v>290</v>
      </c>
      <c r="K412" s="292">
        <f>530000*4%</f>
        <v>21200</v>
      </c>
      <c r="L412" s="182"/>
      <c r="M412" s="183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  <c r="AU412" s="135"/>
    </row>
    <row r="413" spans="1:47" x14ac:dyDescent="0.2">
      <c r="A413" s="174"/>
      <c r="B413" s="175"/>
      <c r="C413" s="176"/>
      <c r="D413" s="177"/>
      <c r="E413" s="178"/>
      <c r="F413" s="178"/>
      <c r="G413" s="177"/>
      <c r="H413" s="177"/>
      <c r="I413" s="179" t="s">
        <v>636</v>
      </c>
      <c r="J413" s="206" t="s">
        <v>637</v>
      </c>
      <c r="K413" s="290">
        <f>530000*4%</f>
        <v>21200</v>
      </c>
      <c r="L413" s="182"/>
      <c r="M413" s="183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  <c r="AU413" s="135"/>
    </row>
    <row r="414" spans="1:47" x14ac:dyDescent="0.2">
      <c r="A414" s="187"/>
      <c r="B414" s="188"/>
      <c r="C414" s="189"/>
      <c r="D414" s="190"/>
      <c r="E414" s="191"/>
      <c r="F414" s="191"/>
      <c r="G414" s="190"/>
      <c r="H414" s="190"/>
      <c r="I414" s="202"/>
      <c r="J414" s="215"/>
      <c r="K414" s="293">
        <f>SUM(K404:K413)</f>
        <v>530000</v>
      </c>
      <c r="L414" s="195"/>
      <c r="M414" s="196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  <c r="AU414" s="135"/>
    </row>
    <row r="415" spans="1:47" ht="24" customHeight="1" x14ac:dyDescent="0.2">
      <c r="A415" s="163">
        <v>93</v>
      </c>
      <c r="B415" s="164" t="s">
        <v>638</v>
      </c>
      <c r="C415" s="165"/>
      <c r="D415" s="166" t="s">
        <v>161</v>
      </c>
      <c r="E415" s="167"/>
      <c r="F415" s="167"/>
      <c r="G415" s="166"/>
      <c r="H415" s="166"/>
      <c r="I415" s="168" t="s">
        <v>639</v>
      </c>
      <c r="J415" s="220" t="s">
        <v>398</v>
      </c>
      <c r="K415" s="294">
        <f>450000*60%</f>
        <v>270000</v>
      </c>
      <c r="L415" s="171" t="s">
        <v>164</v>
      </c>
      <c r="M415" s="172" t="s">
        <v>640</v>
      </c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  <c r="AU415" s="135"/>
    </row>
    <row r="416" spans="1:47" x14ac:dyDescent="0.2">
      <c r="A416" s="174"/>
      <c r="B416" s="175"/>
      <c r="C416" s="176"/>
      <c r="D416" s="177"/>
      <c r="E416" s="178"/>
      <c r="F416" s="178"/>
      <c r="G416" s="177"/>
      <c r="H416" s="177"/>
      <c r="I416" s="179" t="s">
        <v>641</v>
      </c>
      <c r="J416" s="169" t="s">
        <v>441</v>
      </c>
      <c r="K416" s="292">
        <f>450000*20%</f>
        <v>90000</v>
      </c>
      <c r="L416" s="182"/>
      <c r="M416" s="183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  <c r="AU416" s="135"/>
    </row>
    <row r="417" spans="1:47" x14ac:dyDescent="0.2">
      <c r="A417" s="174"/>
      <c r="B417" s="175"/>
      <c r="C417" s="176"/>
      <c r="D417" s="177"/>
      <c r="E417" s="178"/>
      <c r="F417" s="178"/>
      <c r="G417" s="177"/>
      <c r="H417" s="177"/>
      <c r="I417" s="179" t="s">
        <v>642</v>
      </c>
      <c r="J417" s="206" t="s">
        <v>398</v>
      </c>
      <c r="K417" s="292">
        <f>450000*10%</f>
        <v>45000</v>
      </c>
      <c r="L417" s="182"/>
      <c r="M417" s="183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</row>
    <row r="418" spans="1:47" x14ac:dyDescent="0.2">
      <c r="A418" s="174"/>
      <c r="B418" s="175"/>
      <c r="C418" s="176"/>
      <c r="D418" s="177"/>
      <c r="E418" s="178"/>
      <c r="F418" s="178"/>
      <c r="G418" s="177"/>
      <c r="H418" s="177"/>
      <c r="I418" s="186" t="s">
        <v>643</v>
      </c>
      <c r="J418" s="206" t="s">
        <v>220</v>
      </c>
      <c r="K418" s="292">
        <f>450000*5%</f>
        <v>22500</v>
      </c>
      <c r="L418" s="182"/>
      <c r="M418" s="183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</row>
    <row r="419" spans="1:47" x14ac:dyDescent="0.2">
      <c r="A419" s="174"/>
      <c r="B419" s="175"/>
      <c r="C419" s="176"/>
      <c r="D419" s="177"/>
      <c r="E419" s="178"/>
      <c r="F419" s="178"/>
      <c r="G419" s="177"/>
      <c r="H419" s="177"/>
      <c r="I419" s="168" t="s">
        <v>644</v>
      </c>
      <c r="J419" s="206" t="s">
        <v>441</v>
      </c>
      <c r="K419" s="292">
        <f>450000*5%</f>
        <v>22500</v>
      </c>
      <c r="L419" s="182"/>
      <c r="M419" s="183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</row>
    <row r="420" spans="1:47" x14ac:dyDescent="0.2">
      <c r="A420" s="187"/>
      <c r="B420" s="188"/>
      <c r="C420" s="189"/>
      <c r="D420" s="190"/>
      <c r="E420" s="191"/>
      <c r="F420" s="191"/>
      <c r="G420" s="190"/>
      <c r="H420" s="190"/>
      <c r="I420" s="202"/>
      <c r="J420" s="215"/>
      <c r="K420" s="293">
        <f>SUM(K415:K419)</f>
        <v>450000</v>
      </c>
      <c r="L420" s="195"/>
      <c r="M420" s="196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  <c r="AU420" s="135"/>
    </row>
    <row r="421" spans="1:47" ht="24" customHeight="1" x14ac:dyDescent="0.2">
      <c r="A421" s="163">
        <v>94</v>
      </c>
      <c r="B421" s="164" t="s">
        <v>645</v>
      </c>
      <c r="C421" s="165"/>
      <c r="D421" s="166" t="s">
        <v>161</v>
      </c>
      <c r="E421" s="167"/>
      <c r="F421" s="167"/>
      <c r="G421" s="166"/>
      <c r="H421" s="166"/>
      <c r="I421" s="168" t="s">
        <v>646</v>
      </c>
      <c r="J421" s="220" t="s">
        <v>398</v>
      </c>
      <c r="K421" s="294">
        <f>30000*35%</f>
        <v>10500</v>
      </c>
      <c r="L421" s="171" t="s">
        <v>164</v>
      </c>
      <c r="M421" s="172" t="s">
        <v>647</v>
      </c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  <c r="AU421" s="135"/>
    </row>
    <row r="422" spans="1:47" x14ac:dyDescent="0.2">
      <c r="A422" s="174"/>
      <c r="B422" s="175"/>
      <c r="C422" s="176"/>
      <c r="D422" s="177"/>
      <c r="E422" s="178"/>
      <c r="F422" s="178"/>
      <c r="G422" s="177"/>
      <c r="H422" s="177"/>
      <c r="I422" s="179" t="s">
        <v>648</v>
      </c>
      <c r="J422" s="169" t="s">
        <v>398</v>
      </c>
      <c r="K422" s="290">
        <f>30000*30%</f>
        <v>9000</v>
      </c>
      <c r="L422" s="182"/>
      <c r="M422" s="183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  <c r="AU422" s="135"/>
    </row>
    <row r="423" spans="1:47" x14ac:dyDescent="0.2">
      <c r="A423" s="174"/>
      <c r="B423" s="175"/>
      <c r="C423" s="176"/>
      <c r="D423" s="177"/>
      <c r="E423" s="178"/>
      <c r="F423" s="178"/>
      <c r="G423" s="177"/>
      <c r="H423" s="177"/>
      <c r="I423" s="179" t="s">
        <v>649</v>
      </c>
      <c r="J423" s="223" t="s">
        <v>441</v>
      </c>
      <c r="K423" s="290">
        <f>30000*30%</f>
        <v>9000</v>
      </c>
      <c r="L423" s="182"/>
      <c r="M423" s="183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  <c r="AU423" s="135"/>
    </row>
    <row r="424" spans="1:47" x14ac:dyDescent="0.2">
      <c r="A424" s="174"/>
      <c r="B424" s="175"/>
      <c r="C424" s="176"/>
      <c r="D424" s="177"/>
      <c r="E424" s="178"/>
      <c r="F424" s="178"/>
      <c r="G424" s="177"/>
      <c r="H424" s="177"/>
      <c r="I424" s="179" t="s">
        <v>644</v>
      </c>
      <c r="J424" s="223" t="s">
        <v>441</v>
      </c>
      <c r="K424" s="291">
        <f>30000*5%</f>
        <v>1500</v>
      </c>
      <c r="L424" s="182"/>
      <c r="M424" s="183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135"/>
      <c r="AU424" s="135"/>
    </row>
    <row r="425" spans="1:47" x14ac:dyDescent="0.2">
      <c r="A425" s="187"/>
      <c r="B425" s="188"/>
      <c r="C425" s="189"/>
      <c r="D425" s="190"/>
      <c r="E425" s="191"/>
      <c r="F425" s="191"/>
      <c r="G425" s="190"/>
      <c r="H425" s="190"/>
      <c r="I425" s="202"/>
      <c r="J425" s="203"/>
      <c r="K425" s="293">
        <f>SUM(K421:K424)</f>
        <v>30000</v>
      </c>
      <c r="L425" s="195"/>
      <c r="M425" s="196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  <c r="AR425" s="135"/>
      <c r="AS425" s="135"/>
      <c r="AT425" s="135"/>
      <c r="AU425" s="135"/>
    </row>
    <row r="426" spans="1:47" ht="24" customHeight="1" x14ac:dyDescent="0.2">
      <c r="A426" s="163">
        <v>95</v>
      </c>
      <c r="B426" s="164" t="s">
        <v>650</v>
      </c>
      <c r="C426" s="165"/>
      <c r="D426" s="166" t="s">
        <v>161</v>
      </c>
      <c r="E426" s="167"/>
      <c r="F426" s="167"/>
      <c r="G426" s="166"/>
      <c r="H426" s="166"/>
      <c r="I426" s="217" t="s">
        <v>651</v>
      </c>
      <c r="J426" s="169" t="s">
        <v>398</v>
      </c>
      <c r="K426" s="294">
        <f>390000*55%</f>
        <v>214500.00000000003</v>
      </c>
      <c r="L426" s="171" t="s">
        <v>164</v>
      </c>
      <c r="M426" s="172" t="s">
        <v>652</v>
      </c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  <c r="AU426" s="135"/>
    </row>
    <row r="427" spans="1:47" x14ac:dyDescent="0.2">
      <c r="A427" s="174"/>
      <c r="B427" s="175"/>
      <c r="C427" s="176"/>
      <c r="D427" s="177"/>
      <c r="E427" s="178"/>
      <c r="F427" s="178"/>
      <c r="G427" s="177"/>
      <c r="H427" s="177"/>
      <c r="I427" s="186" t="s">
        <v>653</v>
      </c>
      <c r="J427" s="206" t="s">
        <v>398</v>
      </c>
      <c r="K427" s="290">
        <f>390000*20%</f>
        <v>78000</v>
      </c>
      <c r="L427" s="182"/>
      <c r="M427" s="183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  <c r="AR427" s="135"/>
      <c r="AS427" s="135"/>
      <c r="AT427" s="135"/>
      <c r="AU427" s="135"/>
    </row>
    <row r="428" spans="1:47" x14ac:dyDescent="0.2">
      <c r="A428" s="174"/>
      <c r="B428" s="175"/>
      <c r="C428" s="176"/>
      <c r="D428" s="177"/>
      <c r="E428" s="178"/>
      <c r="F428" s="178"/>
      <c r="G428" s="177"/>
      <c r="H428" s="177"/>
      <c r="I428" s="168" t="s">
        <v>641</v>
      </c>
      <c r="J428" s="206" t="s">
        <v>441</v>
      </c>
      <c r="K428" s="290">
        <f>390000*20%</f>
        <v>78000</v>
      </c>
      <c r="L428" s="182"/>
      <c r="M428" s="183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135"/>
      <c r="AU428" s="135"/>
    </row>
    <row r="429" spans="1:47" x14ac:dyDescent="0.2">
      <c r="A429" s="174"/>
      <c r="B429" s="175"/>
      <c r="C429" s="176"/>
      <c r="D429" s="177"/>
      <c r="E429" s="178"/>
      <c r="F429" s="178"/>
      <c r="G429" s="177"/>
      <c r="H429" s="177"/>
      <c r="I429" s="186" t="s">
        <v>644</v>
      </c>
      <c r="J429" s="206" t="s">
        <v>441</v>
      </c>
      <c r="K429" s="290">
        <f>390000*5%</f>
        <v>19500</v>
      </c>
      <c r="L429" s="182"/>
      <c r="M429" s="183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135"/>
      <c r="AU429" s="135"/>
    </row>
    <row r="430" spans="1:47" x14ac:dyDescent="0.2">
      <c r="A430" s="187"/>
      <c r="B430" s="188"/>
      <c r="C430" s="189"/>
      <c r="D430" s="190"/>
      <c r="E430" s="191"/>
      <c r="F430" s="191"/>
      <c r="G430" s="190"/>
      <c r="H430" s="190"/>
      <c r="I430" s="192"/>
      <c r="J430" s="203"/>
      <c r="K430" s="296">
        <f>SUM(K426:K429)</f>
        <v>390000</v>
      </c>
      <c r="L430" s="195"/>
      <c r="M430" s="196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135"/>
      <c r="AU430" s="135"/>
    </row>
    <row r="431" spans="1:47" ht="24" customHeight="1" x14ac:dyDescent="0.2">
      <c r="A431" s="163">
        <v>96</v>
      </c>
      <c r="B431" s="164" t="s">
        <v>654</v>
      </c>
      <c r="C431" s="165"/>
      <c r="D431" s="166" t="s">
        <v>161</v>
      </c>
      <c r="E431" s="167"/>
      <c r="F431" s="167"/>
      <c r="G431" s="166"/>
      <c r="H431" s="166"/>
      <c r="I431" s="217" t="s">
        <v>655</v>
      </c>
      <c r="J431" s="220" t="s">
        <v>398</v>
      </c>
      <c r="K431" s="289">
        <f>350150*50%</f>
        <v>175075</v>
      </c>
      <c r="L431" s="171" t="s">
        <v>164</v>
      </c>
      <c r="M431" s="172" t="s">
        <v>656</v>
      </c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135"/>
      <c r="AU431" s="135"/>
    </row>
    <row r="432" spans="1:47" x14ac:dyDescent="0.2">
      <c r="A432" s="174"/>
      <c r="B432" s="175"/>
      <c r="C432" s="176"/>
      <c r="D432" s="177"/>
      <c r="E432" s="178"/>
      <c r="F432" s="178"/>
      <c r="G432" s="177"/>
      <c r="H432" s="177"/>
      <c r="I432" s="186" t="s">
        <v>657</v>
      </c>
      <c r="J432" s="262" t="s">
        <v>398</v>
      </c>
      <c r="K432" s="291">
        <f>350150*25%</f>
        <v>87537.5</v>
      </c>
      <c r="L432" s="182"/>
      <c r="M432" s="183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  <c r="AU432" s="135"/>
    </row>
    <row r="433" spans="1:47" x14ac:dyDescent="0.2">
      <c r="A433" s="174"/>
      <c r="B433" s="175"/>
      <c r="C433" s="176"/>
      <c r="D433" s="177"/>
      <c r="E433" s="178"/>
      <c r="F433" s="178"/>
      <c r="G433" s="177"/>
      <c r="H433" s="177"/>
      <c r="I433" s="168" t="s">
        <v>641</v>
      </c>
      <c r="J433" s="206" t="s">
        <v>441</v>
      </c>
      <c r="K433" s="290">
        <f>350150*20%</f>
        <v>70030</v>
      </c>
      <c r="L433" s="182"/>
      <c r="M433" s="183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  <c r="AR433" s="135"/>
      <c r="AS433" s="135"/>
      <c r="AT433" s="135"/>
      <c r="AU433" s="135"/>
    </row>
    <row r="434" spans="1:47" x14ac:dyDescent="0.2">
      <c r="A434" s="174"/>
      <c r="B434" s="175"/>
      <c r="C434" s="176"/>
      <c r="D434" s="177"/>
      <c r="E434" s="178"/>
      <c r="F434" s="178"/>
      <c r="G434" s="177"/>
      <c r="H434" s="177"/>
      <c r="I434" s="186" t="s">
        <v>644</v>
      </c>
      <c r="J434" s="206" t="s">
        <v>441</v>
      </c>
      <c r="K434" s="291">
        <f>350150*5%</f>
        <v>17507.5</v>
      </c>
      <c r="L434" s="182"/>
      <c r="M434" s="183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  <c r="AR434" s="135"/>
      <c r="AS434" s="135"/>
      <c r="AT434" s="135"/>
      <c r="AU434" s="135"/>
    </row>
    <row r="435" spans="1:47" x14ac:dyDescent="0.2">
      <c r="A435" s="187"/>
      <c r="B435" s="188"/>
      <c r="C435" s="189"/>
      <c r="D435" s="190"/>
      <c r="E435" s="191"/>
      <c r="F435" s="191"/>
      <c r="G435" s="190"/>
      <c r="H435" s="190"/>
      <c r="I435" s="202"/>
      <c r="J435" s="215"/>
      <c r="K435" s="293">
        <f>SUM(K431:K434)</f>
        <v>350150</v>
      </c>
      <c r="L435" s="195"/>
      <c r="M435" s="196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135"/>
      <c r="AU435" s="135"/>
    </row>
    <row r="436" spans="1:47" ht="24" customHeight="1" x14ac:dyDescent="0.2">
      <c r="A436" s="163">
        <v>97</v>
      </c>
      <c r="B436" s="164" t="s">
        <v>658</v>
      </c>
      <c r="C436" s="165"/>
      <c r="D436" s="166" t="s">
        <v>161</v>
      </c>
      <c r="E436" s="167"/>
      <c r="F436" s="167"/>
      <c r="G436" s="166"/>
      <c r="H436" s="166"/>
      <c r="I436" s="168" t="s">
        <v>659</v>
      </c>
      <c r="J436" s="220" t="s">
        <v>398</v>
      </c>
      <c r="K436" s="294">
        <f>110000*90%</f>
        <v>99000</v>
      </c>
      <c r="L436" s="171" t="s">
        <v>164</v>
      </c>
      <c r="M436" s="172" t="s">
        <v>660</v>
      </c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  <c r="AR436" s="135"/>
      <c r="AS436" s="135"/>
      <c r="AT436" s="135"/>
      <c r="AU436" s="135"/>
    </row>
    <row r="437" spans="1:47" ht="48" x14ac:dyDescent="0.2">
      <c r="A437" s="174"/>
      <c r="B437" s="175"/>
      <c r="C437" s="176"/>
      <c r="D437" s="177"/>
      <c r="E437" s="178"/>
      <c r="F437" s="178"/>
      <c r="G437" s="177"/>
      <c r="H437" s="177"/>
      <c r="I437" s="186" t="s">
        <v>661</v>
      </c>
      <c r="J437" s="206" t="s">
        <v>398</v>
      </c>
      <c r="K437" s="290">
        <f>110000*10%</f>
        <v>11000</v>
      </c>
      <c r="L437" s="182"/>
      <c r="M437" s="183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  <c r="AU437" s="135"/>
    </row>
    <row r="438" spans="1:47" x14ac:dyDescent="0.2">
      <c r="A438" s="187"/>
      <c r="B438" s="188"/>
      <c r="C438" s="189"/>
      <c r="D438" s="190"/>
      <c r="E438" s="191"/>
      <c r="F438" s="191"/>
      <c r="G438" s="190"/>
      <c r="H438" s="190"/>
      <c r="I438" s="192"/>
      <c r="J438" s="215"/>
      <c r="K438" s="296">
        <f>SUM(K436:K437)</f>
        <v>110000</v>
      </c>
      <c r="L438" s="195"/>
      <c r="M438" s="196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  <c r="AU438" s="135"/>
    </row>
    <row r="439" spans="1:47" ht="24" customHeight="1" x14ac:dyDescent="0.2">
      <c r="A439" s="163">
        <v>98</v>
      </c>
      <c r="B439" s="164" t="s">
        <v>662</v>
      </c>
      <c r="C439" s="165"/>
      <c r="D439" s="166" t="s">
        <v>161</v>
      </c>
      <c r="E439" s="167"/>
      <c r="F439" s="167"/>
      <c r="G439" s="166"/>
      <c r="H439" s="166"/>
      <c r="I439" s="217" t="s">
        <v>663</v>
      </c>
      <c r="J439" s="169" t="s">
        <v>398</v>
      </c>
      <c r="K439" s="289">
        <f>190000*55%</f>
        <v>104500.00000000001</v>
      </c>
      <c r="L439" s="171" t="s">
        <v>164</v>
      </c>
      <c r="M439" s="172" t="s">
        <v>664</v>
      </c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135"/>
      <c r="AU439" s="135"/>
    </row>
    <row r="440" spans="1:47" ht="48" x14ac:dyDescent="0.2">
      <c r="A440" s="174"/>
      <c r="B440" s="175"/>
      <c r="C440" s="176"/>
      <c r="D440" s="177"/>
      <c r="E440" s="178"/>
      <c r="F440" s="178"/>
      <c r="G440" s="177"/>
      <c r="H440" s="177"/>
      <c r="I440" s="186" t="s">
        <v>665</v>
      </c>
      <c r="J440" s="223" t="s">
        <v>398</v>
      </c>
      <c r="K440" s="290">
        <f>190000*15%</f>
        <v>28500</v>
      </c>
      <c r="L440" s="182"/>
      <c r="M440" s="183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  <c r="AU440" s="135"/>
    </row>
    <row r="441" spans="1:47" x14ac:dyDescent="0.2">
      <c r="A441" s="174"/>
      <c r="B441" s="175"/>
      <c r="C441" s="176"/>
      <c r="D441" s="177"/>
      <c r="E441" s="178"/>
      <c r="F441" s="178"/>
      <c r="G441" s="177"/>
      <c r="H441" s="177"/>
      <c r="I441" s="168" t="s">
        <v>666</v>
      </c>
      <c r="J441" s="206" t="s">
        <v>398</v>
      </c>
      <c r="K441" s="290">
        <f>190000*15%</f>
        <v>28500</v>
      </c>
      <c r="L441" s="182"/>
      <c r="M441" s="183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135"/>
      <c r="AU441" s="135"/>
    </row>
    <row r="442" spans="1:47" x14ac:dyDescent="0.2">
      <c r="A442" s="174"/>
      <c r="B442" s="175"/>
      <c r="C442" s="176"/>
      <c r="D442" s="177"/>
      <c r="E442" s="178"/>
      <c r="F442" s="178"/>
      <c r="G442" s="177"/>
      <c r="H442" s="177"/>
      <c r="I442" s="179" t="s">
        <v>667</v>
      </c>
      <c r="J442" s="206" t="s">
        <v>398</v>
      </c>
      <c r="K442" s="291">
        <f>190000*15%</f>
        <v>28500</v>
      </c>
      <c r="L442" s="182"/>
      <c r="M442" s="183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  <c r="AU442" s="135"/>
    </row>
    <row r="443" spans="1:47" x14ac:dyDescent="0.2">
      <c r="A443" s="187"/>
      <c r="B443" s="188"/>
      <c r="C443" s="189"/>
      <c r="D443" s="190"/>
      <c r="E443" s="191"/>
      <c r="F443" s="191"/>
      <c r="G443" s="190"/>
      <c r="H443" s="190"/>
      <c r="I443" s="202"/>
      <c r="J443" s="203"/>
      <c r="K443" s="293">
        <f>SUM(K439:K442)</f>
        <v>190000</v>
      </c>
      <c r="L443" s="195"/>
      <c r="M443" s="196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  <c r="AU443" s="135"/>
    </row>
    <row r="444" spans="1:47" ht="24" customHeight="1" x14ac:dyDescent="0.2">
      <c r="A444" s="163">
        <v>99</v>
      </c>
      <c r="B444" s="164" t="s">
        <v>668</v>
      </c>
      <c r="C444" s="165"/>
      <c r="D444" s="166" t="s">
        <v>161</v>
      </c>
      <c r="E444" s="167"/>
      <c r="F444" s="167"/>
      <c r="G444" s="166"/>
      <c r="H444" s="166"/>
      <c r="I444" s="168" t="s">
        <v>669</v>
      </c>
      <c r="J444" s="169" t="s">
        <v>398</v>
      </c>
      <c r="K444" s="294">
        <f>190000*40%</f>
        <v>76000</v>
      </c>
      <c r="L444" s="171" t="s">
        <v>164</v>
      </c>
      <c r="M444" s="172" t="s">
        <v>670</v>
      </c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  <c r="AU444" s="135"/>
    </row>
    <row r="445" spans="1:47" x14ac:dyDescent="0.2">
      <c r="A445" s="174"/>
      <c r="B445" s="175"/>
      <c r="C445" s="176"/>
      <c r="D445" s="177"/>
      <c r="E445" s="178"/>
      <c r="F445" s="178"/>
      <c r="G445" s="177"/>
      <c r="H445" s="177"/>
      <c r="I445" s="186" t="s">
        <v>671</v>
      </c>
      <c r="J445" s="223" t="s">
        <v>398</v>
      </c>
      <c r="K445" s="292">
        <f>190000*30%</f>
        <v>57000</v>
      </c>
      <c r="L445" s="182"/>
      <c r="M445" s="183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  <c r="AR445" s="135"/>
      <c r="AS445" s="135"/>
      <c r="AT445" s="135"/>
      <c r="AU445" s="135"/>
    </row>
    <row r="446" spans="1:47" ht="48" x14ac:dyDescent="0.2">
      <c r="A446" s="174"/>
      <c r="B446" s="175"/>
      <c r="C446" s="176"/>
      <c r="D446" s="177"/>
      <c r="E446" s="178"/>
      <c r="F446" s="178"/>
      <c r="G446" s="177"/>
      <c r="H446" s="177"/>
      <c r="I446" s="179" t="s">
        <v>672</v>
      </c>
      <c r="J446" s="206" t="s">
        <v>398</v>
      </c>
      <c r="K446" s="292">
        <f>190000*10%</f>
        <v>19000</v>
      </c>
      <c r="L446" s="182"/>
      <c r="M446" s="183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  <c r="AR446" s="135"/>
      <c r="AS446" s="135"/>
      <c r="AT446" s="135"/>
      <c r="AU446" s="135"/>
    </row>
    <row r="447" spans="1:47" x14ac:dyDescent="0.2">
      <c r="A447" s="174"/>
      <c r="B447" s="175"/>
      <c r="C447" s="176"/>
      <c r="D447" s="177"/>
      <c r="E447" s="178"/>
      <c r="F447" s="178"/>
      <c r="G447" s="177"/>
      <c r="H447" s="177"/>
      <c r="I447" s="179" t="s">
        <v>673</v>
      </c>
      <c r="J447" s="169" t="s">
        <v>398</v>
      </c>
      <c r="K447" s="290">
        <f>190000*10%</f>
        <v>19000</v>
      </c>
      <c r="L447" s="182"/>
      <c r="M447" s="183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135"/>
      <c r="AU447" s="135"/>
    </row>
    <row r="448" spans="1:47" x14ac:dyDescent="0.2">
      <c r="A448" s="174"/>
      <c r="B448" s="175"/>
      <c r="C448" s="176"/>
      <c r="D448" s="177"/>
      <c r="E448" s="178"/>
      <c r="F448" s="178"/>
      <c r="G448" s="177"/>
      <c r="H448" s="177"/>
      <c r="I448" s="186" t="s">
        <v>674</v>
      </c>
      <c r="J448" s="206" t="s">
        <v>398</v>
      </c>
      <c r="K448" s="291">
        <f>190000*10%</f>
        <v>19000</v>
      </c>
      <c r="L448" s="182"/>
      <c r="M448" s="183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135"/>
      <c r="AU448" s="135"/>
    </row>
    <row r="449" spans="1:47" x14ac:dyDescent="0.2">
      <c r="A449" s="187"/>
      <c r="B449" s="188"/>
      <c r="C449" s="189"/>
      <c r="D449" s="190"/>
      <c r="E449" s="191"/>
      <c r="F449" s="191"/>
      <c r="G449" s="190"/>
      <c r="H449" s="190"/>
      <c r="I449" s="192"/>
      <c r="J449" s="215"/>
      <c r="K449" s="293">
        <f>SUM(K444:K448)</f>
        <v>190000</v>
      </c>
      <c r="L449" s="195"/>
      <c r="M449" s="196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  <c r="AR449" s="135"/>
      <c r="AS449" s="135"/>
      <c r="AT449" s="135"/>
      <c r="AU449" s="135"/>
    </row>
    <row r="450" spans="1:47" ht="24" customHeight="1" x14ac:dyDescent="0.2">
      <c r="A450" s="163">
        <v>100</v>
      </c>
      <c r="B450" s="164" t="s">
        <v>675</v>
      </c>
      <c r="C450" s="165"/>
      <c r="D450" s="166" t="s">
        <v>161</v>
      </c>
      <c r="E450" s="167"/>
      <c r="F450" s="167"/>
      <c r="G450" s="166"/>
      <c r="H450" s="166"/>
      <c r="I450" s="217" t="s">
        <v>676</v>
      </c>
      <c r="J450" s="169" t="s">
        <v>398</v>
      </c>
      <c r="K450" s="294">
        <f>115585*40%</f>
        <v>46234</v>
      </c>
      <c r="L450" s="171" t="s">
        <v>164</v>
      </c>
      <c r="M450" s="172" t="s">
        <v>677</v>
      </c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135"/>
      <c r="AU450" s="135"/>
    </row>
    <row r="451" spans="1:47" x14ac:dyDescent="0.2">
      <c r="A451" s="174"/>
      <c r="B451" s="175"/>
      <c r="C451" s="176"/>
      <c r="D451" s="177"/>
      <c r="E451" s="178"/>
      <c r="F451" s="178"/>
      <c r="G451" s="177"/>
      <c r="H451" s="177"/>
      <c r="I451" s="168" t="s">
        <v>678</v>
      </c>
      <c r="J451" s="206" t="s">
        <v>679</v>
      </c>
      <c r="K451" s="292">
        <f>115585*40%</f>
        <v>46234</v>
      </c>
      <c r="L451" s="182"/>
      <c r="M451" s="183"/>
      <c r="N451" s="173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  <c r="AR451" s="135"/>
      <c r="AS451" s="135"/>
      <c r="AT451" s="135"/>
      <c r="AU451" s="135"/>
    </row>
    <row r="452" spans="1:47" x14ac:dyDescent="0.2">
      <c r="A452" s="174"/>
      <c r="B452" s="175"/>
      <c r="C452" s="176"/>
      <c r="D452" s="177"/>
      <c r="E452" s="178"/>
      <c r="F452" s="178"/>
      <c r="G452" s="177"/>
      <c r="H452" s="177"/>
      <c r="I452" s="179" t="s">
        <v>680</v>
      </c>
      <c r="J452" s="169" t="s">
        <v>398</v>
      </c>
      <c r="K452" s="290">
        <f>115585*10%</f>
        <v>11558.5</v>
      </c>
      <c r="L452" s="182"/>
      <c r="M452" s="183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  <c r="AU452" s="135"/>
    </row>
    <row r="453" spans="1:47" x14ac:dyDescent="0.2">
      <c r="A453" s="174"/>
      <c r="B453" s="175"/>
      <c r="C453" s="176"/>
      <c r="D453" s="177"/>
      <c r="E453" s="178"/>
      <c r="F453" s="178"/>
      <c r="G453" s="177"/>
      <c r="H453" s="177"/>
      <c r="I453" s="179" t="s">
        <v>681</v>
      </c>
      <c r="J453" s="206" t="s">
        <v>398</v>
      </c>
      <c r="K453" s="291">
        <f>115585*10%</f>
        <v>11558.5</v>
      </c>
      <c r="L453" s="182"/>
      <c r="M453" s="183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135"/>
      <c r="AU453" s="135"/>
    </row>
    <row r="454" spans="1:47" x14ac:dyDescent="0.2">
      <c r="A454" s="187"/>
      <c r="B454" s="188"/>
      <c r="C454" s="189"/>
      <c r="D454" s="190"/>
      <c r="E454" s="191"/>
      <c r="F454" s="191"/>
      <c r="G454" s="190"/>
      <c r="H454" s="190"/>
      <c r="I454" s="202"/>
      <c r="J454" s="203"/>
      <c r="K454" s="293">
        <f>SUM(K450:K453)</f>
        <v>115585</v>
      </c>
      <c r="L454" s="195"/>
      <c r="M454" s="196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135"/>
      <c r="AU454" s="135"/>
    </row>
    <row r="455" spans="1:47" ht="24" customHeight="1" x14ac:dyDescent="0.2">
      <c r="A455" s="163">
        <v>101</v>
      </c>
      <c r="B455" s="164" t="s">
        <v>682</v>
      </c>
      <c r="C455" s="165"/>
      <c r="D455" s="166" t="s">
        <v>161</v>
      </c>
      <c r="E455" s="167"/>
      <c r="F455" s="167"/>
      <c r="G455" s="166"/>
      <c r="H455" s="166"/>
      <c r="I455" s="168" t="s">
        <v>683</v>
      </c>
      <c r="J455" s="169" t="s">
        <v>398</v>
      </c>
      <c r="K455" s="289">
        <f>258549*95%</f>
        <v>245621.55</v>
      </c>
      <c r="L455" s="171" t="s">
        <v>164</v>
      </c>
      <c r="M455" s="172" t="s">
        <v>684</v>
      </c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  <c r="AR455" s="135"/>
      <c r="AS455" s="135"/>
      <c r="AT455" s="135"/>
      <c r="AU455" s="135"/>
    </row>
    <row r="456" spans="1:47" ht="48" x14ac:dyDescent="0.2">
      <c r="A456" s="174"/>
      <c r="B456" s="175"/>
      <c r="C456" s="176"/>
      <c r="D456" s="177"/>
      <c r="E456" s="178"/>
      <c r="F456" s="178"/>
      <c r="G456" s="177"/>
      <c r="H456" s="177"/>
      <c r="I456" s="179" t="s">
        <v>685</v>
      </c>
      <c r="J456" s="206" t="s">
        <v>398</v>
      </c>
      <c r="K456" s="291">
        <f>258549*5%</f>
        <v>12927.45</v>
      </c>
      <c r="L456" s="182"/>
      <c r="M456" s="183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  <c r="AU456" s="135"/>
    </row>
    <row r="457" spans="1:47" x14ac:dyDescent="0.2">
      <c r="A457" s="187"/>
      <c r="B457" s="188"/>
      <c r="C457" s="189"/>
      <c r="D457" s="190"/>
      <c r="E457" s="191"/>
      <c r="F457" s="191"/>
      <c r="G457" s="190"/>
      <c r="H457" s="190"/>
      <c r="I457" s="202"/>
      <c r="J457" s="215"/>
      <c r="K457" s="293">
        <f>SUM(K455:K456)</f>
        <v>258549</v>
      </c>
      <c r="L457" s="195"/>
      <c r="M457" s="196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  <c r="AU457" s="135"/>
    </row>
    <row r="458" spans="1:47" ht="66.75" customHeight="1" x14ac:dyDescent="0.2">
      <c r="A458" s="250">
        <v>102</v>
      </c>
      <c r="B458" s="164" t="s">
        <v>686</v>
      </c>
      <c r="C458" s="165"/>
      <c r="D458" s="251" t="s">
        <v>161</v>
      </c>
      <c r="E458" s="252"/>
      <c r="F458" s="252"/>
      <c r="G458" s="251"/>
      <c r="H458" s="251"/>
      <c r="I458" s="264" t="s">
        <v>687</v>
      </c>
      <c r="J458" s="220" t="s">
        <v>398</v>
      </c>
      <c r="K458" s="289">
        <f>12000*100%</f>
        <v>12000</v>
      </c>
      <c r="L458" s="260" t="s">
        <v>164</v>
      </c>
      <c r="M458" s="247" t="s">
        <v>688</v>
      </c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  <c r="AU458" s="135"/>
    </row>
    <row r="459" spans="1:47" ht="24" customHeight="1" x14ac:dyDescent="0.2">
      <c r="A459" s="163">
        <v>103</v>
      </c>
      <c r="B459" s="164" t="s">
        <v>689</v>
      </c>
      <c r="C459" s="165"/>
      <c r="D459" s="166" t="s">
        <v>161</v>
      </c>
      <c r="E459" s="167"/>
      <c r="F459" s="167"/>
      <c r="G459" s="166"/>
      <c r="H459" s="166"/>
      <c r="I459" s="168" t="s">
        <v>690</v>
      </c>
      <c r="J459" s="220" t="s">
        <v>398</v>
      </c>
      <c r="K459" s="294">
        <f>100000*35%</f>
        <v>35000</v>
      </c>
      <c r="L459" s="171" t="s">
        <v>164</v>
      </c>
      <c r="M459" s="172" t="s">
        <v>691</v>
      </c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  <c r="AR459" s="135"/>
      <c r="AS459" s="135"/>
      <c r="AT459" s="135"/>
      <c r="AU459" s="135"/>
    </row>
    <row r="460" spans="1:47" x14ac:dyDescent="0.2">
      <c r="A460" s="174"/>
      <c r="B460" s="175"/>
      <c r="C460" s="176"/>
      <c r="D460" s="177"/>
      <c r="E460" s="178"/>
      <c r="F460" s="178"/>
      <c r="G460" s="177"/>
      <c r="H460" s="177"/>
      <c r="I460" s="179" t="s">
        <v>692</v>
      </c>
      <c r="J460" s="262" t="s">
        <v>398</v>
      </c>
      <c r="K460" s="290">
        <f>100000*35%</f>
        <v>35000</v>
      </c>
      <c r="L460" s="182"/>
      <c r="M460" s="183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135"/>
      <c r="AU460" s="135"/>
    </row>
    <row r="461" spans="1:47" ht="48" x14ac:dyDescent="0.2">
      <c r="A461" s="174"/>
      <c r="B461" s="175"/>
      <c r="C461" s="176"/>
      <c r="D461" s="177"/>
      <c r="E461" s="178"/>
      <c r="F461" s="178"/>
      <c r="G461" s="177"/>
      <c r="H461" s="177"/>
      <c r="I461" s="179" t="s">
        <v>693</v>
      </c>
      <c r="J461" s="262" t="s">
        <v>398</v>
      </c>
      <c r="K461" s="291">
        <f>100000*10%</f>
        <v>10000</v>
      </c>
      <c r="L461" s="182"/>
      <c r="M461" s="183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  <c r="AR461" s="135"/>
      <c r="AS461" s="135"/>
      <c r="AT461" s="135"/>
      <c r="AU461" s="135"/>
    </row>
    <row r="462" spans="1:47" x14ac:dyDescent="0.2">
      <c r="A462" s="174"/>
      <c r="B462" s="175"/>
      <c r="C462" s="176"/>
      <c r="D462" s="177"/>
      <c r="E462" s="178"/>
      <c r="F462" s="178"/>
      <c r="G462" s="177"/>
      <c r="H462" s="177"/>
      <c r="I462" s="186" t="s">
        <v>694</v>
      </c>
      <c r="J462" s="262" t="s">
        <v>398</v>
      </c>
      <c r="K462" s="290">
        <f>100000*10%</f>
        <v>10000</v>
      </c>
      <c r="L462" s="182"/>
      <c r="M462" s="183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135"/>
      <c r="AU462" s="135"/>
    </row>
    <row r="463" spans="1:47" x14ac:dyDescent="0.2">
      <c r="A463" s="174"/>
      <c r="B463" s="175"/>
      <c r="C463" s="176"/>
      <c r="D463" s="177"/>
      <c r="E463" s="178"/>
      <c r="F463" s="178"/>
      <c r="G463" s="177"/>
      <c r="H463" s="177"/>
      <c r="I463" s="186" t="s">
        <v>695</v>
      </c>
      <c r="J463" s="262" t="s">
        <v>398</v>
      </c>
      <c r="K463" s="290">
        <f>100000*10%</f>
        <v>10000</v>
      </c>
      <c r="L463" s="182"/>
      <c r="M463" s="183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  <c r="AR463" s="135"/>
      <c r="AS463" s="135"/>
      <c r="AT463" s="135"/>
      <c r="AU463" s="135"/>
    </row>
    <row r="464" spans="1:47" x14ac:dyDescent="0.2">
      <c r="A464" s="187"/>
      <c r="B464" s="188"/>
      <c r="C464" s="189"/>
      <c r="D464" s="190"/>
      <c r="E464" s="191"/>
      <c r="F464" s="191"/>
      <c r="G464" s="190"/>
      <c r="H464" s="190"/>
      <c r="I464" s="192"/>
      <c r="J464" s="215"/>
      <c r="K464" s="296">
        <f>SUM(K459:K463)</f>
        <v>100000</v>
      </c>
      <c r="L464" s="195"/>
      <c r="M464" s="196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  <c r="AU464" s="135"/>
    </row>
    <row r="465" spans="1:47" ht="48" customHeight="1" x14ac:dyDescent="0.2">
      <c r="A465" s="163">
        <v>104</v>
      </c>
      <c r="B465" s="164" t="s">
        <v>696</v>
      </c>
      <c r="C465" s="165"/>
      <c r="D465" s="166" t="s">
        <v>161</v>
      </c>
      <c r="E465" s="167"/>
      <c r="F465" s="167"/>
      <c r="G465" s="166"/>
      <c r="H465" s="166"/>
      <c r="I465" s="168" t="s">
        <v>697</v>
      </c>
      <c r="J465" s="169" t="s">
        <v>398</v>
      </c>
      <c r="K465" s="289">
        <f>100000*60%</f>
        <v>60000</v>
      </c>
      <c r="L465" s="171" t="s">
        <v>164</v>
      </c>
      <c r="M465" s="172" t="s">
        <v>698</v>
      </c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  <c r="AU465" s="135"/>
    </row>
    <row r="466" spans="1:47" x14ac:dyDescent="0.2">
      <c r="A466" s="174"/>
      <c r="B466" s="175"/>
      <c r="C466" s="176"/>
      <c r="D466" s="177"/>
      <c r="E466" s="178"/>
      <c r="F466" s="178"/>
      <c r="G466" s="177"/>
      <c r="H466" s="177"/>
      <c r="I466" s="186" t="s">
        <v>699</v>
      </c>
      <c r="J466" s="206" t="s">
        <v>398</v>
      </c>
      <c r="K466" s="290">
        <f>100000*20%</f>
        <v>20000</v>
      </c>
      <c r="L466" s="182"/>
      <c r="M466" s="183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  <c r="AU466" s="135"/>
    </row>
    <row r="467" spans="1:47" x14ac:dyDescent="0.2">
      <c r="A467" s="174"/>
      <c r="B467" s="175"/>
      <c r="C467" s="176"/>
      <c r="D467" s="177"/>
      <c r="E467" s="178"/>
      <c r="F467" s="178"/>
      <c r="G467" s="177"/>
      <c r="H467" s="177"/>
      <c r="I467" s="186" t="s">
        <v>694</v>
      </c>
      <c r="J467" s="262" t="s">
        <v>398</v>
      </c>
      <c r="K467" s="290">
        <f>100000*10%</f>
        <v>10000</v>
      </c>
      <c r="L467" s="182"/>
      <c r="M467" s="183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  <c r="AU467" s="135"/>
    </row>
    <row r="468" spans="1:47" x14ac:dyDescent="0.2">
      <c r="A468" s="174"/>
      <c r="B468" s="175"/>
      <c r="C468" s="176"/>
      <c r="D468" s="177"/>
      <c r="E468" s="178"/>
      <c r="F468" s="178"/>
      <c r="G468" s="177"/>
      <c r="H468" s="177"/>
      <c r="I468" s="168" t="s">
        <v>700</v>
      </c>
      <c r="J468" s="206" t="s">
        <v>398</v>
      </c>
      <c r="K468" s="290">
        <f>100000*10%</f>
        <v>10000</v>
      </c>
      <c r="L468" s="182"/>
      <c r="M468" s="183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  <c r="AU468" s="135"/>
    </row>
    <row r="469" spans="1:47" x14ac:dyDescent="0.2">
      <c r="A469" s="187"/>
      <c r="B469" s="188"/>
      <c r="C469" s="189"/>
      <c r="D469" s="190"/>
      <c r="E469" s="191"/>
      <c r="F469" s="191"/>
      <c r="G469" s="190"/>
      <c r="H469" s="190"/>
      <c r="I469" s="179"/>
      <c r="J469" s="169"/>
      <c r="K469" s="291">
        <f>SUM(K465:K468)</f>
        <v>100000</v>
      </c>
      <c r="L469" s="195"/>
      <c r="M469" s="196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  <c r="AU469" s="135"/>
    </row>
    <row r="470" spans="1:47" ht="24" customHeight="1" x14ac:dyDescent="0.2">
      <c r="A470" s="163">
        <v>105</v>
      </c>
      <c r="B470" s="164" t="s">
        <v>701</v>
      </c>
      <c r="C470" s="165"/>
      <c r="D470" s="166" t="s">
        <v>161</v>
      </c>
      <c r="E470" s="167"/>
      <c r="F470" s="167"/>
      <c r="G470" s="166"/>
      <c r="H470" s="166"/>
      <c r="I470" s="297" t="s">
        <v>699</v>
      </c>
      <c r="J470" s="220" t="s">
        <v>398</v>
      </c>
      <c r="K470" s="286">
        <f>100000*20%</f>
        <v>20000</v>
      </c>
      <c r="L470" s="165" t="s">
        <v>164</v>
      </c>
      <c r="M470" s="172" t="s">
        <v>702</v>
      </c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  <c r="AU470" s="135"/>
    </row>
    <row r="471" spans="1:47" x14ac:dyDescent="0.2">
      <c r="A471" s="174"/>
      <c r="B471" s="175"/>
      <c r="C471" s="176"/>
      <c r="D471" s="177"/>
      <c r="E471" s="178"/>
      <c r="F471" s="178"/>
      <c r="G471" s="177"/>
      <c r="H471" s="177"/>
      <c r="I471" s="186" t="s">
        <v>703</v>
      </c>
      <c r="J471" s="206" t="s">
        <v>398</v>
      </c>
      <c r="K471" s="287">
        <f>100000*20%</f>
        <v>20000</v>
      </c>
      <c r="L471" s="176"/>
      <c r="M471" s="183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  <c r="AU471" s="135"/>
    </row>
    <row r="472" spans="1:47" ht="48" x14ac:dyDescent="0.2">
      <c r="A472" s="174"/>
      <c r="B472" s="175"/>
      <c r="C472" s="176"/>
      <c r="D472" s="177"/>
      <c r="E472" s="178"/>
      <c r="F472" s="178"/>
      <c r="G472" s="177"/>
      <c r="H472" s="177"/>
      <c r="I472" s="186" t="s">
        <v>704</v>
      </c>
      <c r="J472" s="169" t="s">
        <v>398</v>
      </c>
      <c r="K472" s="298">
        <f>100000*10%</f>
        <v>10000</v>
      </c>
      <c r="L472" s="176"/>
      <c r="M472" s="183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  <c r="AU472" s="135"/>
    </row>
    <row r="473" spans="1:47" x14ac:dyDescent="0.2">
      <c r="A473" s="174"/>
      <c r="B473" s="175"/>
      <c r="C473" s="176"/>
      <c r="D473" s="177"/>
      <c r="E473" s="178"/>
      <c r="F473" s="178"/>
      <c r="G473" s="177"/>
      <c r="H473" s="177"/>
      <c r="I473" s="299" t="s">
        <v>705</v>
      </c>
      <c r="J473" s="223" t="s">
        <v>398</v>
      </c>
      <c r="K473" s="295">
        <f>100000*10%</f>
        <v>10000</v>
      </c>
      <c r="L473" s="176"/>
      <c r="M473" s="183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  <c r="AR473" s="135"/>
      <c r="AS473" s="135"/>
      <c r="AT473" s="135"/>
      <c r="AU473" s="135"/>
    </row>
    <row r="474" spans="1:47" x14ac:dyDescent="0.2">
      <c r="A474" s="174"/>
      <c r="B474" s="175"/>
      <c r="C474" s="176"/>
      <c r="D474" s="177"/>
      <c r="E474" s="178"/>
      <c r="F474" s="178"/>
      <c r="G474" s="177"/>
      <c r="H474" s="177"/>
      <c r="I474" s="168" t="s">
        <v>706</v>
      </c>
      <c r="J474" s="223" t="s">
        <v>398</v>
      </c>
      <c r="K474" s="287">
        <f>100000*10%</f>
        <v>10000</v>
      </c>
      <c r="L474" s="176"/>
      <c r="M474" s="183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  <c r="AU474" s="135"/>
    </row>
    <row r="475" spans="1:47" x14ac:dyDescent="0.2">
      <c r="A475" s="174"/>
      <c r="B475" s="175"/>
      <c r="C475" s="176"/>
      <c r="D475" s="177"/>
      <c r="E475" s="178"/>
      <c r="F475" s="178"/>
      <c r="G475" s="177"/>
      <c r="H475" s="177"/>
      <c r="I475" s="186" t="s">
        <v>707</v>
      </c>
      <c r="J475" s="223" t="s">
        <v>398</v>
      </c>
      <c r="K475" s="287">
        <f>100000*30%</f>
        <v>30000</v>
      </c>
      <c r="L475" s="176"/>
      <c r="M475" s="183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  <c r="AU475" s="135"/>
    </row>
    <row r="476" spans="1:47" x14ac:dyDescent="0.2">
      <c r="A476" s="187"/>
      <c r="B476" s="188"/>
      <c r="C476" s="189"/>
      <c r="D476" s="190"/>
      <c r="E476" s="191"/>
      <c r="F476" s="191"/>
      <c r="G476" s="190"/>
      <c r="H476" s="190"/>
      <c r="I476" s="202"/>
      <c r="J476" s="203"/>
      <c r="K476" s="300">
        <f>SUM(K470:K475)</f>
        <v>100000</v>
      </c>
      <c r="L476" s="189"/>
      <c r="M476" s="196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  <c r="AU476" s="135"/>
    </row>
    <row r="477" spans="1:47" ht="24" customHeight="1" x14ac:dyDescent="0.2">
      <c r="A477" s="163">
        <v>106</v>
      </c>
      <c r="B477" s="164" t="s">
        <v>708</v>
      </c>
      <c r="C477" s="165"/>
      <c r="D477" s="166" t="s">
        <v>161</v>
      </c>
      <c r="E477" s="167"/>
      <c r="F477" s="167"/>
      <c r="G477" s="166"/>
      <c r="H477" s="301"/>
      <c r="I477" s="217" t="s">
        <v>709</v>
      </c>
      <c r="J477" s="220" t="s">
        <v>398</v>
      </c>
      <c r="K477" s="302">
        <f>K481*50%</f>
        <v>50000</v>
      </c>
      <c r="L477" s="165" t="s">
        <v>164</v>
      </c>
      <c r="M477" s="172" t="s">
        <v>710</v>
      </c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  <c r="AR477" s="135"/>
      <c r="AS477" s="135"/>
      <c r="AT477" s="135"/>
      <c r="AU477" s="135"/>
    </row>
    <row r="478" spans="1:47" x14ac:dyDescent="0.2">
      <c r="A478" s="174"/>
      <c r="B478" s="175"/>
      <c r="C478" s="176"/>
      <c r="D478" s="177"/>
      <c r="E478" s="178"/>
      <c r="F478" s="178"/>
      <c r="G478" s="177"/>
      <c r="H478" s="303"/>
      <c r="I478" s="186" t="s">
        <v>711</v>
      </c>
      <c r="J478" s="206" t="s">
        <v>398</v>
      </c>
      <c r="K478" s="287">
        <f>K481*30%</f>
        <v>30000</v>
      </c>
      <c r="L478" s="176"/>
      <c r="M478" s="183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  <c r="AU478" s="135"/>
    </row>
    <row r="479" spans="1:47" x14ac:dyDescent="0.2">
      <c r="A479" s="174"/>
      <c r="B479" s="175"/>
      <c r="C479" s="176"/>
      <c r="D479" s="177"/>
      <c r="E479" s="178"/>
      <c r="F479" s="178"/>
      <c r="G479" s="177"/>
      <c r="H479" s="303"/>
      <c r="I479" s="186" t="s">
        <v>712</v>
      </c>
      <c r="J479" s="206" t="s">
        <v>398</v>
      </c>
      <c r="K479" s="287">
        <f>K481*10%</f>
        <v>10000</v>
      </c>
      <c r="L479" s="176"/>
      <c r="M479" s="183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  <c r="AR479" s="135"/>
      <c r="AS479" s="135"/>
      <c r="AT479" s="135"/>
      <c r="AU479" s="135"/>
    </row>
    <row r="480" spans="1:47" x14ac:dyDescent="0.2">
      <c r="A480" s="174"/>
      <c r="B480" s="175"/>
      <c r="C480" s="176"/>
      <c r="D480" s="177"/>
      <c r="E480" s="178"/>
      <c r="F480" s="178"/>
      <c r="G480" s="177"/>
      <c r="H480" s="303"/>
      <c r="I480" s="186" t="s">
        <v>713</v>
      </c>
      <c r="J480" s="206" t="s">
        <v>398</v>
      </c>
      <c r="K480" s="287">
        <f>K481*10%</f>
        <v>10000</v>
      </c>
      <c r="L480" s="176"/>
      <c r="M480" s="183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  <c r="AU480" s="135"/>
    </row>
    <row r="481" spans="1:47" x14ac:dyDescent="0.2">
      <c r="A481" s="187"/>
      <c r="B481" s="188"/>
      <c r="C481" s="189"/>
      <c r="D481" s="190"/>
      <c r="E481" s="191"/>
      <c r="F481" s="191"/>
      <c r="G481" s="190"/>
      <c r="H481" s="304"/>
      <c r="I481" s="202"/>
      <c r="J481" s="203"/>
      <c r="K481" s="305">
        <v>100000</v>
      </c>
      <c r="L481" s="189"/>
      <c r="M481" s="196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  <c r="AR481" s="135"/>
      <c r="AS481" s="135"/>
      <c r="AT481" s="135"/>
      <c r="AU481" s="135"/>
    </row>
    <row r="482" spans="1:47" ht="21" customHeight="1" x14ac:dyDescent="0.2">
      <c r="A482" s="163">
        <v>107</v>
      </c>
      <c r="B482" s="164" t="s">
        <v>714</v>
      </c>
      <c r="C482" s="165"/>
      <c r="D482" s="166" t="s">
        <v>161</v>
      </c>
      <c r="E482" s="167"/>
      <c r="F482" s="167"/>
      <c r="G482" s="166"/>
      <c r="H482" s="166" t="s">
        <v>108</v>
      </c>
      <c r="I482" s="306" t="s">
        <v>715</v>
      </c>
      <c r="J482" s="220" t="s">
        <v>249</v>
      </c>
      <c r="K482" s="307">
        <f>K486*40%</f>
        <v>2000</v>
      </c>
      <c r="L482" s="165" t="s">
        <v>164</v>
      </c>
      <c r="M482" s="172" t="s">
        <v>716</v>
      </c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  <c r="AU482" s="135"/>
    </row>
    <row r="483" spans="1:47" ht="21" customHeight="1" x14ac:dyDescent="0.2">
      <c r="A483" s="174"/>
      <c r="B483" s="175"/>
      <c r="C483" s="176"/>
      <c r="D483" s="177"/>
      <c r="E483" s="178"/>
      <c r="F483" s="178"/>
      <c r="G483" s="177"/>
      <c r="H483" s="177"/>
      <c r="I483" s="308" t="s">
        <v>717</v>
      </c>
      <c r="J483" s="206" t="s">
        <v>249</v>
      </c>
      <c r="K483" s="287">
        <f>K486*20%</f>
        <v>1000</v>
      </c>
      <c r="L483" s="176"/>
      <c r="M483" s="183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  <c r="AR483" s="135"/>
      <c r="AS483" s="135"/>
      <c r="AT483" s="135"/>
      <c r="AU483" s="135"/>
    </row>
    <row r="484" spans="1:47" ht="21" customHeight="1" x14ac:dyDescent="0.2">
      <c r="A484" s="174"/>
      <c r="B484" s="175"/>
      <c r="C484" s="176"/>
      <c r="D484" s="177"/>
      <c r="E484" s="178"/>
      <c r="F484" s="178"/>
      <c r="G484" s="177"/>
      <c r="H484" s="177"/>
      <c r="I484" s="308" t="s">
        <v>718</v>
      </c>
      <c r="J484" s="206" t="s">
        <v>249</v>
      </c>
      <c r="K484" s="287">
        <f>K486*20%</f>
        <v>1000</v>
      </c>
      <c r="L484" s="176"/>
      <c r="M484" s="183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  <c r="AU484" s="135"/>
    </row>
    <row r="485" spans="1:47" ht="21" customHeight="1" x14ac:dyDescent="0.2">
      <c r="A485" s="174"/>
      <c r="B485" s="175"/>
      <c r="C485" s="176"/>
      <c r="D485" s="177"/>
      <c r="E485" s="178"/>
      <c r="F485" s="178"/>
      <c r="G485" s="177"/>
      <c r="H485" s="177"/>
      <c r="I485" s="308" t="s">
        <v>719</v>
      </c>
      <c r="J485" s="206" t="s">
        <v>398</v>
      </c>
      <c r="K485" s="287">
        <f>K486*20%</f>
        <v>1000</v>
      </c>
      <c r="L485" s="176"/>
      <c r="M485" s="183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  <c r="AR485" s="135"/>
      <c r="AS485" s="135"/>
      <c r="AT485" s="135"/>
      <c r="AU485" s="135"/>
    </row>
    <row r="486" spans="1:47" ht="21" customHeight="1" x14ac:dyDescent="0.2">
      <c r="A486" s="187"/>
      <c r="B486" s="188"/>
      <c r="C486" s="189"/>
      <c r="D486" s="190"/>
      <c r="E486" s="191"/>
      <c r="F486" s="191"/>
      <c r="G486" s="190"/>
      <c r="H486" s="190"/>
      <c r="I486" s="309"/>
      <c r="J486" s="203"/>
      <c r="K486" s="295">
        <v>5000</v>
      </c>
      <c r="L486" s="189"/>
      <c r="M486" s="196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  <c r="AU486" s="135"/>
    </row>
    <row r="487" spans="1:47" ht="48" customHeight="1" x14ac:dyDescent="0.2">
      <c r="A487" s="163">
        <v>108</v>
      </c>
      <c r="B487" s="164" t="s">
        <v>720</v>
      </c>
      <c r="C487" s="165"/>
      <c r="D487" s="166" t="s">
        <v>161</v>
      </c>
      <c r="E487" s="167"/>
      <c r="F487" s="167"/>
      <c r="G487" s="166"/>
      <c r="H487" s="301" t="s">
        <v>108</v>
      </c>
      <c r="I487" s="217" t="s">
        <v>721</v>
      </c>
      <c r="J487" s="220" t="s">
        <v>398</v>
      </c>
      <c r="K487" s="302">
        <f>K491*70%</f>
        <v>70308</v>
      </c>
      <c r="L487" s="165" t="s">
        <v>164</v>
      </c>
      <c r="M487" s="172" t="s">
        <v>722</v>
      </c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  <c r="AR487" s="135"/>
      <c r="AS487" s="135"/>
      <c r="AT487" s="135"/>
      <c r="AU487" s="135"/>
    </row>
    <row r="488" spans="1:47" ht="22.5" customHeight="1" x14ac:dyDescent="0.2">
      <c r="A488" s="174"/>
      <c r="B488" s="175"/>
      <c r="C488" s="176"/>
      <c r="D488" s="177"/>
      <c r="E488" s="178"/>
      <c r="F488" s="178"/>
      <c r="G488" s="177"/>
      <c r="H488" s="303"/>
      <c r="I488" s="186" t="s">
        <v>723</v>
      </c>
      <c r="J488" s="206" t="s">
        <v>249</v>
      </c>
      <c r="K488" s="287">
        <f>K491*10%</f>
        <v>10044</v>
      </c>
      <c r="L488" s="176"/>
      <c r="M488" s="183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  <c r="AR488" s="135"/>
      <c r="AS488" s="135"/>
      <c r="AT488" s="135"/>
      <c r="AU488" s="135"/>
    </row>
    <row r="489" spans="1:47" ht="23.25" customHeight="1" x14ac:dyDescent="0.2">
      <c r="A489" s="174"/>
      <c r="B489" s="175"/>
      <c r="C489" s="176"/>
      <c r="D489" s="177"/>
      <c r="E489" s="178"/>
      <c r="F489" s="178"/>
      <c r="G489" s="177"/>
      <c r="H489" s="303"/>
      <c r="I489" s="186" t="s">
        <v>724</v>
      </c>
      <c r="J489" s="206" t="s">
        <v>249</v>
      </c>
      <c r="K489" s="287">
        <f>K491*10%</f>
        <v>10044</v>
      </c>
      <c r="L489" s="176"/>
      <c r="M489" s="183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  <c r="AR489" s="135"/>
      <c r="AS489" s="135"/>
      <c r="AT489" s="135"/>
      <c r="AU489" s="135"/>
    </row>
    <row r="490" spans="1:47" x14ac:dyDescent="0.2">
      <c r="A490" s="174"/>
      <c r="B490" s="175"/>
      <c r="C490" s="176"/>
      <c r="D490" s="177"/>
      <c r="E490" s="178"/>
      <c r="F490" s="178"/>
      <c r="G490" s="177"/>
      <c r="H490" s="303"/>
      <c r="I490" s="186" t="s">
        <v>603</v>
      </c>
      <c r="J490" s="206" t="s">
        <v>398</v>
      </c>
      <c r="K490" s="287">
        <f>K491*10%</f>
        <v>10044</v>
      </c>
      <c r="L490" s="176"/>
      <c r="M490" s="183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  <c r="AR490" s="135"/>
      <c r="AS490" s="135"/>
      <c r="AT490" s="135"/>
      <c r="AU490" s="135"/>
    </row>
    <row r="491" spans="1:47" x14ac:dyDescent="0.2">
      <c r="A491" s="187"/>
      <c r="B491" s="188"/>
      <c r="C491" s="189"/>
      <c r="D491" s="190"/>
      <c r="E491" s="191"/>
      <c r="F491" s="191"/>
      <c r="G491" s="190"/>
      <c r="H491" s="304"/>
      <c r="I491" s="202"/>
      <c r="J491" s="203"/>
      <c r="K491" s="305">
        <v>100440</v>
      </c>
      <c r="L491" s="189"/>
      <c r="M491" s="196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  <c r="AR491" s="135"/>
      <c r="AS491" s="135"/>
      <c r="AT491" s="135"/>
      <c r="AU491" s="135"/>
    </row>
    <row r="492" spans="1:47" ht="22.5" customHeight="1" x14ac:dyDescent="0.2">
      <c r="A492" s="163">
        <v>109</v>
      </c>
      <c r="B492" s="164" t="s">
        <v>725</v>
      </c>
      <c r="C492" s="165"/>
      <c r="D492" s="166" t="s">
        <v>161</v>
      </c>
      <c r="E492" s="167"/>
      <c r="F492" s="167"/>
      <c r="G492" s="166"/>
      <c r="H492" s="166" t="s">
        <v>162</v>
      </c>
      <c r="I492" s="310" t="s">
        <v>726</v>
      </c>
      <c r="J492" s="262" t="s">
        <v>249</v>
      </c>
      <c r="K492" s="307">
        <f>K494*90%</f>
        <v>45832.5</v>
      </c>
      <c r="L492" s="165" t="s">
        <v>164</v>
      </c>
      <c r="M492" s="172" t="s">
        <v>727</v>
      </c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  <c r="AR492" s="135"/>
      <c r="AS492" s="135"/>
      <c r="AT492" s="135"/>
      <c r="AU492" s="135"/>
    </row>
    <row r="493" spans="1:47" x14ac:dyDescent="0.2">
      <c r="A493" s="174"/>
      <c r="B493" s="175"/>
      <c r="C493" s="176"/>
      <c r="D493" s="177"/>
      <c r="E493" s="178"/>
      <c r="F493" s="178"/>
      <c r="G493" s="177"/>
      <c r="H493" s="177"/>
      <c r="I493" s="308" t="s">
        <v>728</v>
      </c>
      <c r="J493" s="206" t="s">
        <v>398</v>
      </c>
      <c r="K493" s="287">
        <f>K494*10%</f>
        <v>5092.5</v>
      </c>
      <c r="L493" s="176"/>
      <c r="M493" s="183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  <c r="AR493" s="135"/>
      <c r="AS493" s="135"/>
      <c r="AT493" s="135"/>
      <c r="AU493" s="135"/>
    </row>
    <row r="494" spans="1:47" x14ac:dyDescent="0.2">
      <c r="A494" s="187"/>
      <c r="B494" s="188"/>
      <c r="C494" s="189"/>
      <c r="D494" s="190"/>
      <c r="E494" s="191"/>
      <c r="F494" s="191"/>
      <c r="G494" s="190"/>
      <c r="H494" s="190"/>
      <c r="I494" s="311"/>
      <c r="J494" s="223"/>
      <c r="K494" s="295">
        <v>50925</v>
      </c>
      <c r="L494" s="189"/>
      <c r="M494" s="196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S494" s="135"/>
      <c r="AT494" s="135"/>
      <c r="AU494" s="135"/>
    </row>
    <row r="495" spans="1:47" ht="21" customHeight="1" x14ac:dyDescent="0.2">
      <c r="A495" s="163">
        <v>110</v>
      </c>
      <c r="B495" s="164" t="s">
        <v>729</v>
      </c>
      <c r="C495" s="165"/>
      <c r="D495" s="166" t="s">
        <v>161</v>
      </c>
      <c r="E495" s="167"/>
      <c r="F495" s="167"/>
      <c r="G495" s="166"/>
      <c r="H495" s="166" t="s">
        <v>137</v>
      </c>
      <c r="I495" s="306" t="s">
        <v>730</v>
      </c>
      <c r="J495" s="220" t="s">
        <v>249</v>
      </c>
      <c r="K495" s="302">
        <f>K498*70%</f>
        <v>66514</v>
      </c>
      <c r="L495" s="165" t="s">
        <v>164</v>
      </c>
      <c r="M495" s="172" t="s">
        <v>731</v>
      </c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  <c r="AU495" s="135"/>
    </row>
    <row r="496" spans="1:47" ht="24" customHeight="1" x14ac:dyDescent="0.2">
      <c r="A496" s="174"/>
      <c r="B496" s="175"/>
      <c r="C496" s="176"/>
      <c r="D496" s="177"/>
      <c r="E496" s="178"/>
      <c r="F496" s="178"/>
      <c r="G496" s="177"/>
      <c r="H496" s="177"/>
      <c r="I496" s="308" t="s">
        <v>732</v>
      </c>
      <c r="J496" s="206" t="s">
        <v>249</v>
      </c>
      <c r="K496" s="287">
        <f>K498*20%</f>
        <v>19004</v>
      </c>
      <c r="L496" s="176"/>
      <c r="M496" s="183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  <c r="AU496" s="135"/>
    </row>
    <row r="497" spans="1:47" ht="48" x14ac:dyDescent="0.2">
      <c r="A497" s="174"/>
      <c r="B497" s="175"/>
      <c r="C497" s="176"/>
      <c r="D497" s="177"/>
      <c r="E497" s="178"/>
      <c r="F497" s="178"/>
      <c r="G497" s="177"/>
      <c r="H497" s="177"/>
      <c r="I497" s="308" t="s">
        <v>733</v>
      </c>
      <c r="J497" s="206" t="s">
        <v>398</v>
      </c>
      <c r="K497" s="287">
        <f>K498*10%</f>
        <v>9502</v>
      </c>
      <c r="L497" s="176"/>
      <c r="M497" s="183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  <c r="AU497" s="135"/>
    </row>
    <row r="498" spans="1:47" x14ac:dyDescent="0.2">
      <c r="A498" s="187"/>
      <c r="B498" s="188"/>
      <c r="C498" s="189"/>
      <c r="D498" s="190"/>
      <c r="E498" s="191"/>
      <c r="F498" s="191"/>
      <c r="G498" s="190"/>
      <c r="H498" s="190"/>
      <c r="I498" s="309"/>
      <c r="J498" s="203"/>
      <c r="K498" s="305">
        <v>95020</v>
      </c>
      <c r="L498" s="189"/>
      <c r="M498" s="196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  <c r="AU498" s="135"/>
    </row>
    <row r="499" spans="1:47" ht="23.25" customHeight="1" x14ac:dyDescent="0.2">
      <c r="A499" s="163">
        <v>111</v>
      </c>
      <c r="B499" s="164" t="s">
        <v>734</v>
      </c>
      <c r="C499" s="165"/>
      <c r="D499" s="166" t="s">
        <v>161</v>
      </c>
      <c r="E499" s="167"/>
      <c r="F499" s="167"/>
      <c r="G499" s="166"/>
      <c r="H499" s="166" t="s">
        <v>162</v>
      </c>
      <c r="I499" s="310" t="s">
        <v>735</v>
      </c>
      <c r="J499" s="262" t="s">
        <v>249</v>
      </c>
      <c r="K499" s="312">
        <f>K501*95%</f>
        <v>105621</v>
      </c>
      <c r="L499" s="165" t="s">
        <v>164</v>
      </c>
      <c r="M499" s="172" t="s">
        <v>736</v>
      </c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  <c r="AR499" s="135"/>
      <c r="AS499" s="135"/>
      <c r="AT499" s="135"/>
      <c r="AU499" s="135"/>
    </row>
    <row r="500" spans="1:47" ht="48" x14ac:dyDescent="0.2">
      <c r="A500" s="174"/>
      <c r="B500" s="175"/>
      <c r="C500" s="176"/>
      <c r="D500" s="177"/>
      <c r="E500" s="178"/>
      <c r="F500" s="178"/>
      <c r="G500" s="177"/>
      <c r="H500" s="177"/>
      <c r="I500" s="308" t="s">
        <v>737</v>
      </c>
      <c r="J500" s="206" t="s">
        <v>398</v>
      </c>
      <c r="K500" s="287">
        <f>K501*5%</f>
        <v>5559</v>
      </c>
      <c r="L500" s="176"/>
      <c r="M500" s="183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  <c r="AU500" s="135"/>
    </row>
    <row r="501" spans="1:47" x14ac:dyDescent="0.2">
      <c r="A501" s="187"/>
      <c r="B501" s="188"/>
      <c r="C501" s="189"/>
      <c r="D501" s="190"/>
      <c r="E501" s="191"/>
      <c r="F501" s="191"/>
      <c r="G501" s="190"/>
      <c r="H501" s="190"/>
      <c r="I501" s="311"/>
      <c r="J501" s="223"/>
      <c r="K501" s="295">
        <v>111180</v>
      </c>
      <c r="L501" s="189"/>
      <c r="M501" s="196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  <c r="AU501" s="135"/>
    </row>
    <row r="502" spans="1:47" ht="24" customHeight="1" x14ac:dyDescent="0.2">
      <c r="A502" s="163">
        <v>112</v>
      </c>
      <c r="B502" s="164" t="s">
        <v>738</v>
      </c>
      <c r="C502" s="165"/>
      <c r="D502" s="166" t="s">
        <v>161</v>
      </c>
      <c r="E502" s="167"/>
      <c r="F502" s="167"/>
      <c r="G502" s="166"/>
      <c r="H502" s="166" t="s">
        <v>162</v>
      </c>
      <c r="I502" s="306" t="s">
        <v>739</v>
      </c>
      <c r="J502" s="220" t="s">
        <v>249</v>
      </c>
      <c r="K502" s="302">
        <f>K504*95%</f>
        <v>80631.25</v>
      </c>
      <c r="L502" s="165" t="s">
        <v>164</v>
      </c>
      <c r="M502" s="172" t="s">
        <v>740</v>
      </c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  <c r="AR502" s="135"/>
      <c r="AS502" s="135"/>
      <c r="AT502" s="135"/>
      <c r="AU502" s="135"/>
    </row>
    <row r="503" spans="1:47" ht="48" x14ac:dyDescent="0.2">
      <c r="A503" s="174"/>
      <c r="B503" s="175"/>
      <c r="C503" s="176"/>
      <c r="D503" s="177"/>
      <c r="E503" s="178"/>
      <c r="F503" s="178"/>
      <c r="G503" s="177"/>
      <c r="H503" s="177"/>
      <c r="I503" s="308" t="s">
        <v>741</v>
      </c>
      <c r="J503" s="206" t="s">
        <v>398</v>
      </c>
      <c r="K503" s="287">
        <f>K504*5%</f>
        <v>4243.75</v>
      </c>
      <c r="L503" s="176"/>
      <c r="M503" s="183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</row>
    <row r="504" spans="1:47" x14ac:dyDescent="0.2">
      <c r="A504" s="187"/>
      <c r="B504" s="188"/>
      <c r="C504" s="189"/>
      <c r="D504" s="190"/>
      <c r="E504" s="191"/>
      <c r="F504" s="191"/>
      <c r="G504" s="190"/>
      <c r="H504" s="190"/>
      <c r="I504" s="309"/>
      <c r="J504" s="203"/>
      <c r="K504" s="305">
        <v>84875</v>
      </c>
      <c r="L504" s="189"/>
      <c r="M504" s="196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</row>
    <row r="505" spans="1:47" ht="25.5" customHeight="1" x14ac:dyDescent="0.2">
      <c r="A505" s="163">
        <v>113</v>
      </c>
      <c r="B505" s="164" t="s">
        <v>742</v>
      </c>
      <c r="C505" s="165"/>
      <c r="D505" s="166" t="s">
        <v>161</v>
      </c>
      <c r="E505" s="167"/>
      <c r="F505" s="167"/>
      <c r="G505" s="166"/>
      <c r="H505" s="166" t="s">
        <v>743</v>
      </c>
      <c r="I505" s="310" t="s">
        <v>744</v>
      </c>
      <c r="J505" s="262" t="s">
        <v>249</v>
      </c>
      <c r="K505" s="307">
        <f>K510*30%</f>
        <v>2316</v>
      </c>
      <c r="L505" s="165" t="s">
        <v>164</v>
      </c>
      <c r="M505" s="172" t="s">
        <v>745</v>
      </c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  <c r="AU505" s="135"/>
    </row>
    <row r="506" spans="1:47" ht="20.25" customHeight="1" x14ac:dyDescent="0.2">
      <c r="A506" s="174"/>
      <c r="B506" s="175"/>
      <c r="C506" s="176"/>
      <c r="D506" s="177"/>
      <c r="E506" s="178"/>
      <c r="F506" s="178"/>
      <c r="G506" s="177"/>
      <c r="H506" s="177"/>
      <c r="I506" s="308" t="s">
        <v>746</v>
      </c>
      <c r="J506" s="206" t="s">
        <v>249</v>
      </c>
      <c r="K506" s="287">
        <f>K510*25%</f>
        <v>1930</v>
      </c>
      <c r="L506" s="176"/>
      <c r="M506" s="183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  <c r="AU506" s="135"/>
    </row>
    <row r="507" spans="1:47" ht="25.5" customHeight="1" x14ac:dyDescent="0.2">
      <c r="A507" s="174"/>
      <c r="B507" s="175"/>
      <c r="C507" s="176"/>
      <c r="D507" s="177"/>
      <c r="E507" s="178"/>
      <c r="F507" s="178"/>
      <c r="G507" s="177"/>
      <c r="H507" s="177"/>
      <c r="I507" s="308" t="s">
        <v>747</v>
      </c>
      <c r="J507" s="206" t="s">
        <v>249</v>
      </c>
      <c r="K507" s="287">
        <f>K510*10%</f>
        <v>772</v>
      </c>
      <c r="L507" s="176"/>
      <c r="M507" s="183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</row>
    <row r="508" spans="1:47" ht="24.75" customHeight="1" x14ac:dyDescent="0.2">
      <c r="A508" s="174"/>
      <c r="B508" s="175"/>
      <c r="C508" s="176"/>
      <c r="D508" s="177"/>
      <c r="E508" s="178"/>
      <c r="F508" s="178"/>
      <c r="G508" s="177"/>
      <c r="H508" s="177"/>
      <c r="I508" s="308" t="s">
        <v>748</v>
      </c>
      <c r="J508" s="206" t="s">
        <v>249</v>
      </c>
      <c r="K508" s="287">
        <f>K510*10%</f>
        <v>772</v>
      </c>
      <c r="L508" s="176"/>
      <c r="M508" s="183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  <c r="AU508" s="135"/>
    </row>
    <row r="509" spans="1:47" ht="25.5" customHeight="1" x14ac:dyDescent="0.2">
      <c r="A509" s="174"/>
      <c r="B509" s="175"/>
      <c r="C509" s="176"/>
      <c r="D509" s="177"/>
      <c r="E509" s="178"/>
      <c r="F509" s="178"/>
      <c r="G509" s="177"/>
      <c r="H509" s="177"/>
      <c r="I509" s="308" t="s">
        <v>749</v>
      </c>
      <c r="J509" s="206" t="s">
        <v>398</v>
      </c>
      <c r="K509" s="287">
        <f>K510*25%</f>
        <v>1930</v>
      </c>
      <c r="L509" s="176"/>
      <c r="M509" s="183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  <c r="AU509" s="135"/>
    </row>
    <row r="510" spans="1:47" ht="25.5" customHeight="1" x14ac:dyDescent="0.2">
      <c r="A510" s="187"/>
      <c r="B510" s="188"/>
      <c r="C510" s="189"/>
      <c r="D510" s="190"/>
      <c r="E510" s="191"/>
      <c r="F510" s="191"/>
      <c r="G510" s="190"/>
      <c r="H510" s="190"/>
      <c r="I510" s="311"/>
      <c r="J510" s="223"/>
      <c r="K510" s="295">
        <v>7720</v>
      </c>
      <c r="L510" s="189"/>
      <c r="M510" s="196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  <c r="AU510" s="135"/>
    </row>
    <row r="511" spans="1:47" ht="22.5" customHeight="1" x14ac:dyDescent="0.2">
      <c r="A511" s="163">
        <v>114</v>
      </c>
      <c r="B511" s="164" t="s">
        <v>750</v>
      </c>
      <c r="C511" s="165"/>
      <c r="D511" s="166" t="s">
        <v>161</v>
      </c>
      <c r="E511" s="167"/>
      <c r="F511" s="167"/>
      <c r="G511" s="166"/>
      <c r="H511" s="301" t="s">
        <v>137</v>
      </c>
      <c r="I511" s="217" t="s">
        <v>751</v>
      </c>
      <c r="J511" s="220" t="s">
        <v>249</v>
      </c>
      <c r="K511" s="302">
        <f>K514*50%</f>
        <v>75000</v>
      </c>
      <c r="L511" s="165" t="s">
        <v>164</v>
      </c>
      <c r="M511" s="172" t="s">
        <v>752</v>
      </c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  <c r="AQ511" s="135"/>
      <c r="AR511" s="135"/>
      <c r="AS511" s="135"/>
      <c r="AT511" s="135"/>
      <c r="AU511" s="135"/>
    </row>
    <row r="512" spans="1:47" ht="24" customHeight="1" x14ac:dyDescent="0.2">
      <c r="A512" s="174"/>
      <c r="B512" s="175"/>
      <c r="C512" s="176"/>
      <c r="D512" s="177"/>
      <c r="E512" s="178"/>
      <c r="F512" s="178"/>
      <c r="G512" s="177"/>
      <c r="H512" s="303"/>
      <c r="I512" s="186" t="s">
        <v>753</v>
      </c>
      <c r="J512" s="206" t="s">
        <v>249</v>
      </c>
      <c r="K512" s="287">
        <f>K514*15%</f>
        <v>22500</v>
      </c>
      <c r="L512" s="176"/>
      <c r="M512" s="183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</row>
    <row r="513" spans="1:47" ht="24" customHeight="1" x14ac:dyDescent="0.2">
      <c r="A513" s="174"/>
      <c r="B513" s="175"/>
      <c r="C513" s="176"/>
      <c r="D513" s="177"/>
      <c r="E513" s="178"/>
      <c r="F513" s="178"/>
      <c r="G513" s="177"/>
      <c r="H513" s="303"/>
      <c r="I513" s="186" t="s">
        <v>754</v>
      </c>
      <c r="J513" s="206" t="s">
        <v>398</v>
      </c>
      <c r="K513" s="287">
        <f>K514*35%</f>
        <v>52500</v>
      </c>
      <c r="L513" s="176"/>
      <c r="M513" s="183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  <c r="AU513" s="135"/>
    </row>
    <row r="514" spans="1:47" ht="27" customHeight="1" x14ac:dyDescent="0.2">
      <c r="A514" s="187"/>
      <c r="B514" s="188"/>
      <c r="C514" s="189"/>
      <c r="D514" s="190"/>
      <c r="E514" s="191"/>
      <c r="F514" s="191"/>
      <c r="G514" s="190"/>
      <c r="H514" s="304"/>
      <c r="I514" s="202"/>
      <c r="J514" s="203"/>
      <c r="K514" s="305">
        <v>150000</v>
      </c>
      <c r="L514" s="189"/>
      <c r="M514" s="196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</row>
    <row r="515" spans="1:47" ht="23.25" customHeight="1" x14ac:dyDescent="0.2">
      <c r="A515" s="163">
        <v>115</v>
      </c>
      <c r="B515" s="164" t="s">
        <v>755</v>
      </c>
      <c r="C515" s="165"/>
      <c r="D515" s="166" t="s">
        <v>161</v>
      </c>
      <c r="E515" s="167"/>
      <c r="F515" s="167"/>
      <c r="G515" s="166"/>
      <c r="H515" s="301" t="s">
        <v>743</v>
      </c>
      <c r="I515" s="217" t="s">
        <v>756</v>
      </c>
      <c r="J515" s="262" t="s">
        <v>249</v>
      </c>
      <c r="K515" s="307">
        <f>K520*70%</f>
        <v>182000</v>
      </c>
      <c r="L515" s="165" t="s">
        <v>164</v>
      </c>
      <c r="M515" s="172" t="s">
        <v>757</v>
      </c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</row>
    <row r="516" spans="1:47" ht="23.25" customHeight="1" x14ac:dyDescent="0.2">
      <c r="A516" s="174"/>
      <c r="B516" s="175"/>
      <c r="C516" s="176"/>
      <c r="D516" s="177"/>
      <c r="E516" s="178"/>
      <c r="F516" s="178"/>
      <c r="G516" s="177"/>
      <c r="H516" s="303"/>
      <c r="I516" s="186" t="s">
        <v>758</v>
      </c>
      <c r="J516" s="206" t="s">
        <v>759</v>
      </c>
      <c r="K516" s="287">
        <f>K520*10%</f>
        <v>26000</v>
      </c>
      <c r="L516" s="176"/>
      <c r="M516" s="183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</row>
    <row r="517" spans="1:47" ht="22.5" customHeight="1" x14ac:dyDescent="0.2">
      <c r="A517" s="174"/>
      <c r="B517" s="175"/>
      <c r="C517" s="176"/>
      <c r="D517" s="177"/>
      <c r="E517" s="178"/>
      <c r="F517" s="178"/>
      <c r="G517" s="177"/>
      <c r="H517" s="303"/>
      <c r="I517" s="186" t="s">
        <v>760</v>
      </c>
      <c r="J517" s="206" t="s">
        <v>759</v>
      </c>
      <c r="K517" s="287">
        <f>K520*10%</f>
        <v>26000</v>
      </c>
      <c r="L517" s="176"/>
      <c r="M517" s="183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</row>
    <row r="518" spans="1:47" ht="21" customHeight="1" x14ac:dyDescent="0.2">
      <c r="A518" s="174"/>
      <c r="B518" s="175"/>
      <c r="C518" s="176"/>
      <c r="D518" s="177"/>
      <c r="E518" s="178"/>
      <c r="F518" s="178"/>
      <c r="G518" s="177"/>
      <c r="H518" s="303"/>
      <c r="I518" s="186" t="s">
        <v>761</v>
      </c>
      <c r="J518" s="206" t="s">
        <v>762</v>
      </c>
      <c r="K518" s="287">
        <f>K520*5%</f>
        <v>13000</v>
      </c>
      <c r="L518" s="176"/>
      <c r="M518" s="183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</row>
    <row r="519" spans="1:47" ht="23.25" customHeight="1" x14ac:dyDescent="0.2">
      <c r="A519" s="174"/>
      <c r="B519" s="175"/>
      <c r="C519" s="176"/>
      <c r="D519" s="177"/>
      <c r="E519" s="178"/>
      <c r="F519" s="178"/>
      <c r="G519" s="177"/>
      <c r="H519" s="303"/>
      <c r="I519" s="186" t="s">
        <v>490</v>
      </c>
      <c r="J519" s="206" t="s">
        <v>453</v>
      </c>
      <c r="K519" s="287">
        <f>K520*5%</f>
        <v>13000</v>
      </c>
      <c r="L519" s="176"/>
      <c r="M519" s="183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</row>
    <row r="520" spans="1:47" ht="27" customHeight="1" x14ac:dyDescent="0.2">
      <c r="A520" s="187"/>
      <c r="B520" s="188"/>
      <c r="C520" s="189"/>
      <c r="D520" s="190"/>
      <c r="E520" s="191"/>
      <c r="F520" s="191"/>
      <c r="G520" s="190"/>
      <c r="H520" s="190"/>
      <c r="I520" s="168"/>
      <c r="J520" s="169"/>
      <c r="K520" s="298">
        <v>260000</v>
      </c>
      <c r="L520" s="189"/>
      <c r="M520" s="196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</row>
    <row r="521" spans="1:47" ht="23.25" customHeight="1" x14ac:dyDescent="0.2">
      <c r="A521" s="163">
        <v>116</v>
      </c>
      <c r="B521" s="164" t="s">
        <v>763</v>
      </c>
      <c r="C521" s="165"/>
      <c r="D521" s="166" t="s">
        <v>161</v>
      </c>
      <c r="E521" s="167"/>
      <c r="F521" s="167"/>
      <c r="G521" s="166"/>
      <c r="H521" s="301" t="s">
        <v>764</v>
      </c>
      <c r="I521" s="217" t="s">
        <v>765</v>
      </c>
      <c r="J521" s="220" t="s">
        <v>177</v>
      </c>
      <c r="K521" s="302">
        <f>K532*30%</f>
        <v>45000</v>
      </c>
      <c r="L521" s="165" t="s">
        <v>164</v>
      </c>
      <c r="M521" s="172" t="s">
        <v>766</v>
      </c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</row>
    <row r="522" spans="1:47" ht="22.5" customHeight="1" x14ac:dyDescent="0.2">
      <c r="A522" s="174"/>
      <c r="B522" s="175"/>
      <c r="C522" s="176"/>
      <c r="D522" s="177"/>
      <c r="E522" s="178"/>
      <c r="F522" s="178"/>
      <c r="G522" s="177"/>
      <c r="H522" s="303"/>
      <c r="I522" s="186" t="s">
        <v>767</v>
      </c>
      <c r="J522" s="206" t="s">
        <v>768</v>
      </c>
      <c r="K522" s="287">
        <f>K532*10%</f>
        <v>15000</v>
      </c>
      <c r="L522" s="176"/>
      <c r="M522" s="183"/>
      <c r="N522" s="173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</row>
    <row r="523" spans="1:47" ht="24" customHeight="1" x14ac:dyDescent="0.2">
      <c r="A523" s="174"/>
      <c r="B523" s="175"/>
      <c r="C523" s="176"/>
      <c r="D523" s="177"/>
      <c r="E523" s="178"/>
      <c r="F523" s="178"/>
      <c r="G523" s="177"/>
      <c r="H523" s="303"/>
      <c r="I523" s="186" t="s">
        <v>769</v>
      </c>
      <c r="J523" s="206" t="s">
        <v>177</v>
      </c>
      <c r="K523" s="287">
        <f>K532*10%</f>
        <v>15000</v>
      </c>
      <c r="L523" s="176"/>
      <c r="M523" s="183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</row>
    <row r="524" spans="1:47" ht="21.75" customHeight="1" x14ac:dyDescent="0.2">
      <c r="A524" s="174"/>
      <c r="B524" s="175"/>
      <c r="C524" s="176"/>
      <c r="D524" s="177"/>
      <c r="E524" s="178"/>
      <c r="F524" s="178"/>
      <c r="G524" s="177"/>
      <c r="H524" s="303"/>
      <c r="I524" s="186" t="s">
        <v>770</v>
      </c>
      <c r="J524" s="206" t="s">
        <v>177</v>
      </c>
      <c r="K524" s="287">
        <f>K532*10%</f>
        <v>15000</v>
      </c>
      <c r="L524" s="176"/>
      <c r="M524" s="183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</row>
    <row r="525" spans="1:47" ht="21.75" customHeight="1" x14ac:dyDescent="0.2">
      <c r="A525" s="174"/>
      <c r="B525" s="175"/>
      <c r="C525" s="176"/>
      <c r="D525" s="177"/>
      <c r="E525" s="178"/>
      <c r="F525" s="178"/>
      <c r="G525" s="177"/>
      <c r="H525" s="303"/>
      <c r="I525" s="186" t="s">
        <v>771</v>
      </c>
      <c r="J525" s="206" t="s">
        <v>177</v>
      </c>
      <c r="K525" s="287">
        <f>K532*10%</f>
        <v>15000</v>
      </c>
      <c r="L525" s="176"/>
      <c r="M525" s="183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</row>
    <row r="526" spans="1:47" ht="21.75" customHeight="1" x14ac:dyDescent="0.2">
      <c r="A526" s="174"/>
      <c r="B526" s="175"/>
      <c r="C526" s="176"/>
      <c r="D526" s="177"/>
      <c r="E526" s="178"/>
      <c r="F526" s="178"/>
      <c r="G526" s="177"/>
      <c r="H526" s="303"/>
      <c r="I526" s="186" t="s">
        <v>772</v>
      </c>
      <c r="J526" s="206" t="s">
        <v>184</v>
      </c>
      <c r="K526" s="287">
        <f>K532*5%</f>
        <v>7500</v>
      </c>
      <c r="L526" s="176"/>
      <c r="M526" s="183"/>
      <c r="N526" s="173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</row>
    <row r="527" spans="1:47" ht="21.75" customHeight="1" x14ac:dyDescent="0.2">
      <c r="A527" s="174"/>
      <c r="B527" s="175"/>
      <c r="C527" s="176"/>
      <c r="D527" s="177"/>
      <c r="E527" s="178"/>
      <c r="F527" s="178"/>
      <c r="G527" s="177"/>
      <c r="H527" s="303"/>
      <c r="I527" s="186" t="s">
        <v>773</v>
      </c>
      <c r="J527" s="206" t="s">
        <v>174</v>
      </c>
      <c r="K527" s="287">
        <f>K532*5%</f>
        <v>7500</v>
      </c>
      <c r="L527" s="176"/>
      <c r="M527" s="183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</row>
    <row r="528" spans="1:47" ht="21.75" customHeight="1" x14ac:dyDescent="0.2">
      <c r="A528" s="174"/>
      <c r="B528" s="175"/>
      <c r="C528" s="176"/>
      <c r="D528" s="177"/>
      <c r="E528" s="178"/>
      <c r="F528" s="178"/>
      <c r="G528" s="177"/>
      <c r="H528" s="303"/>
      <c r="I528" s="186" t="s">
        <v>774</v>
      </c>
      <c r="J528" s="206" t="s">
        <v>775</v>
      </c>
      <c r="K528" s="287">
        <f>K532*5%</f>
        <v>7500</v>
      </c>
      <c r="L528" s="176"/>
      <c r="M528" s="183"/>
      <c r="N528" s="173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</row>
    <row r="529" spans="1:47" ht="21.75" customHeight="1" x14ac:dyDescent="0.2">
      <c r="A529" s="174"/>
      <c r="B529" s="175"/>
      <c r="C529" s="176"/>
      <c r="D529" s="177"/>
      <c r="E529" s="178"/>
      <c r="F529" s="178"/>
      <c r="G529" s="177"/>
      <c r="H529" s="303"/>
      <c r="I529" s="186" t="s">
        <v>776</v>
      </c>
      <c r="J529" s="206" t="s">
        <v>777</v>
      </c>
      <c r="K529" s="287">
        <f>K532*5%</f>
        <v>7500</v>
      </c>
      <c r="L529" s="176"/>
      <c r="M529" s="183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</row>
    <row r="530" spans="1:47" ht="21.75" customHeight="1" x14ac:dyDescent="0.2">
      <c r="A530" s="174"/>
      <c r="B530" s="175"/>
      <c r="C530" s="176"/>
      <c r="D530" s="177"/>
      <c r="E530" s="178"/>
      <c r="F530" s="178"/>
      <c r="G530" s="177"/>
      <c r="H530" s="303"/>
      <c r="I530" s="186" t="s">
        <v>778</v>
      </c>
      <c r="J530" s="206" t="s">
        <v>779</v>
      </c>
      <c r="K530" s="287">
        <f>K532*5%</f>
        <v>7500</v>
      </c>
      <c r="L530" s="176"/>
      <c r="M530" s="183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</row>
    <row r="531" spans="1:47" ht="21.75" customHeight="1" x14ac:dyDescent="0.2">
      <c r="A531" s="174"/>
      <c r="B531" s="175"/>
      <c r="C531" s="176"/>
      <c r="D531" s="177"/>
      <c r="E531" s="178"/>
      <c r="F531" s="178"/>
      <c r="G531" s="177"/>
      <c r="H531" s="303"/>
      <c r="I531" s="186" t="s">
        <v>780</v>
      </c>
      <c r="J531" s="206" t="s">
        <v>781</v>
      </c>
      <c r="K531" s="287">
        <f>K532*5%</f>
        <v>7500</v>
      </c>
      <c r="L531" s="176"/>
      <c r="M531" s="183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</row>
    <row r="532" spans="1:47" ht="27" customHeight="1" x14ac:dyDescent="0.2">
      <c r="A532" s="174"/>
      <c r="B532" s="188"/>
      <c r="C532" s="189"/>
      <c r="D532" s="177"/>
      <c r="E532" s="178"/>
      <c r="F532" s="178"/>
      <c r="G532" s="177"/>
      <c r="H532" s="304"/>
      <c r="I532" s="202"/>
      <c r="J532" s="203"/>
      <c r="K532" s="305">
        <v>150000</v>
      </c>
      <c r="L532" s="189"/>
      <c r="M532" s="196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  <c r="AU532" s="135"/>
    </row>
    <row r="533" spans="1:47" ht="24" customHeight="1" x14ac:dyDescent="0.2">
      <c r="A533" s="166">
        <v>117</v>
      </c>
      <c r="B533" s="164" t="s">
        <v>782</v>
      </c>
      <c r="C533" s="165"/>
      <c r="D533" s="166" t="s">
        <v>25</v>
      </c>
      <c r="E533" s="166"/>
      <c r="F533" s="166"/>
      <c r="G533" s="166"/>
      <c r="H533" s="166" t="s">
        <v>546</v>
      </c>
      <c r="I533" s="313" t="s">
        <v>783</v>
      </c>
      <c r="J533" s="247" t="s">
        <v>552</v>
      </c>
      <c r="K533" s="314">
        <v>7972400</v>
      </c>
      <c r="L533" s="172" t="s">
        <v>784</v>
      </c>
      <c r="M533" s="172" t="s">
        <v>785</v>
      </c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</row>
    <row r="534" spans="1:47" x14ac:dyDescent="0.2">
      <c r="A534" s="177"/>
      <c r="B534" s="175"/>
      <c r="C534" s="176"/>
      <c r="D534" s="177"/>
      <c r="E534" s="177"/>
      <c r="F534" s="177"/>
      <c r="G534" s="177"/>
      <c r="H534" s="177"/>
      <c r="I534" s="272" t="s">
        <v>786</v>
      </c>
      <c r="J534" s="315" t="s">
        <v>552</v>
      </c>
      <c r="K534" s="198">
        <v>1594480</v>
      </c>
      <c r="L534" s="183"/>
      <c r="M534" s="183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</row>
    <row r="535" spans="1:47" x14ac:dyDescent="0.2">
      <c r="A535" s="177"/>
      <c r="B535" s="175"/>
      <c r="C535" s="176"/>
      <c r="D535" s="177"/>
      <c r="E535" s="177"/>
      <c r="F535" s="177"/>
      <c r="G535" s="177"/>
      <c r="H535" s="177"/>
      <c r="I535" s="272" t="s">
        <v>787</v>
      </c>
      <c r="J535" s="169" t="s">
        <v>552</v>
      </c>
      <c r="K535" s="198">
        <v>1594480</v>
      </c>
      <c r="L535" s="183"/>
      <c r="M535" s="183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</row>
    <row r="536" spans="1:47" ht="48" x14ac:dyDescent="0.2">
      <c r="A536" s="177"/>
      <c r="B536" s="175"/>
      <c r="C536" s="176"/>
      <c r="D536" s="177"/>
      <c r="E536" s="177"/>
      <c r="F536" s="177"/>
      <c r="G536" s="177"/>
      <c r="H536" s="177"/>
      <c r="I536" s="271" t="s">
        <v>788</v>
      </c>
      <c r="J536" s="223" t="s">
        <v>193</v>
      </c>
      <c r="K536" s="198">
        <v>1594480</v>
      </c>
      <c r="L536" s="183"/>
      <c r="M536" s="183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</row>
    <row r="537" spans="1:47" x14ac:dyDescent="0.2">
      <c r="A537" s="177"/>
      <c r="B537" s="175"/>
      <c r="C537" s="176"/>
      <c r="D537" s="177"/>
      <c r="E537" s="177"/>
      <c r="F537" s="177"/>
      <c r="G537" s="177"/>
      <c r="H537" s="177"/>
      <c r="I537" s="316" t="s">
        <v>789</v>
      </c>
      <c r="J537" s="317" t="s">
        <v>188</v>
      </c>
      <c r="K537" s="198">
        <v>1594480</v>
      </c>
      <c r="L537" s="183"/>
      <c r="M537" s="183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  <c r="AU537" s="135"/>
    </row>
    <row r="538" spans="1:47" x14ac:dyDescent="0.2">
      <c r="A538" s="177"/>
      <c r="B538" s="175"/>
      <c r="C538" s="176"/>
      <c r="D538" s="177"/>
      <c r="E538" s="177"/>
      <c r="F538" s="177"/>
      <c r="G538" s="177"/>
      <c r="H538" s="177"/>
      <c r="I538" s="272" t="s">
        <v>790</v>
      </c>
      <c r="J538" s="283" t="s">
        <v>552</v>
      </c>
      <c r="K538" s="198">
        <v>797240</v>
      </c>
      <c r="L538" s="183"/>
      <c r="M538" s="183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  <c r="AU538" s="135"/>
    </row>
    <row r="539" spans="1:47" x14ac:dyDescent="0.2">
      <c r="A539" s="177"/>
      <c r="B539" s="175"/>
      <c r="C539" s="176"/>
      <c r="D539" s="177"/>
      <c r="E539" s="177"/>
      <c r="F539" s="177"/>
      <c r="G539" s="177"/>
      <c r="H539" s="177"/>
      <c r="I539" s="271" t="s">
        <v>426</v>
      </c>
      <c r="J539" s="269" t="s">
        <v>188</v>
      </c>
      <c r="K539" s="213">
        <v>797240</v>
      </c>
      <c r="L539" s="183"/>
      <c r="M539" s="183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  <c r="AU539" s="135"/>
    </row>
    <row r="540" spans="1:47" x14ac:dyDescent="0.2">
      <c r="A540" s="190"/>
      <c r="B540" s="188"/>
      <c r="C540" s="189"/>
      <c r="D540" s="190"/>
      <c r="E540" s="190"/>
      <c r="F540" s="190"/>
      <c r="G540" s="190"/>
      <c r="H540" s="190"/>
      <c r="I540" s="318"/>
      <c r="J540" s="273"/>
      <c r="K540" s="319">
        <v>15944800</v>
      </c>
      <c r="L540" s="196"/>
      <c r="M540" s="196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  <c r="AU540" s="135"/>
    </row>
    <row r="541" spans="1:47" ht="53.25" customHeight="1" x14ac:dyDescent="0.2">
      <c r="A541" s="228">
        <v>118</v>
      </c>
      <c r="B541" s="241" t="s">
        <v>791</v>
      </c>
      <c r="C541" s="242" t="s">
        <v>791</v>
      </c>
      <c r="D541" s="320" t="s">
        <v>107</v>
      </c>
      <c r="E541" s="321"/>
      <c r="F541" s="321"/>
      <c r="G541" s="320"/>
      <c r="H541" s="245"/>
      <c r="I541" s="192" t="s">
        <v>792</v>
      </c>
      <c r="J541" s="215" t="s">
        <v>220</v>
      </c>
      <c r="K541" s="322">
        <v>10000</v>
      </c>
      <c r="L541" s="323" t="s">
        <v>111</v>
      </c>
      <c r="M541" s="215" t="s">
        <v>793</v>
      </c>
      <c r="N541" s="173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  <c r="AU541" s="135"/>
    </row>
    <row r="542" spans="1:47" ht="48.75" customHeight="1" x14ac:dyDescent="0.2">
      <c r="A542" s="228">
        <v>119</v>
      </c>
      <c r="B542" s="241" t="s">
        <v>794</v>
      </c>
      <c r="C542" s="242" t="s">
        <v>795</v>
      </c>
      <c r="D542" s="243" t="s">
        <v>107</v>
      </c>
      <c r="E542" s="244"/>
      <c r="F542" s="244"/>
      <c r="G542" s="243"/>
      <c r="H542" s="245"/>
      <c r="I542" s="168" t="s">
        <v>792</v>
      </c>
      <c r="J542" s="169" t="s">
        <v>220</v>
      </c>
      <c r="K542" s="324">
        <v>20000</v>
      </c>
      <c r="L542" s="254" t="s">
        <v>111</v>
      </c>
      <c r="M542" s="215" t="s">
        <v>796</v>
      </c>
      <c r="N542" s="173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</row>
    <row r="543" spans="1:47" ht="22.5" customHeight="1" x14ac:dyDescent="0.2">
      <c r="A543" s="163">
        <v>120</v>
      </c>
      <c r="B543" s="164" t="s">
        <v>797</v>
      </c>
      <c r="C543" s="165"/>
      <c r="D543" s="166" t="s">
        <v>107</v>
      </c>
      <c r="E543" s="167"/>
      <c r="F543" s="167"/>
      <c r="G543" s="166"/>
      <c r="H543" s="301" t="s">
        <v>743</v>
      </c>
      <c r="I543" s="217" t="s">
        <v>798</v>
      </c>
      <c r="J543" s="220" t="s">
        <v>206</v>
      </c>
      <c r="K543" s="302">
        <f>K548*50%</f>
        <v>10000</v>
      </c>
      <c r="L543" s="165" t="s">
        <v>111</v>
      </c>
      <c r="M543" s="172" t="s">
        <v>799</v>
      </c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  <c r="AU543" s="135"/>
    </row>
    <row r="544" spans="1:47" ht="22.5" customHeight="1" x14ac:dyDescent="0.2">
      <c r="A544" s="174"/>
      <c r="B544" s="175"/>
      <c r="C544" s="176"/>
      <c r="D544" s="177"/>
      <c r="E544" s="178"/>
      <c r="F544" s="178"/>
      <c r="G544" s="177"/>
      <c r="H544" s="303"/>
      <c r="I544" s="186" t="s">
        <v>800</v>
      </c>
      <c r="J544" s="206" t="s">
        <v>206</v>
      </c>
      <c r="K544" s="287">
        <f>K548*15%</f>
        <v>3000</v>
      </c>
      <c r="L544" s="176"/>
      <c r="M544" s="183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</row>
    <row r="545" spans="1:47" ht="22.5" customHeight="1" x14ac:dyDescent="0.2">
      <c r="A545" s="174"/>
      <c r="B545" s="175"/>
      <c r="C545" s="176"/>
      <c r="D545" s="177"/>
      <c r="E545" s="178"/>
      <c r="F545" s="178"/>
      <c r="G545" s="177"/>
      <c r="H545" s="303"/>
      <c r="I545" s="186" t="s">
        <v>801</v>
      </c>
      <c r="J545" s="206" t="s">
        <v>206</v>
      </c>
      <c r="K545" s="287">
        <f>K548*15%</f>
        <v>3000</v>
      </c>
      <c r="L545" s="176"/>
      <c r="M545" s="183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  <c r="AU545" s="135"/>
    </row>
    <row r="546" spans="1:47" ht="22.5" customHeight="1" x14ac:dyDescent="0.2">
      <c r="A546" s="174"/>
      <c r="B546" s="175"/>
      <c r="C546" s="176"/>
      <c r="D546" s="177"/>
      <c r="E546" s="178"/>
      <c r="F546" s="178"/>
      <c r="G546" s="177"/>
      <c r="H546" s="303"/>
      <c r="I546" s="186" t="s">
        <v>802</v>
      </c>
      <c r="J546" s="206" t="s">
        <v>206</v>
      </c>
      <c r="K546" s="287">
        <f>K548*10%</f>
        <v>2000</v>
      </c>
      <c r="L546" s="176"/>
      <c r="M546" s="183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</row>
    <row r="547" spans="1:47" ht="22.5" customHeight="1" x14ac:dyDescent="0.2">
      <c r="A547" s="174"/>
      <c r="B547" s="175"/>
      <c r="C547" s="176"/>
      <c r="D547" s="177"/>
      <c r="E547" s="178"/>
      <c r="F547" s="178"/>
      <c r="G547" s="177"/>
      <c r="H547" s="303"/>
      <c r="I547" s="186" t="s">
        <v>803</v>
      </c>
      <c r="J547" s="206" t="s">
        <v>220</v>
      </c>
      <c r="K547" s="287">
        <f>K548*10%</f>
        <v>2000</v>
      </c>
      <c r="L547" s="176"/>
      <c r="M547" s="183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</row>
    <row r="548" spans="1:47" ht="22.5" customHeight="1" x14ac:dyDescent="0.2">
      <c r="A548" s="187"/>
      <c r="B548" s="188"/>
      <c r="C548" s="189"/>
      <c r="D548" s="190"/>
      <c r="E548" s="191"/>
      <c r="F548" s="191"/>
      <c r="G548" s="190"/>
      <c r="H548" s="304"/>
      <c r="I548" s="202"/>
      <c r="J548" s="203"/>
      <c r="K548" s="305">
        <v>20000</v>
      </c>
      <c r="L548" s="189"/>
      <c r="M548" s="196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</row>
    <row r="549" spans="1:47" ht="48" customHeight="1" x14ac:dyDescent="0.2">
      <c r="A549" s="228">
        <v>121</v>
      </c>
      <c r="B549" s="241" t="s">
        <v>804</v>
      </c>
      <c r="C549" s="242" t="s">
        <v>804</v>
      </c>
      <c r="D549" s="243" t="s">
        <v>107</v>
      </c>
      <c r="E549" s="244"/>
      <c r="F549" s="244"/>
      <c r="G549" s="243"/>
      <c r="H549" s="245"/>
      <c r="I549" s="192" t="s">
        <v>805</v>
      </c>
      <c r="J549" s="215" t="s">
        <v>220</v>
      </c>
      <c r="K549" s="322">
        <v>8000</v>
      </c>
      <c r="L549" s="254" t="s">
        <v>111</v>
      </c>
      <c r="M549" s="215" t="s">
        <v>806</v>
      </c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</row>
    <row r="550" spans="1:47" ht="48.75" customHeight="1" x14ac:dyDescent="0.2">
      <c r="A550" s="228">
        <v>122</v>
      </c>
      <c r="B550" s="241" t="s">
        <v>807</v>
      </c>
      <c r="C550" s="242" t="s">
        <v>807</v>
      </c>
      <c r="D550" s="243" t="s">
        <v>161</v>
      </c>
      <c r="E550" s="244"/>
      <c r="F550" s="244"/>
      <c r="G550" s="243"/>
      <c r="H550" s="245"/>
      <c r="I550" s="192" t="s">
        <v>808</v>
      </c>
      <c r="J550" s="215" t="s">
        <v>220</v>
      </c>
      <c r="K550" s="325">
        <v>1368800</v>
      </c>
      <c r="L550" s="326" t="s">
        <v>164</v>
      </c>
      <c r="M550" s="215" t="s">
        <v>809</v>
      </c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</row>
    <row r="551" spans="1:47" ht="52.5" customHeight="1" x14ac:dyDescent="0.2">
      <c r="A551" s="228">
        <v>123</v>
      </c>
      <c r="B551" s="241" t="s">
        <v>810</v>
      </c>
      <c r="C551" s="242" t="s">
        <v>810</v>
      </c>
      <c r="D551" s="243" t="s">
        <v>161</v>
      </c>
      <c r="E551" s="244"/>
      <c r="F551" s="244"/>
      <c r="G551" s="243"/>
      <c r="H551" s="245"/>
      <c r="I551" s="192" t="s">
        <v>811</v>
      </c>
      <c r="J551" s="215" t="s">
        <v>220</v>
      </c>
      <c r="K551" s="325">
        <v>1147600</v>
      </c>
      <c r="L551" s="326" t="s">
        <v>164</v>
      </c>
      <c r="M551" s="215" t="s">
        <v>812</v>
      </c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</row>
    <row r="552" spans="1:47" ht="57.75" customHeight="1" x14ac:dyDescent="0.2">
      <c r="A552" s="228">
        <v>124</v>
      </c>
      <c r="B552" s="241" t="s">
        <v>813</v>
      </c>
      <c r="C552" s="242" t="s">
        <v>813</v>
      </c>
      <c r="D552" s="243" t="s">
        <v>161</v>
      </c>
      <c r="E552" s="244"/>
      <c r="F552" s="244"/>
      <c r="G552" s="243"/>
      <c r="H552" s="245"/>
      <c r="I552" s="192" t="s">
        <v>814</v>
      </c>
      <c r="J552" s="215" t="s">
        <v>220</v>
      </c>
      <c r="K552" s="325">
        <v>1391800</v>
      </c>
      <c r="L552" s="326" t="s">
        <v>164</v>
      </c>
      <c r="M552" s="215" t="s">
        <v>815</v>
      </c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</row>
    <row r="553" spans="1:47" ht="69.75" customHeight="1" x14ac:dyDescent="0.2">
      <c r="A553" s="228">
        <v>125</v>
      </c>
      <c r="B553" s="241" t="s">
        <v>816</v>
      </c>
      <c r="C553" s="242" t="s">
        <v>816</v>
      </c>
      <c r="D553" s="243" t="s">
        <v>161</v>
      </c>
      <c r="E553" s="244"/>
      <c r="F553" s="244"/>
      <c r="G553" s="243"/>
      <c r="H553" s="245"/>
      <c r="I553" s="192" t="s">
        <v>811</v>
      </c>
      <c r="J553" s="215" t="s">
        <v>220</v>
      </c>
      <c r="K553" s="325">
        <v>1018500</v>
      </c>
      <c r="L553" s="326" t="s">
        <v>164</v>
      </c>
      <c r="M553" s="215" t="s">
        <v>817</v>
      </c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</row>
    <row r="554" spans="1:47" ht="24" customHeight="1" x14ac:dyDescent="0.2">
      <c r="A554" s="163">
        <v>126</v>
      </c>
      <c r="B554" s="164" t="s">
        <v>818</v>
      </c>
      <c r="C554" s="165"/>
      <c r="D554" s="166" t="s">
        <v>161</v>
      </c>
      <c r="E554" s="166"/>
      <c r="F554" s="166"/>
      <c r="G554" s="166"/>
      <c r="H554" s="166"/>
      <c r="I554" s="217" t="s">
        <v>819</v>
      </c>
      <c r="J554" s="169" t="s">
        <v>820</v>
      </c>
      <c r="K554" s="209">
        <f>32300*95%</f>
        <v>30685</v>
      </c>
      <c r="L554" s="172" t="s">
        <v>164</v>
      </c>
      <c r="M554" s="172" t="s">
        <v>821</v>
      </c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</row>
    <row r="555" spans="1:47" x14ac:dyDescent="0.2">
      <c r="A555" s="174"/>
      <c r="B555" s="175"/>
      <c r="C555" s="176"/>
      <c r="D555" s="177"/>
      <c r="E555" s="177"/>
      <c r="F555" s="177"/>
      <c r="G555" s="177"/>
      <c r="H555" s="177"/>
      <c r="I555" s="168" t="s">
        <v>822</v>
      </c>
      <c r="J555" s="223" t="s">
        <v>823</v>
      </c>
      <c r="K555" s="298">
        <f>32300*5%</f>
        <v>1615</v>
      </c>
      <c r="L555" s="183"/>
      <c r="M555" s="183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  <c r="AU555" s="135"/>
    </row>
    <row r="556" spans="1:47" x14ac:dyDescent="0.2">
      <c r="A556" s="187"/>
      <c r="B556" s="188"/>
      <c r="C556" s="189"/>
      <c r="D556" s="190"/>
      <c r="E556" s="190"/>
      <c r="F556" s="190"/>
      <c r="G556" s="190"/>
      <c r="H556" s="190"/>
      <c r="I556" s="202"/>
      <c r="J556" s="203"/>
      <c r="K556" s="204">
        <f>SUM(K554:K555)</f>
        <v>32300</v>
      </c>
      <c r="L556" s="196"/>
      <c r="M556" s="196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</row>
    <row r="557" spans="1:47" ht="22.5" customHeight="1" x14ac:dyDescent="0.2">
      <c r="A557" s="163">
        <v>127</v>
      </c>
      <c r="B557" s="164" t="s">
        <v>824</v>
      </c>
      <c r="C557" s="165"/>
      <c r="D557" s="166" t="s">
        <v>161</v>
      </c>
      <c r="E557" s="166"/>
      <c r="F557" s="166"/>
      <c r="G557" s="166"/>
      <c r="H557" s="166"/>
      <c r="I557" s="217" t="s">
        <v>819</v>
      </c>
      <c r="J557" s="169" t="s">
        <v>820</v>
      </c>
      <c r="K557" s="324">
        <f>300000*95%</f>
        <v>285000</v>
      </c>
      <c r="L557" s="172" t="s">
        <v>164</v>
      </c>
      <c r="M557" s="172" t="s">
        <v>825</v>
      </c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</row>
    <row r="558" spans="1:47" ht="22.5" customHeight="1" x14ac:dyDescent="0.2">
      <c r="A558" s="174"/>
      <c r="B558" s="175"/>
      <c r="C558" s="176"/>
      <c r="D558" s="177"/>
      <c r="E558" s="177"/>
      <c r="F558" s="177"/>
      <c r="G558" s="177"/>
      <c r="H558" s="177"/>
      <c r="I558" s="186" t="s">
        <v>822</v>
      </c>
      <c r="J558" s="223" t="s">
        <v>823</v>
      </c>
      <c r="K558" s="198">
        <f>300000*5%</f>
        <v>15000</v>
      </c>
      <c r="L558" s="183"/>
      <c r="M558" s="183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  <c r="AU558" s="135"/>
    </row>
    <row r="559" spans="1:47" x14ac:dyDescent="0.2">
      <c r="A559" s="187"/>
      <c r="B559" s="188"/>
      <c r="C559" s="189"/>
      <c r="D559" s="190"/>
      <c r="E559" s="190"/>
      <c r="F559" s="190"/>
      <c r="G559" s="190"/>
      <c r="H559" s="190"/>
      <c r="I559" s="327"/>
      <c r="J559" s="203"/>
      <c r="K559" s="204">
        <f>SUM(K557:K558)</f>
        <v>300000</v>
      </c>
      <c r="L559" s="196"/>
      <c r="M559" s="196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</row>
    <row r="560" spans="1:47" ht="48" customHeight="1" x14ac:dyDescent="0.2">
      <c r="A560" s="228">
        <v>128</v>
      </c>
      <c r="B560" s="241" t="s">
        <v>826</v>
      </c>
      <c r="C560" s="242" t="s">
        <v>826</v>
      </c>
      <c r="D560" s="243" t="s">
        <v>161</v>
      </c>
      <c r="E560" s="244"/>
      <c r="F560" s="244"/>
      <c r="G560" s="243"/>
      <c r="H560" s="245"/>
      <c r="I560" s="168" t="s">
        <v>827</v>
      </c>
      <c r="J560" s="169" t="s">
        <v>220</v>
      </c>
      <c r="K560" s="324">
        <v>43100</v>
      </c>
      <c r="L560" s="326" t="s">
        <v>164</v>
      </c>
      <c r="M560" s="215" t="s">
        <v>828</v>
      </c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</row>
    <row r="561" spans="1:47" ht="21" customHeight="1" x14ac:dyDescent="0.2">
      <c r="A561" s="163">
        <v>129</v>
      </c>
      <c r="B561" s="164" t="s">
        <v>829</v>
      </c>
      <c r="C561" s="165"/>
      <c r="D561" s="166" t="s">
        <v>161</v>
      </c>
      <c r="E561" s="167"/>
      <c r="F561" s="167"/>
      <c r="G561" s="166"/>
      <c r="H561" s="301" t="s">
        <v>137</v>
      </c>
      <c r="I561" s="217" t="s">
        <v>830</v>
      </c>
      <c r="J561" s="220" t="s">
        <v>206</v>
      </c>
      <c r="K561" s="302">
        <f>K564*60%</f>
        <v>116370</v>
      </c>
      <c r="L561" s="165" t="s">
        <v>164</v>
      </c>
      <c r="M561" s="172" t="s">
        <v>831</v>
      </c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</row>
    <row r="562" spans="1:47" ht="21" customHeight="1" x14ac:dyDescent="0.2">
      <c r="A562" s="174"/>
      <c r="B562" s="175"/>
      <c r="C562" s="176"/>
      <c r="D562" s="177"/>
      <c r="E562" s="178"/>
      <c r="F562" s="178"/>
      <c r="G562" s="177"/>
      <c r="H562" s="303"/>
      <c r="I562" s="186" t="s">
        <v>832</v>
      </c>
      <c r="J562" s="206" t="s">
        <v>206</v>
      </c>
      <c r="K562" s="287">
        <f>K564*20%</f>
        <v>38790</v>
      </c>
      <c r="L562" s="176"/>
      <c r="M562" s="183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</row>
    <row r="563" spans="1:47" ht="21" customHeight="1" x14ac:dyDescent="0.2">
      <c r="A563" s="174"/>
      <c r="B563" s="175"/>
      <c r="C563" s="176"/>
      <c r="D563" s="177"/>
      <c r="E563" s="178"/>
      <c r="F563" s="178"/>
      <c r="G563" s="177"/>
      <c r="H563" s="303"/>
      <c r="I563" s="186" t="s">
        <v>833</v>
      </c>
      <c r="J563" s="206" t="s">
        <v>220</v>
      </c>
      <c r="K563" s="287">
        <f>K564*20%</f>
        <v>38790</v>
      </c>
      <c r="L563" s="176"/>
      <c r="M563" s="183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</row>
    <row r="564" spans="1:47" ht="21" customHeight="1" x14ac:dyDescent="0.2">
      <c r="A564" s="187"/>
      <c r="B564" s="188"/>
      <c r="C564" s="189"/>
      <c r="D564" s="190"/>
      <c r="E564" s="191"/>
      <c r="F564" s="191"/>
      <c r="G564" s="190"/>
      <c r="H564" s="304"/>
      <c r="I564" s="202"/>
      <c r="J564" s="203"/>
      <c r="K564" s="305">
        <v>193950</v>
      </c>
      <c r="L564" s="189"/>
      <c r="M564" s="196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</row>
    <row r="565" spans="1:47" ht="22.5" customHeight="1" x14ac:dyDescent="0.2">
      <c r="A565" s="163">
        <v>130</v>
      </c>
      <c r="B565" s="164" t="s">
        <v>834</v>
      </c>
      <c r="C565" s="165"/>
      <c r="D565" s="166" t="s">
        <v>161</v>
      </c>
      <c r="E565" s="167"/>
      <c r="F565" s="167"/>
      <c r="G565" s="166"/>
      <c r="H565" s="301" t="s">
        <v>162</v>
      </c>
      <c r="I565" s="217" t="s">
        <v>835</v>
      </c>
      <c r="J565" s="220" t="s">
        <v>206</v>
      </c>
      <c r="K565" s="302">
        <f>K567*80%</f>
        <v>147840</v>
      </c>
      <c r="L565" s="165" t="s">
        <v>164</v>
      </c>
      <c r="M565" s="172" t="s">
        <v>836</v>
      </c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</row>
    <row r="566" spans="1:47" x14ac:dyDescent="0.2">
      <c r="A566" s="174"/>
      <c r="B566" s="175"/>
      <c r="C566" s="176"/>
      <c r="D566" s="177"/>
      <c r="E566" s="178"/>
      <c r="F566" s="178"/>
      <c r="G566" s="177"/>
      <c r="H566" s="303"/>
      <c r="I566" s="186" t="s">
        <v>837</v>
      </c>
      <c r="J566" s="206" t="s">
        <v>398</v>
      </c>
      <c r="K566" s="287">
        <f>K567*20%</f>
        <v>36960</v>
      </c>
      <c r="L566" s="176"/>
      <c r="M566" s="183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</row>
    <row r="567" spans="1:47" x14ac:dyDescent="0.2">
      <c r="A567" s="187"/>
      <c r="B567" s="188"/>
      <c r="C567" s="189"/>
      <c r="D567" s="190"/>
      <c r="E567" s="191"/>
      <c r="F567" s="191"/>
      <c r="G567" s="190"/>
      <c r="H567" s="304"/>
      <c r="I567" s="202"/>
      <c r="J567" s="203"/>
      <c r="K567" s="305">
        <v>184800</v>
      </c>
      <c r="L567" s="189"/>
      <c r="M567" s="196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</row>
    <row r="568" spans="1:47" ht="24" customHeight="1" x14ac:dyDescent="0.2">
      <c r="A568" s="163">
        <v>131</v>
      </c>
      <c r="B568" s="164" t="s">
        <v>838</v>
      </c>
      <c r="C568" s="165"/>
      <c r="D568" s="166" t="s">
        <v>161</v>
      </c>
      <c r="E568" s="167"/>
      <c r="F568" s="167"/>
      <c r="G568" s="166"/>
      <c r="H568" s="301" t="s">
        <v>137</v>
      </c>
      <c r="I568" s="217" t="s">
        <v>839</v>
      </c>
      <c r="J568" s="220" t="s">
        <v>220</v>
      </c>
      <c r="K568" s="302">
        <f>K571*40%</f>
        <v>160000</v>
      </c>
      <c r="L568" s="165" t="s">
        <v>164</v>
      </c>
      <c r="M568" s="172" t="s">
        <v>840</v>
      </c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  <c r="AU568" s="135"/>
    </row>
    <row r="569" spans="1:47" x14ac:dyDescent="0.2">
      <c r="A569" s="174"/>
      <c r="B569" s="175"/>
      <c r="C569" s="176"/>
      <c r="D569" s="177"/>
      <c r="E569" s="178"/>
      <c r="F569" s="178"/>
      <c r="G569" s="177"/>
      <c r="H569" s="303"/>
      <c r="I569" s="186" t="s">
        <v>841</v>
      </c>
      <c r="J569" s="206" t="s">
        <v>220</v>
      </c>
      <c r="K569" s="287">
        <f>K571*30%</f>
        <v>120000</v>
      </c>
      <c r="L569" s="176"/>
      <c r="M569" s="183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</row>
    <row r="570" spans="1:47" x14ac:dyDescent="0.2">
      <c r="A570" s="174"/>
      <c r="B570" s="175"/>
      <c r="C570" s="176"/>
      <c r="D570" s="177"/>
      <c r="E570" s="178"/>
      <c r="F570" s="178"/>
      <c r="G570" s="177"/>
      <c r="H570" s="303"/>
      <c r="I570" s="186" t="s">
        <v>842</v>
      </c>
      <c r="J570" s="206" t="s">
        <v>220</v>
      </c>
      <c r="K570" s="287">
        <f>K571*30%</f>
        <v>120000</v>
      </c>
      <c r="L570" s="176"/>
      <c r="M570" s="183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</row>
    <row r="571" spans="1:47" x14ac:dyDescent="0.2">
      <c r="A571" s="187"/>
      <c r="B571" s="188"/>
      <c r="C571" s="189"/>
      <c r="D571" s="190"/>
      <c r="E571" s="191"/>
      <c r="F571" s="191"/>
      <c r="G571" s="190"/>
      <c r="H571" s="304"/>
      <c r="I571" s="202"/>
      <c r="J571" s="203"/>
      <c r="K571" s="305">
        <v>400000</v>
      </c>
      <c r="L571" s="189"/>
      <c r="M571" s="196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  <c r="AU571" s="135"/>
    </row>
    <row r="572" spans="1:47" ht="24" customHeight="1" x14ac:dyDescent="0.2">
      <c r="A572" s="163">
        <v>132</v>
      </c>
      <c r="B572" s="164" t="s">
        <v>843</v>
      </c>
      <c r="C572" s="165"/>
      <c r="D572" s="166" t="s">
        <v>161</v>
      </c>
      <c r="E572" s="167"/>
      <c r="F572" s="167"/>
      <c r="G572" s="166"/>
      <c r="H572" s="301" t="s">
        <v>137</v>
      </c>
      <c r="I572" s="217" t="s">
        <v>844</v>
      </c>
      <c r="J572" s="220" t="s">
        <v>220</v>
      </c>
      <c r="K572" s="302">
        <f>K575*40%</f>
        <v>160000</v>
      </c>
      <c r="L572" s="165" t="s">
        <v>164</v>
      </c>
      <c r="M572" s="172" t="s">
        <v>845</v>
      </c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  <c r="AU572" s="135"/>
    </row>
    <row r="573" spans="1:47" x14ac:dyDescent="0.2">
      <c r="A573" s="174"/>
      <c r="B573" s="175"/>
      <c r="C573" s="176"/>
      <c r="D573" s="177"/>
      <c r="E573" s="178"/>
      <c r="F573" s="178"/>
      <c r="G573" s="177"/>
      <c r="H573" s="303"/>
      <c r="I573" s="186" t="s">
        <v>846</v>
      </c>
      <c r="J573" s="206" t="s">
        <v>220</v>
      </c>
      <c r="K573" s="287">
        <f>K575*30%</f>
        <v>120000</v>
      </c>
      <c r="L573" s="176"/>
      <c r="M573" s="183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</row>
    <row r="574" spans="1:47" x14ac:dyDescent="0.2">
      <c r="A574" s="174"/>
      <c r="B574" s="175"/>
      <c r="C574" s="176"/>
      <c r="D574" s="177"/>
      <c r="E574" s="178"/>
      <c r="F574" s="178"/>
      <c r="G574" s="177"/>
      <c r="H574" s="303"/>
      <c r="I574" s="186" t="s">
        <v>847</v>
      </c>
      <c r="J574" s="206" t="s">
        <v>220</v>
      </c>
      <c r="K574" s="287">
        <f>K575*30%</f>
        <v>120000</v>
      </c>
      <c r="L574" s="176"/>
      <c r="M574" s="183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  <c r="AU574" s="135"/>
    </row>
    <row r="575" spans="1:47" x14ac:dyDescent="0.2">
      <c r="A575" s="187"/>
      <c r="B575" s="188"/>
      <c r="C575" s="189"/>
      <c r="D575" s="190"/>
      <c r="E575" s="191"/>
      <c r="F575" s="191"/>
      <c r="G575" s="190"/>
      <c r="H575" s="304"/>
      <c r="I575" s="202"/>
      <c r="J575" s="203"/>
      <c r="K575" s="305">
        <v>400000</v>
      </c>
      <c r="L575" s="189"/>
      <c r="M575" s="196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  <c r="AU575" s="135"/>
    </row>
    <row r="576" spans="1:47" ht="48" customHeight="1" x14ac:dyDescent="0.2">
      <c r="A576" s="228">
        <v>133</v>
      </c>
      <c r="B576" s="241" t="s">
        <v>848</v>
      </c>
      <c r="C576" s="242" t="s">
        <v>848</v>
      </c>
      <c r="D576" s="243" t="s">
        <v>161</v>
      </c>
      <c r="E576" s="244"/>
      <c r="F576" s="244"/>
      <c r="G576" s="243"/>
      <c r="H576" s="245"/>
      <c r="I576" s="264" t="s">
        <v>849</v>
      </c>
      <c r="J576" s="266" t="s">
        <v>220</v>
      </c>
      <c r="K576" s="328">
        <v>400000</v>
      </c>
      <c r="L576" s="326" t="s">
        <v>164</v>
      </c>
      <c r="M576" s="215" t="s">
        <v>850</v>
      </c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  <c r="AU576" s="135"/>
    </row>
    <row r="577" spans="1:47" ht="62.25" customHeight="1" x14ac:dyDescent="0.2">
      <c r="A577" s="228">
        <v>134</v>
      </c>
      <c r="B577" s="241" t="s">
        <v>851</v>
      </c>
      <c r="C577" s="242" t="s">
        <v>851</v>
      </c>
      <c r="D577" s="243" t="s">
        <v>161</v>
      </c>
      <c r="E577" s="244"/>
      <c r="F577" s="244"/>
      <c r="G577" s="243"/>
      <c r="H577" s="245"/>
      <c r="I577" s="192" t="s">
        <v>852</v>
      </c>
      <c r="J577" s="215" t="s">
        <v>220</v>
      </c>
      <c r="K577" s="322">
        <v>400000</v>
      </c>
      <c r="L577" s="326" t="s">
        <v>164</v>
      </c>
      <c r="M577" s="215" t="s">
        <v>853</v>
      </c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  <c r="AU577" s="135"/>
    </row>
    <row r="578" spans="1:47" ht="53.25" customHeight="1" x14ac:dyDescent="0.2">
      <c r="A578" s="228">
        <v>135</v>
      </c>
      <c r="B578" s="241" t="s">
        <v>854</v>
      </c>
      <c r="C578" s="242" t="s">
        <v>854</v>
      </c>
      <c r="D578" s="243" t="s">
        <v>161</v>
      </c>
      <c r="E578" s="244"/>
      <c r="F578" s="244"/>
      <c r="G578" s="243"/>
      <c r="H578" s="245"/>
      <c r="I578" s="192" t="s">
        <v>855</v>
      </c>
      <c r="J578" s="215" t="s">
        <v>220</v>
      </c>
      <c r="K578" s="325">
        <v>400000</v>
      </c>
      <c r="L578" s="326" t="s">
        <v>164</v>
      </c>
      <c r="M578" s="215" t="s">
        <v>856</v>
      </c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  <c r="AU578" s="135"/>
    </row>
    <row r="579" spans="1:47" ht="53.25" customHeight="1" x14ac:dyDescent="0.2">
      <c r="A579" s="228">
        <v>136</v>
      </c>
      <c r="B579" s="241" t="s">
        <v>857</v>
      </c>
      <c r="C579" s="242" t="s">
        <v>857</v>
      </c>
      <c r="D579" s="243" t="s">
        <v>161</v>
      </c>
      <c r="E579" s="244"/>
      <c r="F579" s="244"/>
      <c r="G579" s="243"/>
      <c r="H579" s="245"/>
      <c r="I579" s="192" t="s">
        <v>852</v>
      </c>
      <c r="J579" s="215" t="s">
        <v>220</v>
      </c>
      <c r="K579" s="325">
        <v>71000</v>
      </c>
      <c r="L579" s="326" t="s">
        <v>164</v>
      </c>
      <c r="M579" s="215" t="s">
        <v>858</v>
      </c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  <c r="AU579" s="135"/>
    </row>
    <row r="580" spans="1:47" ht="53.25" customHeight="1" x14ac:dyDescent="0.2">
      <c r="A580" s="228">
        <v>137</v>
      </c>
      <c r="B580" s="241" t="s">
        <v>859</v>
      </c>
      <c r="C580" s="242" t="s">
        <v>859</v>
      </c>
      <c r="D580" s="243" t="s">
        <v>161</v>
      </c>
      <c r="E580" s="244"/>
      <c r="F580" s="244"/>
      <c r="G580" s="243"/>
      <c r="H580" s="245"/>
      <c r="I580" s="192" t="s">
        <v>855</v>
      </c>
      <c r="J580" s="215" t="s">
        <v>220</v>
      </c>
      <c r="K580" s="325">
        <v>300000</v>
      </c>
      <c r="L580" s="326" t="s">
        <v>164</v>
      </c>
      <c r="M580" s="215" t="s">
        <v>860</v>
      </c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  <c r="AU580" s="135"/>
    </row>
    <row r="581" spans="1:47" ht="53.25" customHeight="1" x14ac:dyDescent="0.2">
      <c r="A581" s="228">
        <v>138</v>
      </c>
      <c r="B581" s="241" t="s">
        <v>861</v>
      </c>
      <c r="C581" s="242" t="s">
        <v>861</v>
      </c>
      <c r="D581" s="243" t="s">
        <v>161</v>
      </c>
      <c r="E581" s="244"/>
      <c r="F581" s="244"/>
      <c r="G581" s="243"/>
      <c r="H581" s="245"/>
      <c r="I581" s="192" t="s">
        <v>862</v>
      </c>
      <c r="J581" s="215" t="s">
        <v>220</v>
      </c>
      <c r="K581" s="325">
        <v>300000</v>
      </c>
      <c r="L581" s="326" t="s">
        <v>164</v>
      </c>
      <c r="M581" s="215" t="s">
        <v>863</v>
      </c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  <c r="AU581" s="135"/>
    </row>
    <row r="582" spans="1:47" ht="53.25" customHeight="1" x14ac:dyDescent="0.2">
      <c r="A582" s="228">
        <v>139</v>
      </c>
      <c r="B582" s="241" t="s">
        <v>864</v>
      </c>
      <c r="C582" s="242" t="s">
        <v>864</v>
      </c>
      <c r="D582" s="243" t="s">
        <v>161</v>
      </c>
      <c r="E582" s="244"/>
      <c r="F582" s="244"/>
      <c r="G582" s="243"/>
      <c r="H582" s="245"/>
      <c r="I582" s="168" t="s">
        <v>865</v>
      </c>
      <c r="J582" s="169" t="s">
        <v>220</v>
      </c>
      <c r="K582" s="324">
        <v>300000</v>
      </c>
      <c r="L582" s="326" t="s">
        <v>164</v>
      </c>
      <c r="M582" s="215" t="s">
        <v>866</v>
      </c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</row>
    <row r="583" spans="1:47" ht="24" customHeight="1" x14ac:dyDescent="0.2">
      <c r="A583" s="167">
        <v>140</v>
      </c>
      <c r="B583" s="164" t="s">
        <v>867</v>
      </c>
      <c r="C583" s="165"/>
      <c r="D583" s="172" t="s">
        <v>25</v>
      </c>
      <c r="E583" s="167"/>
      <c r="F583" s="276" t="s">
        <v>868</v>
      </c>
      <c r="G583" s="172" t="s">
        <v>869</v>
      </c>
      <c r="H583" s="276" t="s">
        <v>870</v>
      </c>
      <c r="I583" s="329" t="s">
        <v>871</v>
      </c>
      <c r="J583" s="330" t="s">
        <v>820</v>
      </c>
      <c r="K583" s="314">
        <f>50000*25%</f>
        <v>12500</v>
      </c>
      <c r="L583" s="172" t="s">
        <v>869</v>
      </c>
      <c r="M583" s="172" t="s">
        <v>872</v>
      </c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  <c r="AU583" s="135"/>
    </row>
    <row r="584" spans="1:47" x14ac:dyDescent="0.2">
      <c r="A584" s="178"/>
      <c r="B584" s="175"/>
      <c r="C584" s="176"/>
      <c r="D584" s="183"/>
      <c r="E584" s="178"/>
      <c r="F584" s="282"/>
      <c r="G584" s="183"/>
      <c r="H584" s="282"/>
      <c r="I584" s="331" t="s">
        <v>873</v>
      </c>
      <c r="J584" s="332" t="s">
        <v>820</v>
      </c>
      <c r="K584" s="213">
        <f>50000*25%</f>
        <v>12500</v>
      </c>
      <c r="L584" s="183"/>
      <c r="M584" s="183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  <c r="AU584" s="135"/>
    </row>
    <row r="585" spans="1:47" x14ac:dyDescent="0.2">
      <c r="A585" s="178"/>
      <c r="B585" s="175"/>
      <c r="C585" s="176"/>
      <c r="D585" s="183"/>
      <c r="E585" s="178"/>
      <c r="F585" s="282"/>
      <c r="G585" s="183"/>
      <c r="H585" s="282"/>
      <c r="I585" s="333" t="s">
        <v>874</v>
      </c>
      <c r="J585" s="332" t="s">
        <v>193</v>
      </c>
      <c r="K585" s="334">
        <f>50000*25%</f>
        <v>12500</v>
      </c>
      <c r="L585" s="183"/>
      <c r="M585" s="183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</row>
    <row r="586" spans="1:47" x14ac:dyDescent="0.2">
      <c r="A586" s="178"/>
      <c r="B586" s="175"/>
      <c r="C586" s="176"/>
      <c r="D586" s="183"/>
      <c r="E586" s="178"/>
      <c r="F586" s="282"/>
      <c r="G586" s="183"/>
      <c r="H586" s="282"/>
      <c r="I586" s="283" t="s">
        <v>875</v>
      </c>
      <c r="J586" s="283" t="s">
        <v>876</v>
      </c>
      <c r="K586" s="213">
        <f>50000*25%</f>
        <v>12500</v>
      </c>
      <c r="L586" s="183"/>
      <c r="M586" s="183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</row>
    <row r="587" spans="1:47" x14ac:dyDescent="0.2">
      <c r="A587" s="191"/>
      <c r="B587" s="188"/>
      <c r="C587" s="189"/>
      <c r="D587" s="196"/>
      <c r="E587" s="191"/>
      <c r="F587" s="335"/>
      <c r="G587" s="196"/>
      <c r="H587" s="335"/>
      <c r="I587" s="336"/>
      <c r="J587" s="273"/>
      <c r="K587" s="319">
        <f>SUM(K583:K586)</f>
        <v>50000</v>
      </c>
      <c r="L587" s="196"/>
      <c r="M587" s="196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  <c r="AU587" s="135"/>
    </row>
    <row r="588" spans="1:47" ht="24" customHeight="1" x14ac:dyDescent="0.2">
      <c r="A588" s="163">
        <v>141</v>
      </c>
      <c r="B588" s="164" t="s">
        <v>877</v>
      </c>
      <c r="C588" s="165"/>
      <c r="D588" s="166" t="s">
        <v>107</v>
      </c>
      <c r="E588" s="167"/>
      <c r="F588" s="167"/>
      <c r="G588" s="166"/>
      <c r="H588" s="301" t="s">
        <v>878</v>
      </c>
      <c r="I588" s="217" t="s">
        <v>879</v>
      </c>
      <c r="J588" s="220" t="s">
        <v>880</v>
      </c>
      <c r="K588" s="302">
        <f>18000*70%</f>
        <v>12600</v>
      </c>
      <c r="L588" s="165" t="s">
        <v>111</v>
      </c>
      <c r="M588" s="172" t="s">
        <v>881</v>
      </c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  <c r="AU588" s="135"/>
    </row>
    <row r="589" spans="1:47" ht="24" customHeight="1" x14ac:dyDescent="0.2">
      <c r="A589" s="174"/>
      <c r="B589" s="175"/>
      <c r="C589" s="176"/>
      <c r="D589" s="177"/>
      <c r="E589" s="178"/>
      <c r="F589" s="178"/>
      <c r="G589" s="177"/>
      <c r="H589" s="303"/>
      <c r="I589" s="186" t="s">
        <v>882</v>
      </c>
      <c r="J589" s="206" t="s">
        <v>883</v>
      </c>
      <c r="K589" s="287">
        <f>18000*10%</f>
        <v>1800</v>
      </c>
      <c r="L589" s="176"/>
      <c r="M589" s="183"/>
      <c r="N589" s="173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</row>
    <row r="590" spans="1:47" ht="24" customHeight="1" x14ac:dyDescent="0.2">
      <c r="A590" s="174"/>
      <c r="B590" s="175"/>
      <c r="C590" s="176"/>
      <c r="D590" s="177"/>
      <c r="E590" s="178"/>
      <c r="F590" s="178"/>
      <c r="G590" s="177"/>
      <c r="H590" s="303"/>
      <c r="I590" s="186" t="s">
        <v>884</v>
      </c>
      <c r="J590" s="206" t="s">
        <v>883</v>
      </c>
      <c r="K590" s="287">
        <f t="shared" ref="K590:K591" si="6">18000*10%</f>
        <v>1800</v>
      </c>
      <c r="L590" s="176"/>
      <c r="M590" s="183"/>
      <c r="N590" s="173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  <c r="AU590" s="135"/>
    </row>
    <row r="591" spans="1:47" ht="24" customHeight="1" x14ac:dyDescent="0.2">
      <c r="A591" s="174"/>
      <c r="B591" s="175"/>
      <c r="C591" s="176"/>
      <c r="D591" s="177"/>
      <c r="E591" s="178"/>
      <c r="F591" s="178"/>
      <c r="G591" s="177"/>
      <c r="H591" s="303"/>
      <c r="I591" s="186" t="s">
        <v>885</v>
      </c>
      <c r="J591" s="206" t="s">
        <v>759</v>
      </c>
      <c r="K591" s="287">
        <f t="shared" si="6"/>
        <v>1800</v>
      </c>
      <c r="L591" s="176"/>
      <c r="M591" s="183"/>
      <c r="N591" s="173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135"/>
      <c r="AU591" s="135"/>
    </row>
    <row r="592" spans="1:47" x14ac:dyDescent="0.2">
      <c r="A592" s="174"/>
      <c r="B592" s="175"/>
      <c r="C592" s="176"/>
      <c r="D592" s="177"/>
      <c r="E592" s="178"/>
      <c r="F592" s="178"/>
      <c r="G592" s="177"/>
      <c r="H592" s="303"/>
      <c r="I592" s="336"/>
      <c r="J592" s="273"/>
      <c r="K592" s="319">
        <f>SUM(K588:K591)</f>
        <v>18000</v>
      </c>
      <c r="L592" s="176"/>
      <c r="M592" s="183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135"/>
      <c r="AU592" s="135"/>
    </row>
    <row r="593" spans="1:47" ht="24" customHeight="1" x14ac:dyDescent="0.2">
      <c r="A593" s="163">
        <v>142</v>
      </c>
      <c r="B593" s="164" t="s">
        <v>886</v>
      </c>
      <c r="C593" s="165"/>
      <c r="D593" s="166" t="s">
        <v>107</v>
      </c>
      <c r="E593" s="167"/>
      <c r="F593" s="167"/>
      <c r="G593" s="166"/>
      <c r="H593" s="301" t="s">
        <v>878</v>
      </c>
      <c r="I593" s="217" t="s">
        <v>887</v>
      </c>
      <c r="J593" s="220" t="s">
        <v>880</v>
      </c>
      <c r="K593" s="302">
        <f>16000*70%</f>
        <v>11200</v>
      </c>
      <c r="L593" s="165" t="s">
        <v>111</v>
      </c>
      <c r="M593" s="172" t="s">
        <v>888</v>
      </c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  <c r="AJ593" s="135"/>
      <c r="AK593" s="135"/>
      <c r="AL593" s="135"/>
      <c r="AM593" s="135"/>
      <c r="AN593" s="135"/>
      <c r="AO593" s="135"/>
      <c r="AP593" s="135"/>
      <c r="AQ593" s="135"/>
      <c r="AR593" s="135"/>
      <c r="AS593" s="135"/>
      <c r="AT593" s="135"/>
      <c r="AU593" s="135"/>
    </row>
    <row r="594" spans="1:47" ht="24" customHeight="1" x14ac:dyDescent="0.2">
      <c r="A594" s="174"/>
      <c r="B594" s="175"/>
      <c r="C594" s="176"/>
      <c r="D594" s="177"/>
      <c r="E594" s="178"/>
      <c r="F594" s="178"/>
      <c r="G594" s="177"/>
      <c r="H594" s="303"/>
      <c r="I594" s="186" t="s">
        <v>882</v>
      </c>
      <c r="J594" s="206" t="s">
        <v>889</v>
      </c>
      <c r="K594" s="287">
        <f>16000*10%</f>
        <v>1600</v>
      </c>
      <c r="L594" s="176"/>
      <c r="M594" s="183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35"/>
      <c r="AM594" s="135"/>
      <c r="AN594" s="135"/>
      <c r="AO594" s="135"/>
      <c r="AP594" s="135"/>
      <c r="AQ594" s="135"/>
      <c r="AR594" s="135"/>
      <c r="AS594" s="135"/>
      <c r="AT594" s="135"/>
      <c r="AU594" s="135"/>
    </row>
    <row r="595" spans="1:47" ht="24" customHeight="1" x14ac:dyDescent="0.2">
      <c r="A595" s="174"/>
      <c r="B595" s="175"/>
      <c r="C595" s="176"/>
      <c r="D595" s="177"/>
      <c r="E595" s="178"/>
      <c r="F595" s="178"/>
      <c r="G595" s="177"/>
      <c r="H595" s="303"/>
      <c r="I595" s="186" t="s">
        <v>884</v>
      </c>
      <c r="J595" s="206" t="s">
        <v>889</v>
      </c>
      <c r="K595" s="287">
        <f t="shared" ref="K595:K596" si="7">16000*10%</f>
        <v>1600</v>
      </c>
      <c r="L595" s="176"/>
      <c r="M595" s="183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5"/>
      <c r="AM595" s="135"/>
      <c r="AN595" s="135"/>
      <c r="AO595" s="135"/>
      <c r="AP595" s="135"/>
      <c r="AQ595" s="135"/>
      <c r="AR595" s="135"/>
      <c r="AS595" s="135"/>
      <c r="AT595" s="135"/>
      <c r="AU595" s="135"/>
    </row>
    <row r="596" spans="1:47" ht="24" customHeight="1" x14ac:dyDescent="0.2">
      <c r="A596" s="174"/>
      <c r="B596" s="175"/>
      <c r="C596" s="176"/>
      <c r="D596" s="177"/>
      <c r="E596" s="178"/>
      <c r="F596" s="178"/>
      <c r="G596" s="177"/>
      <c r="H596" s="303"/>
      <c r="I596" s="186" t="s">
        <v>890</v>
      </c>
      <c r="J596" s="206" t="s">
        <v>441</v>
      </c>
      <c r="K596" s="287">
        <f t="shared" si="7"/>
        <v>1600</v>
      </c>
      <c r="L596" s="176"/>
      <c r="M596" s="183"/>
      <c r="N596" s="173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135"/>
      <c r="AU596" s="135"/>
    </row>
    <row r="597" spans="1:47" x14ac:dyDescent="0.2">
      <c r="A597" s="174"/>
      <c r="B597" s="175"/>
      <c r="C597" s="176"/>
      <c r="D597" s="177"/>
      <c r="E597" s="178"/>
      <c r="F597" s="178"/>
      <c r="G597" s="177"/>
      <c r="H597" s="303"/>
      <c r="I597" s="336"/>
      <c r="J597" s="273"/>
      <c r="K597" s="319">
        <f>SUM(K593:K596)</f>
        <v>16000</v>
      </c>
      <c r="L597" s="176"/>
      <c r="M597" s="183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5"/>
      <c r="AM597" s="135"/>
      <c r="AN597" s="135"/>
      <c r="AO597" s="135"/>
      <c r="AP597" s="135"/>
      <c r="AQ597" s="135"/>
      <c r="AR597" s="135"/>
      <c r="AS597" s="135"/>
      <c r="AT597" s="135"/>
      <c r="AU597" s="135"/>
    </row>
    <row r="598" spans="1:47" ht="24" customHeight="1" x14ac:dyDescent="0.2">
      <c r="A598" s="163">
        <v>143</v>
      </c>
      <c r="B598" s="164" t="s">
        <v>891</v>
      </c>
      <c r="C598" s="165"/>
      <c r="D598" s="166" t="s">
        <v>107</v>
      </c>
      <c r="E598" s="167"/>
      <c r="F598" s="167"/>
      <c r="G598" s="166"/>
      <c r="H598" s="301" t="s">
        <v>108</v>
      </c>
      <c r="I598" s="217" t="s">
        <v>892</v>
      </c>
      <c r="J598" s="220" t="s">
        <v>883</v>
      </c>
      <c r="K598" s="302">
        <f>16000*70%</f>
        <v>11200</v>
      </c>
      <c r="L598" s="165" t="s">
        <v>111</v>
      </c>
      <c r="M598" s="172" t="s">
        <v>893</v>
      </c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135"/>
      <c r="AU598" s="135"/>
    </row>
    <row r="599" spans="1:47" ht="23.25" customHeight="1" x14ac:dyDescent="0.2">
      <c r="A599" s="174"/>
      <c r="B599" s="175"/>
      <c r="C599" s="176"/>
      <c r="D599" s="177"/>
      <c r="E599" s="178"/>
      <c r="F599" s="178"/>
      <c r="G599" s="177"/>
      <c r="H599" s="303"/>
      <c r="I599" s="186" t="s">
        <v>884</v>
      </c>
      <c r="J599" s="206" t="s">
        <v>889</v>
      </c>
      <c r="K599" s="287">
        <f>16000*10%</f>
        <v>1600</v>
      </c>
      <c r="L599" s="176"/>
      <c r="M599" s="183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35"/>
      <c r="AM599" s="135"/>
      <c r="AN599" s="135"/>
      <c r="AO599" s="135"/>
      <c r="AP599" s="135"/>
      <c r="AQ599" s="135"/>
      <c r="AR599" s="135"/>
      <c r="AS599" s="135"/>
      <c r="AT599" s="135"/>
      <c r="AU599" s="135"/>
    </row>
    <row r="600" spans="1:47" ht="23.25" customHeight="1" x14ac:dyDescent="0.2">
      <c r="A600" s="174"/>
      <c r="B600" s="175"/>
      <c r="C600" s="176"/>
      <c r="D600" s="177"/>
      <c r="E600" s="178"/>
      <c r="F600" s="178"/>
      <c r="G600" s="177"/>
      <c r="H600" s="303"/>
      <c r="I600" s="186" t="s">
        <v>894</v>
      </c>
      <c r="J600" s="206" t="s">
        <v>441</v>
      </c>
      <c r="K600" s="287">
        <f>16000*20%</f>
        <v>3200</v>
      </c>
      <c r="L600" s="176"/>
      <c r="M600" s="183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  <c r="AU600" s="135"/>
    </row>
    <row r="601" spans="1:47" ht="23.25" customHeight="1" x14ac:dyDescent="0.2">
      <c r="A601" s="174"/>
      <c r="B601" s="175"/>
      <c r="C601" s="176"/>
      <c r="D601" s="177"/>
      <c r="E601" s="178"/>
      <c r="F601" s="178"/>
      <c r="G601" s="177"/>
      <c r="H601" s="303"/>
      <c r="I601" s="186"/>
      <c r="J601" s="206"/>
      <c r="K601" s="287">
        <f>SUM(K598:K600)</f>
        <v>16000</v>
      </c>
      <c r="L601" s="176"/>
      <c r="M601" s="183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  <c r="AU601" s="135"/>
    </row>
    <row r="602" spans="1:47" ht="24.75" customHeight="1" x14ac:dyDescent="0.2">
      <c r="A602" s="163">
        <v>144</v>
      </c>
      <c r="B602" s="164" t="s">
        <v>895</v>
      </c>
      <c r="C602" s="165"/>
      <c r="D602" s="166" t="s">
        <v>161</v>
      </c>
      <c r="E602" s="167"/>
      <c r="F602" s="167"/>
      <c r="G602" s="166"/>
      <c r="H602" s="301" t="s">
        <v>743</v>
      </c>
      <c r="I602" s="217" t="s">
        <v>896</v>
      </c>
      <c r="J602" s="220" t="s">
        <v>897</v>
      </c>
      <c r="K602" s="302">
        <f>K607*45%</f>
        <v>67500</v>
      </c>
      <c r="L602" s="165" t="s">
        <v>164</v>
      </c>
      <c r="M602" s="172" t="s">
        <v>898</v>
      </c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135"/>
      <c r="AU602" s="135"/>
    </row>
    <row r="603" spans="1:47" ht="24.75" customHeight="1" x14ac:dyDescent="0.2">
      <c r="A603" s="174"/>
      <c r="B603" s="175"/>
      <c r="C603" s="176"/>
      <c r="D603" s="177"/>
      <c r="E603" s="178"/>
      <c r="F603" s="178"/>
      <c r="G603" s="177"/>
      <c r="H603" s="303"/>
      <c r="I603" s="186" t="s">
        <v>899</v>
      </c>
      <c r="J603" s="206" t="s">
        <v>460</v>
      </c>
      <c r="K603" s="287">
        <f>K607*20%</f>
        <v>30000</v>
      </c>
      <c r="L603" s="176"/>
      <c r="M603" s="183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35"/>
      <c r="AM603" s="135"/>
      <c r="AN603" s="135"/>
      <c r="AO603" s="135"/>
      <c r="AP603" s="135"/>
      <c r="AQ603" s="135"/>
      <c r="AR603" s="135"/>
      <c r="AS603" s="135"/>
      <c r="AT603" s="135"/>
      <c r="AU603" s="135"/>
    </row>
    <row r="604" spans="1:47" ht="24.75" customHeight="1" x14ac:dyDescent="0.2">
      <c r="A604" s="174"/>
      <c r="B604" s="175"/>
      <c r="C604" s="176"/>
      <c r="D604" s="177"/>
      <c r="E604" s="178"/>
      <c r="F604" s="178"/>
      <c r="G604" s="177"/>
      <c r="H604" s="303"/>
      <c r="I604" s="186" t="s">
        <v>900</v>
      </c>
      <c r="J604" s="206" t="s">
        <v>453</v>
      </c>
      <c r="K604" s="287">
        <f>K607*15%</f>
        <v>22500</v>
      </c>
      <c r="L604" s="176"/>
      <c r="M604" s="183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35"/>
      <c r="AM604" s="135"/>
      <c r="AN604" s="135"/>
      <c r="AO604" s="135"/>
      <c r="AP604" s="135"/>
      <c r="AQ604" s="135"/>
      <c r="AR604" s="135"/>
      <c r="AS604" s="135"/>
      <c r="AT604" s="135"/>
      <c r="AU604" s="135"/>
    </row>
    <row r="605" spans="1:47" ht="24.75" customHeight="1" x14ac:dyDescent="0.2">
      <c r="A605" s="174"/>
      <c r="B605" s="175"/>
      <c r="C605" s="176"/>
      <c r="D605" s="177"/>
      <c r="E605" s="178"/>
      <c r="F605" s="178"/>
      <c r="G605" s="177"/>
      <c r="H605" s="303"/>
      <c r="I605" s="186" t="s">
        <v>901</v>
      </c>
      <c r="J605" s="206" t="s">
        <v>460</v>
      </c>
      <c r="K605" s="287">
        <f>K607*10%</f>
        <v>15000</v>
      </c>
      <c r="L605" s="176"/>
      <c r="M605" s="183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  <c r="AJ605" s="135"/>
      <c r="AK605" s="135"/>
      <c r="AL605" s="135"/>
      <c r="AM605" s="135"/>
      <c r="AN605" s="135"/>
      <c r="AO605" s="135"/>
      <c r="AP605" s="135"/>
      <c r="AQ605" s="135"/>
      <c r="AR605" s="135"/>
      <c r="AS605" s="135"/>
      <c r="AT605" s="135"/>
      <c r="AU605" s="135"/>
    </row>
    <row r="606" spans="1:47" ht="24.75" customHeight="1" x14ac:dyDescent="0.2">
      <c r="A606" s="174"/>
      <c r="B606" s="175"/>
      <c r="C606" s="176"/>
      <c r="D606" s="177"/>
      <c r="E606" s="178"/>
      <c r="F606" s="178"/>
      <c r="G606" s="177"/>
      <c r="H606" s="303"/>
      <c r="I606" s="186" t="s">
        <v>532</v>
      </c>
      <c r="J606" s="206" t="s">
        <v>460</v>
      </c>
      <c r="K606" s="287">
        <f>K607*10%</f>
        <v>15000</v>
      </c>
      <c r="L606" s="176"/>
      <c r="M606" s="183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35"/>
      <c r="AM606" s="135"/>
      <c r="AN606" s="135"/>
      <c r="AO606" s="135"/>
      <c r="AP606" s="135"/>
      <c r="AQ606" s="135"/>
      <c r="AR606" s="135"/>
      <c r="AS606" s="135"/>
      <c r="AT606" s="135"/>
      <c r="AU606" s="135"/>
    </row>
    <row r="607" spans="1:47" ht="24.75" customHeight="1" x14ac:dyDescent="0.2">
      <c r="A607" s="187"/>
      <c r="B607" s="188"/>
      <c r="C607" s="189"/>
      <c r="D607" s="190"/>
      <c r="E607" s="191"/>
      <c r="F607" s="191"/>
      <c r="G607" s="190"/>
      <c r="H607" s="304"/>
      <c r="I607" s="202"/>
      <c r="J607" s="203"/>
      <c r="K607" s="305">
        <v>150000</v>
      </c>
      <c r="L607" s="189"/>
      <c r="M607" s="196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  <c r="AJ607" s="135"/>
      <c r="AK607" s="135"/>
      <c r="AL607" s="135"/>
      <c r="AM607" s="135"/>
      <c r="AN607" s="135"/>
      <c r="AO607" s="135"/>
      <c r="AP607" s="135"/>
      <c r="AQ607" s="135"/>
      <c r="AR607" s="135"/>
      <c r="AS607" s="135"/>
      <c r="AT607" s="135"/>
      <c r="AU607" s="135"/>
    </row>
    <row r="608" spans="1:47" ht="22.5" customHeight="1" x14ac:dyDescent="0.2">
      <c r="A608" s="163">
        <v>145</v>
      </c>
      <c r="B608" s="164" t="s">
        <v>902</v>
      </c>
      <c r="C608" s="165"/>
      <c r="D608" s="166" t="s">
        <v>161</v>
      </c>
      <c r="E608" s="167"/>
      <c r="F608" s="167"/>
      <c r="G608" s="166"/>
      <c r="H608" s="301" t="s">
        <v>903</v>
      </c>
      <c r="I608" s="217" t="s">
        <v>904</v>
      </c>
      <c r="J608" s="220" t="s">
        <v>897</v>
      </c>
      <c r="K608" s="302">
        <f>K615*50%</f>
        <v>161100</v>
      </c>
      <c r="L608" s="165" t="s">
        <v>164</v>
      </c>
      <c r="M608" s="172" t="s">
        <v>905</v>
      </c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  <c r="AQ608" s="135"/>
      <c r="AR608" s="135"/>
      <c r="AS608" s="135"/>
      <c r="AT608" s="135"/>
      <c r="AU608" s="135"/>
    </row>
    <row r="609" spans="1:47" x14ac:dyDescent="0.2">
      <c r="A609" s="174"/>
      <c r="B609" s="175"/>
      <c r="C609" s="176"/>
      <c r="D609" s="177"/>
      <c r="E609" s="178"/>
      <c r="F609" s="178"/>
      <c r="G609" s="177"/>
      <c r="H609" s="303"/>
      <c r="I609" s="186" t="s">
        <v>906</v>
      </c>
      <c r="J609" s="206" t="s">
        <v>460</v>
      </c>
      <c r="K609" s="287">
        <f>K615*15%</f>
        <v>48330</v>
      </c>
      <c r="L609" s="176"/>
      <c r="M609" s="183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5"/>
      <c r="AM609" s="135"/>
      <c r="AN609" s="135"/>
      <c r="AO609" s="135"/>
      <c r="AP609" s="135"/>
      <c r="AQ609" s="135"/>
      <c r="AR609" s="135"/>
      <c r="AS609" s="135"/>
      <c r="AT609" s="135"/>
      <c r="AU609" s="135"/>
    </row>
    <row r="610" spans="1:47" x14ac:dyDescent="0.2">
      <c r="A610" s="174"/>
      <c r="B610" s="175"/>
      <c r="C610" s="176"/>
      <c r="D610" s="177"/>
      <c r="E610" s="178"/>
      <c r="F610" s="178"/>
      <c r="G610" s="177"/>
      <c r="H610" s="303"/>
      <c r="I610" s="186" t="s">
        <v>907</v>
      </c>
      <c r="J610" s="206" t="s">
        <v>460</v>
      </c>
      <c r="K610" s="287">
        <f>K615*15%</f>
        <v>48330</v>
      </c>
      <c r="L610" s="176"/>
      <c r="M610" s="183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35"/>
      <c r="AM610" s="135"/>
      <c r="AN610" s="135"/>
      <c r="AO610" s="135"/>
      <c r="AP610" s="135"/>
      <c r="AQ610" s="135"/>
      <c r="AR610" s="135"/>
      <c r="AS610" s="135"/>
      <c r="AT610" s="135"/>
      <c r="AU610" s="135"/>
    </row>
    <row r="611" spans="1:47" x14ac:dyDescent="0.2">
      <c r="A611" s="174"/>
      <c r="B611" s="175"/>
      <c r="C611" s="176"/>
      <c r="D611" s="177"/>
      <c r="E611" s="178"/>
      <c r="F611" s="178"/>
      <c r="G611" s="177"/>
      <c r="H611" s="303"/>
      <c r="I611" s="186" t="s">
        <v>908</v>
      </c>
      <c r="J611" s="206" t="s">
        <v>460</v>
      </c>
      <c r="K611" s="287">
        <f>K615*5%</f>
        <v>16110</v>
      </c>
      <c r="L611" s="176"/>
      <c r="M611" s="183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  <c r="AJ611" s="135"/>
      <c r="AK611" s="135"/>
      <c r="AL611" s="135"/>
      <c r="AM611" s="135"/>
      <c r="AN611" s="135"/>
      <c r="AO611" s="135"/>
      <c r="AP611" s="135"/>
      <c r="AQ611" s="135"/>
      <c r="AR611" s="135"/>
      <c r="AS611" s="135"/>
      <c r="AT611" s="135"/>
      <c r="AU611" s="135"/>
    </row>
    <row r="612" spans="1:47" x14ac:dyDescent="0.2">
      <c r="A612" s="174"/>
      <c r="B612" s="175"/>
      <c r="C612" s="176"/>
      <c r="D612" s="177"/>
      <c r="E612" s="178"/>
      <c r="F612" s="178"/>
      <c r="G612" s="177"/>
      <c r="H612" s="303"/>
      <c r="I612" s="186" t="s">
        <v>909</v>
      </c>
      <c r="J612" s="206" t="s">
        <v>460</v>
      </c>
      <c r="K612" s="287">
        <f>K615*5%</f>
        <v>16110</v>
      </c>
      <c r="L612" s="176"/>
      <c r="M612" s="183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35"/>
      <c r="AM612" s="135"/>
      <c r="AN612" s="135"/>
      <c r="AO612" s="135"/>
      <c r="AP612" s="135"/>
      <c r="AQ612" s="135"/>
      <c r="AR612" s="135"/>
      <c r="AS612" s="135"/>
      <c r="AT612" s="135"/>
      <c r="AU612" s="135"/>
    </row>
    <row r="613" spans="1:47" x14ac:dyDescent="0.2">
      <c r="A613" s="174"/>
      <c r="B613" s="175"/>
      <c r="C613" s="176"/>
      <c r="D613" s="177"/>
      <c r="E613" s="178"/>
      <c r="F613" s="178"/>
      <c r="G613" s="177"/>
      <c r="H613" s="303"/>
      <c r="I613" s="186" t="s">
        <v>910</v>
      </c>
      <c r="J613" s="206" t="s">
        <v>117</v>
      </c>
      <c r="K613" s="287">
        <f>K615*5%</f>
        <v>16110</v>
      </c>
      <c r="L613" s="176"/>
      <c r="M613" s="183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  <c r="AJ613" s="135"/>
      <c r="AK613" s="135"/>
      <c r="AL613" s="135"/>
      <c r="AM613" s="135"/>
      <c r="AN613" s="135"/>
      <c r="AO613" s="135"/>
      <c r="AP613" s="135"/>
      <c r="AQ613" s="135"/>
      <c r="AR613" s="135"/>
      <c r="AS613" s="135"/>
      <c r="AT613" s="135"/>
      <c r="AU613" s="135"/>
    </row>
    <row r="614" spans="1:47" ht="48" x14ac:dyDescent="0.2">
      <c r="A614" s="174"/>
      <c r="B614" s="175"/>
      <c r="C614" s="176"/>
      <c r="D614" s="177"/>
      <c r="E614" s="178"/>
      <c r="F614" s="178"/>
      <c r="G614" s="177"/>
      <c r="H614" s="303"/>
      <c r="I614" s="186" t="s">
        <v>911</v>
      </c>
      <c r="J614" s="206" t="s">
        <v>401</v>
      </c>
      <c r="K614" s="287">
        <f>K615*5%</f>
        <v>16110</v>
      </c>
      <c r="L614" s="176"/>
      <c r="M614" s="183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35"/>
      <c r="AM614" s="135"/>
      <c r="AN614" s="135"/>
      <c r="AO614" s="135"/>
      <c r="AP614" s="135"/>
      <c r="AQ614" s="135"/>
      <c r="AR614" s="135"/>
      <c r="AS614" s="135"/>
      <c r="AT614" s="135"/>
      <c r="AU614" s="135"/>
    </row>
    <row r="615" spans="1:47" x14ac:dyDescent="0.2">
      <c r="A615" s="187"/>
      <c r="B615" s="188"/>
      <c r="C615" s="189"/>
      <c r="D615" s="190"/>
      <c r="E615" s="191"/>
      <c r="F615" s="191"/>
      <c r="G615" s="190"/>
      <c r="H615" s="304"/>
      <c r="I615" s="192"/>
      <c r="J615" s="215"/>
      <c r="K615" s="300">
        <v>322200</v>
      </c>
      <c r="L615" s="189"/>
      <c r="M615" s="196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  <c r="AJ615" s="135"/>
      <c r="AK615" s="135"/>
      <c r="AL615" s="135"/>
      <c r="AM615" s="135"/>
      <c r="AN615" s="135"/>
      <c r="AO615" s="135"/>
      <c r="AP615" s="135"/>
      <c r="AQ615" s="135"/>
      <c r="AR615" s="135"/>
      <c r="AS615" s="135"/>
      <c r="AT615" s="135"/>
      <c r="AU615" s="135"/>
    </row>
    <row r="616" spans="1:47" ht="23.25" customHeight="1" x14ac:dyDescent="0.2">
      <c r="A616" s="163">
        <v>146</v>
      </c>
      <c r="B616" s="164" t="s">
        <v>912</v>
      </c>
      <c r="C616" s="165"/>
      <c r="D616" s="166" t="s">
        <v>107</v>
      </c>
      <c r="E616" s="167"/>
      <c r="F616" s="167"/>
      <c r="G616" s="166"/>
      <c r="H616" s="301"/>
      <c r="I616" s="217" t="s">
        <v>913</v>
      </c>
      <c r="J616" s="220" t="s">
        <v>897</v>
      </c>
      <c r="K616" s="302">
        <f>K621*80%</f>
        <v>7200</v>
      </c>
      <c r="L616" s="165" t="s">
        <v>111</v>
      </c>
      <c r="M616" s="172" t="s">
        <v>914</v>
      </c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35"/>
      <c r="AM616" s="135"/>
      <c r="AN616" s="135"/>
      <c r="AO616" s="135"/>
      <c r="AP616" s="135"/>
      <c r="AQ616" s="135"/>
      <c r="AR616" s="135"/>
      <c r="AS616" s="135"/>
      <c r="AT616" s="135"/>
      <c r="AU616" s="135"/>
    </row>
    <row r="617" spans="1:47" ht="48" x14ac:dyDescent="0.2">
      <c r="A617" s="174"/>
      <c r="B617" s="175"/>
      <c r="C617" s="176"/>
      <c r="D617" s="177"/>
      <c r="E617" s="178"/>
      <c r="F617" s="178"/>
      <c r="G617" s="177"/>
      <c r="H617" s="303"/>
      <c r="I617" s="186" t="s">
        <v>915</v>
      </c>
      <c r="J617" s="206" t="s">
        <v>916</v>
      </c>
      <c r="K617" s="287">
        <f>K621*5%</f>
        <v>450</v>
      </c>
      <c r="L617" s="176"/>
      <c r="M617" s="183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  <c r="AJ617" s="135"/>
      <c r="AK617" s="135"/>
      <c r="AL617" s="135"/>
      <c r="AM617" s="135"/>
      <c r="AN617" s="135"/>
      <c r="AO617" s="135"/>
      <c r="AP617" s="135"/>
      <c r="AQ617" s="135"/>
      <c r="AR617" s="135"/>
      <c r="AS617" s="135"/>
      <c r="AT617" s="135"/>
      <c r="AU617" s="135"/>
    </row>
    <row r="618" spans="1:47" x14ac:dyDescent="0.2">
      <c r="A618" s="174"/>
      <c r="B618" s="175"/>
      <c r="C618" s="176"/>
      <c r="D618" s="177"/>
      <c r="E618" s="178"/>
      <c r="F618" s="178"/>
      <c r="G618" s="177"/>
      <c r="H618" s="303"/>
      <c r="I618" s="186" t="s">
        <v>917</v>
      </c>
      <c r="J618" s="206" t="s">
        <v>916</v>
      </c>
      <c r="K618" s="287">
        <f>K621*5%</f>
        <v>450</v>
      </c>
      <c r="L618" s="176"/>
      <c r="M618" s="183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35"/>
      <c r="AM618" s="135"/>
      <c r="AN618" s="135"/>
      <c r="AO618" s="135"/>
      <c r="AP618" s="135"/>
      <c r="AQ618" s="135"/>
      <c r="AR618" s="135"/>
      <c r="AS618" s="135"/>
      <c r="AT618" s="135"/>
      <c r="AU618" s="135"/>
    </row>
    <row r="619" spans="1:47" x14ac:dyDescent="0.2">
      <c r="A619" s="174"/>
      <c r="B619" s="175"/>
      <c r="C619" s="176"/>
      <c r="D619" s="177"/>
      <c r="E619" s="178"/>
      <c r="F619" s="178"/>
      <c r="G619" s="177"/>
      <c r="H619" s="303"/>
      <c r="I619" s="186" t="s">
        <v>918</v>
      </c>
      <c r="J619" s="206" t="s">
        <v>916</v>
      </c>
      <c r="K619" s="287">
        <f>K621*5%</f>
        <v>450</v>
      </c>
      <c r="L619" s="176"/>
      <c r="M619" s="183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  <c r="AJ619" s="135"/>
      <c r="AK619" s="135"/>
      <c r="AL619" s="135"/>
      <c r="AM619" s="135"/>
      <c r="AN619" s="135"/>
      <c r="AO619" s="135"/>
      <c r="AP619" s="135"/>
      <c r="AQ619" s="135"/>
      <c r="AR619" s="135"/>
      <c r="AS619" s="135"/>
      <c r="AT619" s="135"/>
      <c r="AU619" s="135"/>
    </row>
    <row r="620" spans="1:47" x14ac:dyDescent="0.2">
      <c r="A620" s="174"/>
      <c r="B620" s="175"/>
      <c r="C620" s="176"/>
      <c r="D620" s="177"/>
      <c r="E620" s="178"/>
      <c r="F620" s="178"/>
      <c r="G620" s="177"/>
      <c r="H620" s="303"/>
      <c r="I620" s="186" t="s">
        <v>919</v>
      </c>
      <c r="J620" s="206" t="s">
        <v>916</v>
      </c>
      <c r="K620" s="287">
        <f>K621*5%</f>
        <v>450</v>
      </c>
      <c r="L620" s="176"/>
      <c r="M620" s="183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35"/>
      <c r="AM620" s="135"/>
      <c r="AN620" s="135"/>
      <c r="AO620" s="135"/>
      <c r="AP620" s="135"/>
      <c r="AQ620" s="135"/>
      <c r="AR620" s="135"/>
      <c r="AS620" s="135"/>
      <c r="AT620" s="135"/>
      <c r="AU620" s="135"/>
    </row>
    <row r="621" spans="1:47" x14ac:dyDescent="0.2">
      <c r="A621" s="187"/>
      <c r="B621" s="188"/>
      <c r="C621" s="189"/>
      <c r="D621" s="190"/>
      <c r="E621" s="191"/>
      <c r="F621" s="191"/>
      <c r="G621" s="190"/>
      <c r="H621" s="304"/>
      <c r="I621" s="202"/>
      <c r="J621" s="203"/>
      <c r="K621" s="305">
        <v>9000</v>
      </c>
      <c r="L621" s="189"/>
      <c r="M621" s="196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  <c r="AJ621" s="135"/>
      <c r="AK621" s="135"/>
      <c r="AL621" s="135"/>
      <c r="AM621" s="135"/>
      <c r="AN621" s="135"/>
      <c r="AO621" s="135"/>
      <c r="AP621" s="135"/>
      <c r="AQ621" s="135"/>
      <c r="AR621" s="135"/>
      <c r="AS621" s="135"/>
      <c r="AT621" s="135"/>
      <c r="AU621" s="135"/>
    </row>
    <row r="622" spans="1:47" ht="22.5" customHeight="1" x14ac:dyDescent="0.2">
      <c r="A622" s="163">
        <v>147</v>
      </c>
      <c r="B622" s="164" t="s">
        <v>920</v>
      </c>
      <c r="C622" s="165"/>
      <c r="D622" s="166" t="s">
        <v>107</v>
      </c>
      <c r="E622" s="167"/>
      <c r="F622" s="167"/>
      <c r="G622" s="166"/>
      <c r="H622" s="301" t="s">
        <v>137</v>
      </c>
      <c r="I622" s="217" t="s">
        <v>921</v>
      </c>
      <c r="J622" s="220" t="s">
        <v>762</v>
      </c>
      <c r="K622" s="302">
        <f>K625*5%</f>
        <v>900</v>
      </c>
      <c r="L622" s="165" t="s">
        <v>111</v>
      </c>
      <c r="M622" s="172" t="s">
        <v>922</v>
      </c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  <c r="AQ622" s="135"/>
      <c r="AR622" s="135"/>
      <c r="AS622" s="135"/>
      <c r="AT622" s="135"/>
      <c r="AU622" s="135"/>
    </row>
    <row r="623" spans="1:47" ht="48" x14ac:dyDescent="0.2">
      <c r="A623" s="174"/>
      <c r="B623" s="175"/>
      <c r="C623" s="176"/>
      <c r="D623" s="177"/>
      <c r="E623" s="178"/>
      <c r="F623" s="178"/>
      <c r="G623" s="177"/>
      <c r="H623" s="303"/>
      <c r="I623" s="186" t="s">
        <v>923</v>
      </c>
      <c r="J623" s="206" t="s">
        <v>460</v>
      </c>
      <c r="K623" s="287">
        <f>K625*25%</f>
        <v>4500</v>
      </c>
      <c r="L623" s="176"/>
      <c r="M623" s="183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  <c r="AJ623" s="135"/>
      <c r="AK623" s="135"/>
      <c r="AL623" s="135"/>
      <c r="AM623" s="135"/>
      <c r="AN623" s="135"/>
      <c r="AO623" s="135"/>
      <c r="AP623" s="135"/>
      <c r="AQ623" s="135"/>
      <c r="AR623" s="135"/>
      <c r="AS623" s="135"/>
      <c r="AT623" s="135"/>
      <c r="AU623" s="135"/>
    </row>
    <row r="624" spans="1:47" x14ac:dyDescent="0.2">
      <c r="A624" s="174"/>
      <c r="B624" s="175"/>
      <c r="C624" s="176"/>
      <c r="D624" s="177"/>
      <c r="E624" s="178"/>
      <c r="F624" s="178"/>
      <c r="G624" s="177"/>
      <c r="H624" s="303"/>
      <c r="I624" s="186" t="s">
        <v>924</v>
      </c>
      <c r="J624" s="206" t="s">
        <v>453</v>
      </c>
      <c r="K624" s="287">
        <f>K625*70%</f>
        <v>12600</v>
      </c>
      <c r="L624" s="176"/>
      <c r="M624" s="183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35"/>
      <c r="AM624" s="135"/>
      <c r="AN624" s="135"/>
      <c r="AO624" s="135"/>
      <c r="AP624" s="135"/>
      <c r="AQ624" s="135"/>
      <c r="AR624" s="135"/>
      <c r="AS624" s="135"/>
      <c r="AT624" s="135"/>
      <c r="AU624" s="135"/>
    </row>
    <row r="625" spans="1:47" x14ac:dyDescent="0.2">
      <c r="A625" s="187"/>
      <c r="B625" s="188"/>
      <c r="C625" s="189"/>
      <c r="D625" s="190"/>
      <c r="E625" s="191"/>
      <c r="F625" s="191"/>
      <c r="G625" s="190"/>
      <c r="H625" s="304"/>
      <c r="I625" s="202"/>
      <c r="J625" s="203"/>
      <c r="K625" s="305">
        <v>18000</v>
      </c>
      <c r="L625" s="189"/>
      <c r="M625" s="196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  <c r="AJ625" s="135"/>
      <c r="AK625" s="135"/>
      <c r="AL625" s="135"/>
      <c r="AM625" s="135"/>
      <c r="AN625" s="135"/>
      <c r="AO625" s="135"/>
      <c r="AP625" s="135"/>
      <c r="AQ625" s="135"/>
      <c r="AR625" s="135"/>
      <c r="AS625" s="135"/>
      <c r="AT625" s="135"/>
      <c r="AU625" s="135"/>
    </row>
    <row r="626" spans="1:47" ht="21.75" customHeight="1" x14ac:dyDescent="0.2">
      <c r="A626" s="163">
        <v>148</v>
      </c>
      <c r="B626" s="164" t="s">
        <v>925</v>
      </c>
      <c r="C626" s="165"/>
      <c r="D626" s="166" t="s">
        <v>107</v>
      </c>
      <c r="E626" s="167"/>
      <c r="F626" s="167"/>
      <c r="G626" s="166"/>
      <c r="H626" s="301"/>
      <c r="I626" s="217" t="s">
        <v>926</v>
      </c>
      <c r="J626" s="220" t="s">
        <v>897</v>
      </c>
      <c r="K626" s="302">
        <f>K635*60%</f>
        <v>8400</v>
      </c>
      <c r="L626" s="165" t="s">
        <v>111</v>
      </c>
      <c r="M626" s="172" t="s">
        <v>927</v>
      </c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  <c r="AQ626" s="135"/>
      <c r="AR626" s="135"/>
      <c r="AS626" s="135"/>
      <c r="AT626" s="135"/>
      <c r="AU626" s="135"/>
    </row>
    <row r="627" spans="1:47" x14ac:dyDescent="0.2">
      <c r="A627" s="174"/>
      <c r="B627" s="175"/>
      <c r="C627" s="176"/>
      <c r="D627" s="177"/>
      <c r="E627" s="178"/>
      <c r="F627" s="178"/>
      <c r="G627" s="177"/>
      <c r="H627" s="303"/>
      <c r="I627" s="186" t="s">
        <v>928</v>
      </c>
      <c r="J627" s="206" t="s">
        <v>453</v>
      </c>
      <c r="K627" s="287">
        <f>K635*5%</f>
        <v>700</v>
      </c>
      <c r="L627" s="176"/>
      <c r="M627" s="183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  <c r="AJ627" s="135"/>
      <c r="AK627" s="135"/>
      <c r="AL627" s="135"/>
      <c r="AM627" s="135"/>
      <c r="AN627" s="135"/>
      <c r="AO627" s="135"/>
      <c r="AP627" s="135"/>
      <c r="AQ627" s="135"/>
      <c r="AR627" s="135"/>
      <c r="AS627" s="135"/>
      <c r="AT627" s="135"/>
      <c r="AU627" s="135"/>
    </row>
    <row r="628" spans="1:47" x14ac:dyDescent="0.2">
      <c r="A628" s="174"/>
      <c r="B628" s="175"/>
      <c r="C628" s="176"/>
      <c r="D628" s="177"/>
      <c r="E628" s="178"/>
      <c r="F628" s="178"/>
      <c r="G628" s="177"/>
      <c r="H628" s="303"/>
      <c r="I628" s="186" t="s">
        <v>929</v>
      </c>
      <c r="J628" s="206" t="s">
        <v>453</v>
      </c>
      <c r="K628" s="287">
        <f>K635*5%</f>
        <v>700</v>
      </c>
      <c r="L628" s="176"/>
      <c r="M628" s="183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  <c r="AQ628" s="135"/>
      <c r="AR628" s="135"/>
      <c r="AS628" s="135"/>
      <c r="AT628" s="135"/>
      <c r="AU628" s="135"/>
    </row>
    <row r="629" spans="1:47" x14ac:dyDescent="0.2">
      <c r="A629" s="174"/>
      <c r="B629" s="175"/>
      <c r="C629" s="176"/>
      <c r="D629" s="177"/>
      <c r="E629" s="178"/>
      <c r="F629" s="178"/>
      <c r="G629" s="177"/>
      <c r="H629" s="303"/>
      <c r="I629" s="186" t="s">
        <v>930</v>
      </c>
      <c r="J629" s="206" t="s">
        <v>453</v>
      </c>
      <c r="K629" s="287">
        <f>K635*5%</f>
        <v>700</v>
      </c>
      <c r="L629" s="176"/>
      <c r="M629" s="183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35"/>
      <c r="AM629" s="135"/>
      <c r="AN629" s="135"/>
      <c r="AO629" s="135"/>
      <c r="AP629" s="135"/>
      <c r="AQ629" s="135"/>
      <c r="AR629" s="135"/>
      <c r="AS629" s="135"/>
      <c r="AT629" s="135"/>
      <c r="AU629" s="135"/>
    </row>
    <row r="630" spans="1:47" x14ac:dyDescent="0.2">
      <c r="A630" s="174"/>
      <c r="B630" s="175"/>
      <c r="C630" s="176"/>
      <c r="D630" s="177"/>
      <c r="E630" s="178"/>
      <c r="F630" s="178"/>
      <c r="G630" s="177"/>
      <c r="H630" s="303"/>
      <c r="I630" s="186" t="s">
        <v>931</v>
      </c>
      <c r="J630" s="206" t="s">
        <v>453</v>
      </c>
      <c r="K630" s="287">
        <f>K635*5%</f>
        <v>700</v>
      </c>
      <c r="L630" s="176"/>
      <c r="M630" s="183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35"/>
      <c r="AM630" s="135"/>
      <c r="AN630" s="135"/>
      <c r="AO630" s="135"/>
      <c r="AP630" s="135"/>
      <c r="AQ630" s="135"/>
      <c r="AR630" s="135"/>
      <c r="AS630" s="135"/>
      <c r="AT630" s="135"/>
      <c r="AU630" s="135"/>
    </row>
    <row r="631" spans="1:47" x14ac:dyDescent="0.2">
      <c r="A631" s="174"/>
      <c r="B631" s="175"/>
      <c r="C631" s="176"/>
      <c r="D631" s="177"/>
      <c r="E631" s="178"/>
      <c r="F631" s="178"/>
      <c r="G631" s="177"/>
      <c r="H631" s="303"/>
      <c r="I631" s="186" t="s">
        <v>932</v>
      </c>
      <c r="J631" s="206" t="s">
        <v>453</v>
      </c>
      <c r="K631" s="287">
        <f>K635*5%</f>
        <v>700</v>
      </c>
      <c r="L631" s="176"/>
      <c r="M631" s="183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135"/>
      <c r="AU631" s="135"/>
    </row>
    <row r="632" spans="1:47" x14ac:dyDescent="0.2">
      <c r="A632" s="174"/>
      <c r="B632" s="175"/>
      <c r="C632" s="176"/>
      <c r="D632" s="177"/>
      <c r="E632" s="178"/>
      <c r="F632" s="178"/>
      <c r="G632" s="177"/>
      <c r="H632" s="303"/>
      <c r="I632" s="186" t="s">
        <v>933</v>
      </c>
      <c r="J632" s="206" t="s">
        <v>453</v>
      </c>
      <c r="K632" s="287">
        <f>K635*5%</f>
        <v>700</v>
      </c>
      <c r="L632" s="176"/>
      <c r="M632" s="183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135"/>
      <c r="AU632" s="135"/>
    </row>
    <row r="633" spans="1:47" ht="48" x14ac:dyDescent="0.2">
      <c r="A633" s="174"/>
      <c r="B633" s="175"/>
      <c r="C633" s="176"/>
      <c r="D633" s="177"/>
      <c r="E633" s="178"/>
      <c r="F633" s="178"/>
      <c r="G633" s="177"/>
      <c r="H633" s="303"/>
      <c r="I633" s="186" t="s">
        <v>934</v>
      </c>
      <c r="J633" s="206" t="s">
        <v>453</v>
      </c>
      <c r="K633" s="287">
        <f>K635*5%</f>
        <v>700</v>
      </c>
      <c r="L633" s="176"/>
      <c r="M633" s="183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  <c r="AJ633" s="135"/>
      <c r="AK633" s="135"/>
      <c r="AL633" s="135"/>
      <c r="AM633" s="135"/>
      <c r="AN633" s="135"/>
      <c r="AO633" s="135"/>
      <c r="AP633" s="135"/>
      <c r="AQ633" s="135"/>
      <c r="AR633" s="135"/>
      <c r="AS633" s="135"/>
      <c r="AT633" s="135"/>
      <c r="AU633" s="135"/>
    </row>
    <row r="634" spans="1:47" x14ac:dyDescent="0.2">
      <c r="A634" s="174"/>
      <c r="B634" s="175"/>
      <c r="C634" s="176"/>
      <c r="D634" s="177"/>
      <c r="E634" s="178"/>
      <c r="F634" s="178"/>
      <c r="G634" s="177"/>
      <c r="H634" s="303"/>
      <c r="I634" s="186" t="s">
        <v>481</v>
      </c>
      <c r="J634" s="206" t="s">
        <v>460</v>
      </c>
      <c r="K634" s="287">
        <f>K635*5%</f>
        <v>700</v>
      </c>
      <c r="L634" s="176"/>
      <c r="M634" s="183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35"/>
      <c r="AM634" s="135"/>
      <c r="AN634" s="135"/>
      <c r="AO634" s="135"/>
      <c r="AP634" s="135"/>
      <c r="AQ634" s="135"/>
      <c r="AR634" s="135"/>
      <c r="AS634" s="135"/>
      <c r="AT634" s="135"/>
      <c r="AU634" s="135"/>
    </row>
    <row r="635" spans="1:47" x14ac:dyDescent="0.2">
      <c r="A635" s="187"/>
      <c r="B635" s="188"/>
      <c r="C635" s="189"/>
      <c r="D635" s="190"/>
      <c r="E635" s="191"/>
      <c r="F635" s="191"/>
      <c r="G635" s="190"/>
      <c r="H635" s="304"/>
      <c r="I635" s="202"/>
      <c r="J635" s="203"/>
      <c r="K635" s="305">
        <v>14000</v>
      </c>
      <c r="L635" s="189"/>
      <c r="M635" s="196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  <c r="AJ635" s="135"/>
      <c r="AK635" s="135"/>
      <c r="AL635" s="135"/>
      <c r="AM635" s="135"/>
      <c r="AN635" s="135"/>
      <c r="AO635" s="135"/>
      <c r="AP635" s="135"/>
      <c r="AQ635" s="135"/>
      <c r="AR635" s="135"/>
      <c r="AS635" s="135"/>
      <c r="AT635" s="135"/>
      <c r="AU635" s="135"/>
    </row>
    <row r="636" spans="1:47" ht="24" customHeight="1" x14ac:dyDescent="0.2">
      <c r="A636" s="163">
        <v>149</v>
      </c>
      <c r="B636" s="164" t="s">
        <v>935</v>
      </c>
      <c r="C636" s="165"/>
      <c r="D636" s="166" t="s">
        <v>107</v>
      </c>
      <c r="E636" s="167"/>
      <c r="F636" s="167"/>
      <c r="G636" s="166"/>
      <c r="H636" s="301" t="s">
        <v>108</v>
      </c>
      <c r="I636" s="217" t="s">
        <v>936</v>
      </c>
      <c r="J636" s="220" t="s">
        <v>260</v>
      </c>
      <c r="K636" s="302">
        <f>K640*20%</f>
        <v>2700</v>
      </c>
      <c r="L636" s="165" t="s">
        <v>111</v>
      </c>
      <c r="M636" s="172" t="s">
        <v>937</v>
      </c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35"/>
      <c r="AM636" s="135"/>
      <c r="AN636" s="135"/>
      <c r="AO636" s="135"/>
      <c r="AP636" s="135"/>
      <c r="AQ636" s="135"/>
      <c r="AR636" s="135"/>
      <c r="AS636" s="135"/>
      <c r="AT636" s="135"/>
      <c r="AU636" s="135"/>
    </row>
    <row r="637" spans="1:47" x14ac:dyDescent="0.2">
      <c r="A637" s="174"/>
      <c r="B637" s="175"/>
      <c r="C637" s="176"/>
      <c r="D637" s="177"/>
      <c r="E637" s="178"/>
      <c r="F637" s="178"/>
      <c r="G637" s="177"/>
      <c r="H637" s="303"/>
      <c r="I637" s="186" t="s">
        <v>938</v>
      </c>
      <c r="J637" s="206" t="s">
        <v>379</v>
      </c>
      <c r="K637" s="287">
        <f>K640*10%</f>
        <v>1350</v>
      </c>
      <c r="L637" s="176"/>
      <c r="M637" s="183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  <c r="AJ637" s="135"/>
      <c r="AK637" s="135"/>
      <c r="AL637" s="135"/>
      <c r="AM637" s="135"/>
      <c r="AN637" s="135"/>
      <c r="AO637" s="135"/>
      <c r="AP637" s="135"/>
      <c r="AQ637" s="135"/>
      <c r="AR637" s="135"/>
      <c r="AS637" s="135"/>
      <c r="AT637" s="135"/>
      <c r="AU637" s="135"/>
    </row>
    <row r="638" spans="1:47" x14ac:dyDescent="0.2">
      <c r="A638" s="174"/>
      <c r="B638" s="175"/>
      <c r="C638" s="176"/>
      <c r="D638" s="177"/>
      <c r="E638" s="178"/>
      <c r="F638" s="178"/>
      <c r="G638" s="177"/>
      <c r="H638" s="303"/>
      <c r="I638" s="186" t="s">
        <v>939</v>
      </c>
      <c r="J638" s="206" t="s">
        <v>379</v>
      </c>
      <c r="K638" s="287">
        <f>K635*10%</f>
        <v>1400</v>
      </c>
      <c r="L638" s="176"/>
      <c r="M638" s="183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  <c r="AU638" s="135"/>
    </row>
    <row r="639" spans="1:47" ht="48" x14ac:dyDescent="0.2">
      <c r="A639" s="174"/>
      <c r="B639" s="175"/>
      <c r="C639" s="176"/>
      <c r="D639" s="177"/>
      <c r="E639" s="178"/>
      <c r="F639" s="178"/>
      <c r="G639" s="177"/>
      <c r="H639" s="303"/>
      <c r="I639" s="186" t="s">
        <v>940</v>
      </c>
      <c r="J639" s="206" t="s">
        <v>379</v>
      </c>
      <c r="K639" s="287">
        <f>K635*20%</f>
        <v>2800</v>
      </c>
      <c r="L639" s="176"/>
      <c r="M639" s="183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  <c r="AJ639" s="135"/>
      <c r="AK639" s="135"/>
      <c r="AL639" s="135"/>
      <c r="AM639" s="135"/>
      <c r="AN639" s="135"/>
      <c r="AO639" s="135"/>
      <c r="AP639" s="135"/>
      <c r="AQ639" s="135"/>
      <c r="AR639" s="135"/>
      <c r="AS639" s="135"/>
      <c r="AT639" s="135"/>
      <c r="AU639" s="135"/>
    </row>
    <row r="640" spans="1:47" x14ac:dyDescent="0.2">
      <c r="A640" s="187"/>
      <c r="B640" s="188"/>
      <c r="C640" s="189"/>
      <c r="D640" s="190"/>
      <c r="E640" s="191"/>
      <c r="F640" s="191"/>
      <c r="G640" s="190"/>
      <c r="H640" s="304"/>
      <c r="I640" s="202"/>
      <c r="J640" s="203"/>
      <c r="K640" s="305">
        <v>13500</v>
      </c>
      <c r="L640" s="189"/>
      <c r="M640" s="196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35"/>
      <c r="AM640" s="135"/>
      <c r="AN640" s="135"/>
      <c r="AO640" s="135"/>
      <c r="AP640" s="135"/>
      <c r="AQ640" s="135"/>
      <c r="AR640" s="135"/>
      <c r="AS640" s="135"/>
      <c r="AT640" s="135"/>
      <c r="AU640" s="135"/>
    </row>
    <row r="641" spans="1:47" ht="24" customHeight="1" x14ac:dyDescent="0.2">
      <c r="A641" s="163">
        <v>150</v>
      </c>
      <c r="B641" s="164" t="s">
        <v>941</v>
      </c>
      <c r="C641" s="165"/>
      <c r="D641" s="166" t="s">
        <v>107</v>
      </c>
      <c r="E641" s="167"/>
      <c r="F641" s="167"/>
      <c r="G641" s="166"/>
      <c r="H641" s="301" t="s">
        <v>162</v>
      </c>
      <c r="I641" s="217" t="s">
        <v>942</v>
      </c>
      <c r="J641" s="220" t="s">
        <v>897</v>
      </c>
      <c r="K641" s="302">
        <f>K643*80%</f>
        <v>16000</v>
      </c>
      <c r="L641" s="165" t="s">
        <v>111</v>
      </c>
      <c r="M641" s="172" t="s">
        <v>943</v>
      </c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35"/>
      <c r="AM641" s="135"/>
      <c r="AN641" s="135"/>
      <c r="AO641" s="135"/>
      <c r="AP641" s="135"/>
      <c r="AQ641" s="135"/>
      <c r="AR641" s="135"/>
      <c r="AS641" s="135"/>
      <c r="AT641" s="135"/>
      <c r="AU641" s="135"/>
    </row>
    <row r="642" spans="1:47" x14ac:dyDescent="0.2">
      <c r="A642" s="174"/>
      <c r="B642" s="175"/>
      <c r="C642" s="176"/>
      <c r="D642" s="177"/>
      <c r="E642" s="178"/>
      <c r="F642" s="178"/>
      <c r="G642" s="177"/>
      <c r="H642" s="303"/>
      <c r="I642" s="186" t="s">
        <v>944</v>
      </c>
      <c r="J642" s="206" t="s">
        <v>379</v>
      </c>
      <c r="K642" s="287">
        <f>K643*20%</f>
        <v>4000</v>
      </c>
      <c r="L642" s="176"/>
      <c r="M642" s="183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35"/>
      <c r="AM642" s="135"/>
      <c r="AN642" s="135"/>
      <c r="AO642" s="135"/>
      <c r="AP642" s="135"/>
      <c r="AQ642" s="135"/>
      <c r="AR642" s="135"/>
      <c r="AS642" s="135"/>
      <c r="AT642" s="135"/>
      <c r="AU642" s="135"/>
    </row>
    <row r="643" spans="1:47" x14ac:dyDescent="0.2">
      <c r="A643" s="187"/>
      <c r="B643" s="188"/>
      <c r="C643" s="189"/>
      <c r="D643" s="190"/>
      <c r="E643" s="191"/>
      <c r="F643" s="191"/>
      <c r="G643" s="190"/>
      <c r="H643" s="304"/>
      <c r="I643" s="202"/>
      <c r="J643" s="203"/>
      <c r="K643" s="305">
        <v>20000</v>
      </c>
      <c r="L643" s="189"/>
      <c r="M643" s="196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  <c r="AF643" s="135"/>
      <c r="AG643" s="135"/>
      <c r="AH643" s="135"/>
      <c r="AI643" s="135"/>
      <c r="AJ643" s="135"/>
      <c r="AK643" s="135"/>
      <c r="AL643" s="135"/>
      <c r="AM643" s="135"/>
      <c r="AN643" s="135"/>
      <c r="AO643" s="135"/>
      <c r="AP643" s="135"/>
      <c r="AQ643" s="135"/>
      <c r="AR643" s="135"/>
      <c r="AS643" s="135"/>
      <c r="AT643" s="135"/>
      <c r="AU643" s="135"/>
    </row>
    <row r="644" spans="1:47" ht="29.25" customHeight="1" x14ac:dyDescent="0.2">
      <c r="A644" s="228">
        <v>151</v>
      </c>
      <c r="B644" s="241" t="s">
        <v>945</v>
      </c>
      <c r="C644" s="242" t="s">
        <v>945</v>
      </c>
      <c r="D644" s="243" t="s">
        <v>107</v>
      </c>
      <c r="E644" s="244"/>
      <c r="F644" s="244"/>
      <c r="G644" s="243"/>
      <c r="H644" s="337"/>
      <c r="I644" s="192" t="s">
        <v>946</v>
      </c>
      <c r="J644" s="215" t="s">
        <v>460</v>
      </c>
      <c r="K644" s="322">
        <v>8000</v>
      </c>
      <c r="L644" s="254" t="s">
        <v>111</v>
      </c>
      <c r="M644" s="215" t="s">
        <v>947</v>
      </c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/>
      <c r="AP644" s="135"/>
      <c r="AQ644" s="135"/>
      <c r="AR644" s="135"/>
      <c r="AS644" s="135"/>
      <c r="AT644" s="135"/>
      <c r="AU644" s="135"/>
    </row>
    <row r="645" spans="1:47" ht="54.75" customHeight="1" x14ac:dyDescent="0.2">
      <c r="A645" s="228">
        <v>152</v>
      </c>
      <c r="B645" s="241" t="s">
        <v>948</v>
      </c>
      <c r="C645" s="242" t="s">
        <v>948</v>
      </c>
      <c r="D645" s="243" t="s">
        <v>161</v>
      </c>
      <c r="E645" s="244"/>
      <c r="F645" s="244"/>
      <c r="G645" s="243"/>
      <c r="H645" s="245"/>
      <c r="I645" s="192" t="s">
        <v>949</v>
      </c>
      <c r="J645" s="215" t="s">
        <v>460</v>
      </c>
      <c r="K645" s="325">
        <v>500000</v>
      </c>
      <c r="L645" s="326" t="s">
        <v>164</v>
      </c>
      <c r="M645" s="215" t="s">
        <v>950</v>
      </c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  <c r="AJ645" s="135"/>
      <c r="AK645" s="135"/>
      <c r="AL645" s="135"/>
      <c r="AM645" s="135"/>
      <c r="AN645" s="135"/>
      <c r="AO645" s="135"/>
      <c r="AP645" s="135"/>
      <c r="AQ645" s="135"/>
      <c r="AR645" s="135"/>
      <c r="AS645" s="135"/>
      <c r="AT645" s="135"/>
      <c r="AU645" s="135"/>
    </row>
    <row r="646" spans="1:47" ht="63" customHeight="1" x14ac:dyDescent="0.2">
      <c r="A646" s="228">
        <v>153</v>
      </c>
      <c r="B646" s="241" t="s">
        <v>951</v>
      </c>
      <c r="C646" s="242" t="s">
        <v>951</v>
      </c>
      <c r="D646" s="243" t="s">
        <v>161</v>
      </c>
      <c r="E646" s="244"/>
      <c r="F646" s="244"/>
      <c r="G646" s="243"/>
      <c r="H646" s="245"/>
      <c r="I646" s="192" t="s">
        <v>952</v>
      </c>
      <c r="J646" s="215" t="s">
        <v>460</v>
      </c>
      <c r="K646" s="325">
        <v>530000</v>
      </c>
      <c r="L646" s="326" t="s">
        <v>164</v>
      </c>
      <c r="M646" s="215" t="s">
        <v>953</v>
      </c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  <c r="AU646" s="135"/>
    </row>
    <row r="647" spans="1:47" ht="65.25" customHeight="1" x14ac:dyDescent="0.2">
      <c r="A647" s="228">
        <v>154</v>
      </c>
      <c r="B647" s="241" t="s">
        <v>954</v>
      </c>
      <c r="C647" s="242" t="s">
        <v>954</v>
      </c>
      <c r="D647" s="243" t="s">
        <v>161</v>
      </c>
      <c r="E647" s="244"/>
      <c r="F647" s="244"/>
      <c r="G647" s="243"/>
      <c r="H647" s="245"/>
      <c r="I647" s="168" t="s">
        <v>949</v>
      </c>
      <c r="J647" s="169" t="s">
        <v>460</v>
      </c>
      <c r="K647" s="324">
        <v>500000</v>
      </c>
      <c r="L647" s="326" t="s">
        <v>164</v>
      </c>
      <c r="M647" s="215" t="s">
        <v>955</v>
      </c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  <c r="AJ647" s="135"/>
      <c r="AK647" s="135"/>
      <c r="AL647" s="135"/>
      <c r="AM647" s="135"/>
      <c r="AN647" s="135"/>
      <c r="AO647" s="135"/>
      <c r="AP647" s="135"/>
      <c r="AQ647" s="135"/>
      <c r="AR647" s="135"/>
      <c r="AS647" s="135"/>
      <c r="AT647" s="135"/>
      <c r="AU647" s="135"/>
    </row>
    <row r="648" spans="1:47" ht="24.75" customHeight="1" x14ac:dyDescent="0.2">
      <c r="A648" s="163">
        <v>155</v>
      </c>
      <c r="B648" s="164" t="s">
        <v>956</v>
      </c>
      <c r="C648" s="165"/>
      <c r="D648" s="166" t="s">
        <v>161</v>
      </c>
      <c r="E648" s="167"/>
      <c r="F648" s="167"/>
      <c r="G648" s="166"/>
      <c r="H648" s="301" t="s">
        <v>162</v>
      </c>
      <c r="I648" s="217" t="s">
        <v>957</v>
      </c>
      <c r="J648" s="220" t="s">
        <v>897</v>
      </c>
      <c r="K648" s="302">
        <f>K650*80%</f>
        <v>424000</v>
      </c>
      <c r="L648" s="165" t="s">
        <v>164</v>
      </c>
      <c r="M648" s="172" t="s">
        <v>958</v>
      </c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  <c r="AJ648" s="135"/>
      <c r="AK648" s="135"/>
      <c r="AL648" s="135"/>
      <c r="AM648" s="135"/>
      <c r="AN648" s="135"/>
      <c r="AO648" s="135"/>
      <c r="AP648" s="135"/>
      <c r="AQ648" s="135"/>
      <c r="AR648" s="135"/>
      <c r="AS648" s="135"/>
      <c r="AT648" s="135"/>
      <c r="AU648" s="135"/>
    </row>
    <row r="649" spans="1:47" x14ac:dyDescent="0.2">
      <c r="A649" s="174"/>
      <c r="B649" s="175"/>
      <c r="C649" s="176"/>
      <c r="D649" s="177"/>
      <c r="E649" s="178"/>
      <c r="F649" s="178"/>
      <c r="G649" s="177"/>
      <c r="H649" s="303"/>
      <c r="I649" s="186" t="s">
        <v>959</v>
      </c>
      <c r="J649" s="206" t="s">
        <v>460</v>
      </c>
      <c r="K649" s="287">
        <f>K650*20%</f>
        <v>106000</v>
      </c>
      <c r="L649" s="176"/>
      <c r="M649" s="183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  <c r="AF649" s="135"/>
      <c r="AG649" s="135"/>
      <c r="AH649" s="135"/>
      <c r="AI649" s="135"/>
      <c r="AJ649" s="135"/>
      <c r="AK649" s="135"/>
      <c r="AL649" s="135"/>
      <c r="AM649" s="135"/>
      <c r="AN649" s="135"/>
      <c r="AO649" s="135"/>
      <c r="AP649" s="135"/>
      <c r="AQ649" s="135"/>
      <c r="AR649" s="135"/>
      <c r="AS649" s="135"/>
      <c r="AT649" s="135"/>
      <c r="AU649" s="135"/>
    </row>
    <row r="650" spans="1:47" x14ac:dyDescent="0.2">
      <c r="A650" s="187"/>
      <c r="B650" s="188"/>
      <c r="C650" s="189"/>
      <c r="D650" s="190"/>
      <c r="E650" s="191"/>
      <c r="F650" s="191"/>
      <c r="G650" s="190"/>
      <c r="H650" s="304"/>
      <c r="I650" s="202"/>
      <c r="J650" s="203"/>
      <c r="K650" s="305">
        <v>530000</v>
      </c>
      <c r="L650" s="189"/>
      <c r="M650" s="196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135"/>
      <c r="AU650" s="135"/>
    </row>
    <row r="651" spans="1:47" ht="23.25" customHeight="1" x14ac:dyDescent="0.2">
      <c r="A651" s="163">
        <v>156</v>
      </c>
      <c r="B651" s="164" t="s">
        <v>960</v>
      </c>
      <c r="C651" s="165"/>
      <c r="D651" s="166" t="s">
        <v>161</v>
      </c>
      <c r="E651" s="167"/>
      <c r="F651" s="167"/>
      <c r="G651" s="166"/>
      <c r="H651" s="301" t="s">
        <v>137</v>
      </c>
      <c r="I651" s="217" t="s">
        <v>961</v>
      </c>
      <c r="J651" s="220" t="s">
        <v>897</v>
      </c>
      <c r="K651" s="302">
        <f>K654*90%</f>
        <v>1260000</v>
      </c>
      <c r="L651" s="165" t="s">
        <v>164</v>
      </c>
      <c r="M651" s="172" t="s">
        <v>962</v>
      </c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  <c r="AJ651" s="135"/>
      <c r="AK651" s="135"/>
      <c r="AL651" s="135"/>
      <c r="AM651" s="135"/>
      <c r="AN651" s="135"/>
      <c r="AO651" s="135"/>
      <c r="AP651" s="135"/>
      <c r="AQ651" s="135"/>
      <c r="AR651" s="135"/>
      <c r="AS651" s="135"/>
      <c r="AT651" s="135"/>
      <c r="AU651" s="135"/>
    </row>
    <row r="652" spans="1:47" x14ac:dyDescent="0.2">
      <c r="A652" s="174"/>
      <c r="B652" s="175"/>
      <c r="C652" s="176"/>
      <c r="D652" s="177"/>
      <c r="E652" s="178"/>
      <c r="F652" s="178"/>
      <c r="G652" s="177"/>
      <c r="H652" s="303"/>
      <c r="I652" s="186" t="s">
        <v>963</v>
      </c>
      <c r="J652" s="206" t="s">
        <v>460</v>
      </c>
      <c r="K652" s="287">
        <f>K654*5%</f>
        <v>70000</v>
      </c>
      <c r="L652" s="176"/>
      <c r="M652" s="183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  <c r="AJ652" s="135"/>
      <c r="AK652" s="135"/>
      <c r="AL652" s="135"/>
      <c r="AM652" s="135"/>
      <c r="AN652" s="135"/>
      <c r="AO652" s="135"/>
      <c r="AP652" s="135"/>
      <c r="AQ652" s="135"/>
      <c r="AR652" s="135"/>
      <c r="AS652" s="135"/>
      <c r="AT652" s="135"/>
      <c r="AU652" s="135"/>
    </row>
    <row r="653" spans="1:47" x14ac:dyDescent="0.2">
      <c r="A653" s="174"/>
      <c r="B653" s="175"/>
      <c r="C653" s="176"/>
      <c r="D653" s="177"/>
      <c r="E653" s="178"/>
      <c r="F653" s="178"/>
      <c r="G653" s="177"/>
      <c r="H653" s="303"/>
      <c r="I653" s="186" t="s">
        <v>964</v>
      </c>
      <c r="J653" s="206" t="s">
        <v>460</v>
      </c>
      <c r="K653" s="287">
        <f>K654*5%</f>
        <v>70000</v>
      </c>
      <c r="L653" s="176"/>
      <c r="M653" s="183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  <c r="AJ653" s="135"/>
      <c r="AK653" s="135"/>
      <c r="AL653" s="135"/>
      <c r="AM653" s="135"/>
      <c r="AN653" s="135"/>
      <c r="AO653" s="135"/>
      <c r="AP653" s="135"/>
      <c r="AQ653" s="135"/>
      <c r="AR653" s="135"/>
      <c r="AS653" s="135"/>
      <c r="AT653" s="135"/>
      <c r="AU653" s="135"/>
    </row>
    <row r="654" spans="1:47" x14ac:dyDescent="0.2">
      <c r="A654" s="187"/>
      <c r="B654" s="188"/>
      <c r="C654" s="189"/>
      <c r="D654" s="190"/>
      <c r="E654" s="191"/>
      <c r="F654" s="191"/>
      <c r="G654" s="190"/>
      <c r="H654" s="304"/>
      <c r="I654" s="202"/>
      <c r="J654" s="203"/>
      <c r="K654" s="305">
        <v>1400000</v>
      </c>
      <c r="L654" s="189"/>
      <c r="M654" s="196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135"/>
      <c r="AU654" s="135"/>
    </row>
    <row r="655" spans="1:47" ht="24" customHeight="1" x14ac:dyDescent="0.2">
      <c r="A655" s="163">
        <v>157</v>
      </c>
      <c r="B655" s="164" t="s">
        <v>965</v>
      </c>
      <c r="C655" s="165"/>
      <c r="D655" s="166" t="s">
        <v>161</v>
      </c>
      <c r="E655" s="167"/>
      <c r="F655" s="167"/>
      <c r="G655" s="166"/>
      <c r="H655" s="301"/>
      <c r="I655" s="217" t="s">
        <v>966</v>
      </c>
      <c r="J655" s="220" t="s">
        <v>897</v>
      </c>
      <c r="K655" s="302">
        <f>K659*85%</f>
        <v>459595</v>
      </c>
      <c r="L655" s="165" t="s">
        <v>164</v>
      </c>
      <c r="M655" s="172" t="s">
        <v>967</v>
      </c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  <c r="AU655" s="135"/>
    </row>
    <row r="656" spans="1:47" x14ac:dyDescent="0.2">
      <c r="A656" s="174"/>
      <c r="B656" s="175"/>
      <c r="C656" s="176"/>
      <c r="D656" s="177"/>
      <c r="E656" s="178"/>
      <c r="F656" s="178"/>
      <c r="G656" s="177"/>
      <c r="H656" s="303"/>
      <c r="I656" s="186" t="s">
        <v>968</v>
      </c>
      <c r="J656" s="206" t="s">
        <v>552</v>
      </c>
      <c r="K656" s="287">
        <f>K659*5%</f>
        <v>27035</v>
      </c>
      <c r="L656" s="176"/>
      <c r="M656" s="183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135"/>
      <c r="AU656" s="135"/>
    </row>
    <row r="657" spans="1:47" x14ac:dyDescent="0.2">
      <c r="A657" s="174"/>
      <c r="B657" s="175"/>
      <c r="C657" s="176"/>
      <c r="D657" s="177"/>
      <c r="E657" s="178"/>
      <c r="F657" s="178"/>
      <c r="G657" s="177"/>
      <c r="H657" s="303"/>
      <c r="I657" s="186" t="s">
        <v>969</v>
      </c>
      <c r="J657" s="206" t="s">
        <v>453</v>
      </c>
      <c r="K657" s="287">
        <f>K659*5%</f>
        <v>27035</v>
      </c>
      <c r="L657" s="176"/>
      <c r="M657" s="183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  <c r="AQ657" s="135"/>
      <c r="AR657" s="135"/>
      <c r="AS657" s="135"/>
      <c r="AT657" s="135"/>
      <c r="AU657" s="135"/>
    </row>
    <row r="658" spans="1:47" ht="48" x14ac:dyDescent="0.2">
      <c r="A658" s="174"/>
      <c r="B658" s="175"/>
      <c r="C658" s="176"/>
      <c r="D658" s="177"/>
      <c r="E658" s="178"/>
      <c r="F658" s="178"/>
      <c r="G658" s="177"/>
      <c r="H658" s="303"/>
      <c r="I658" s="186" t="s">
        <v>970</v>
      </c>
      <c r="J658" s="206" t="s">
        <v>453</v>
      </c>
      <c r="K658" s="287">
        <f>K659*5%</f>
        <v>27035</v>
      </c>
      <c r="L658" s="176"/>
      <c r="M658" s="183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135"/>
      <c r="AU658" s="135"/>
    </row>
    <row r="659" spans="1:47" x14ac:dyDescent="0.2">
      <c r="A659" s="187"/>
      <c r="B659" s="188"/>
      <c r="C659" s="189"/>
      <c r="D659" s="190"/>
      <c r="E659" s="191"/>
      <c r="F659" s="191"/>
      <c r="G659" s="190"/>
      <c r="H659" s="304"/>
      <c r="I659" s="202"/>
      <c r="J659" s="203"/>
      <c r="K659" s="305">
        <v>540700</v>
      </c>
      <c r="L659" s="189"/>
      <c r="M659" s="196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  <c r="AJ659" s="135"/>
      <c r="AK659" s="135"/>
      <c r="AL659" s="135"/>
      <c r="AM659" s="135"/>
      <c r="AN659" s="135"/>
      <c r="AO659" s="135"/>
      <c r="AP659" s="135"/>
      <c r="AQ659" s="135"/>
      <c r="AR659" s="135"/>
      <c r="AS659" s="135"/>
      <c r="AT659" s="135"/>
      <c r="AU659" s="135"/>
    </row>
    <row r="660" spans="1:47" ht="25.5" customHeight="1" x14ac:dyDescent="0.2">
      <c r="A660" s="163">
        <v>158</v>
      </c>
      <c r="B660" s="164" t="s">
        <v>971</v>
      </c>
      <c r="C660" s="165"/>
      <c r="D660" s="166" t="s">
        <v>161</v>
      </c>
      <c r="E660" s="167"/>
      <c r="F660" s="167"/>
      <c r="G660" s="166"/>
      <c r="H660" s="301" t="s">
        <v>743</v>
      </c>
      <c r="I660" s="217" t="s">
        <v>972</v>
      </c>
      <c r="J660" s="220" t="s">
        <v>897</v>
      </c>
      <c r="K660" s="302">
        <f>K664*60%</f>
        <v>444420</v>
      </c>
      <c r="L660" s="165" t="s">
        <v>164</v>
      </c>
      <c r="M660" s="276" t="s">
        <v>973</v>
      </c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135"/>
      <c r="AU660" s="135"/>
    </row>
    <row r="661" spans="1:47" x14ac:dyDescent="0.2">
      <c r="A661" s="174"/>
      <c r="B661" s="175"/>
      <c r="C661" s="176"/>
      <c r="D661" s="177"/>
      <c r="E661" s="178"/>
      <c r="F661" s="178"/>
      <c r="G661" s="177"/>
      <c r="H661" s="303"/>
      <c r="I661" s="186" t="s">
        <v>974</v>
      </c>
      <c r="J661" s="206" t="s">
        <v>460</v>
      </c>
      <c r="K661" s="287">
        <f>K664*10%</f>
        <v>74070</v>
      </c>
      <c r="L661" s="176"/>
      <c r="M661" s="282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  <c r="AF661" s="135"/>
      <c r="AG661" s="135"/>
      <c r="AH661" s="135"/>
      <c r="AI661" s="135"/>
      <c r="AJ661" s="135"/>
      <c r="AK661" s="135"/>
      <c r="AL661" s="135"/>
      <c r="AM661" s="135"/>
      <c r="AN661" s="135"/>
      <c r="AO661" s="135"/>
      <c r="AP661" s="135"/>
      <c r="AQ661" s="135"/>
      <c r="AR661" s="135"/>
      <c r="AS661" s="135"/>
      <c r="AT661" s="135"/>
      <c r="AU661" s="135"/>
    </row>
    <row r="662" spans="1:47" x14ac:dyDescent="0.2">
      <c r="A662" s="174"/>
      <c r="B662" s="175"/>
      <c r="C662" s="176"/>
      <c r="D662" s="177"/>
      <c r="E662" s="178"/>
      <c r="F662" s="178"/>
      <c r="G662" s="177"/>
      <c r="H662" s="303"/>
      <c r="I662" s="186" t="s">
        <v>975</v>
      </c>
      <c r="J662" s="206" t="s">
        <v>453</v>
      </c>
      <c r="K662" s="287">
        <f>K664*10%</f>
        <v>74070</v>
      </c>
      <c r="L662" s="176"/>
      <c r="M662" s="282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  <c r="AJ662" s="135"/>
      <c r="AK662" s="135"/>
      <c r="AL662" s="135"/>
      <c r="AM662" s="135"/>
      <c r="AN662" s="135"/>
      <c r="AO662" s="135"/>
      <c r="AP662" s="135"/>
      <c r="AQ662" s="135"/>
      <c r="AR662" s="135"/>
      <c r="AS662" s="135"/>
      <c r="AT662" s="135"/>
      <c r="AU662" s="135"/>
    </row>
    <row r="663" spans="1:47" x14ac:dyDescent="0.2">
      <c r="A663" s="174"/>
      <c r="B663" s="175"/>
      <c r="C663" s="176"/>
      <c r="D663" s="177"/>
      <c r="E663" s="178"/>
      <c r="F663" s="178"/>
      <c r="G663" s="177"/>
      <c r="H663" s="303"/>
      <c r="I663" s="186" t="s">
        <v>976</v>
      </c>
      <c r="J663" s="206" t="s">
        <v>379</v>
      </c>
      <c r="K663" s="287">
        <f>K664*10%</f>
        <v>74070</v>
      </c>
      <c r="L663" s="176"/>
      <c r="M663" s="282"/>
      <c r="N663" s="173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  <c r="AI663" s="135"/>
      <c r="AJ663" s="135"/>
      <c r="AK663" s="135"/>
      <c r="AL663" s="135"/>
      <c r="AM663" s="135"/>
      <c r="AN663" s="135"/>
      <c r="AO663" s="135"/>
      <c r="AP663" s="135"/>
      <c r="AQ663" s="135"/>
      <c r="AR663" s="135"/>
      <c r="AS663" s="135"/>
      <c r="AT663" s="135"/>
      <c r="AU663" s="135"/>
    </row>
    <row r="664" spans="1:47" x14ac:dyDescent="0.2">
      <c r="A664" s="187"/>
      <c r="B664" s="188"/>
      <c r="C664" s="189"/>
      <c r="D664" s="190"/>
      <c r="E664" s="191"/>
      <c r="F664" s="191"/>
      <c r="G664" s="190"/>
      <c r="H664" s="304"/>
      <c r="I664" s="202"/>
      <c r="J664" s="203"/>
      <c r="K664" s="305">
        <v>740700</v>
      </c>
      <c r="L664" s="189"/>
      <c r="M664" s="3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  <c r="AJ664" s="135"/>
      <c r="AK664" s="135"/>
      <c r="AL664" s="135"/>
      <c r="AM664" s="135"/>
      <c r="AN664" s="135"/>
      <c r="AO664" s="135"/>
      <c r="AP664" s="135"/>
      <c r="AQ664" s="135"/>
      <c r="AR664" s="135"/>
      <c r="AS664" s="135"/>
      <c r="AT664" s="135"/>
      <c r="AU664" s="135"/>
    </row>
    <row r="665" spans="1:47" ht="23.25" customHeight="1" x14ac:dyDescent="0.2">
      <c r="A665" s="163">
        <v>159</v>
      </c>
      <c r="B665" s="164" t="s">
        <v>977</v>
      </c>
      <c r="C665" s="165"/>
      <c r="D665" s="166" t="s">
        <v>161</v>
      </c>
      <c r="E665" s="167"/>
      <c r="F665" s="167"/>
      <c r="G665" s="166"/>
      <c r="H665" s="301" t="s">
        <v>878</v>
      </c>
      <c r="I665" s="217" t="s">
        <v>978</v>
      </c>
      <c r="J665" s="220" t="s">
        <v>897</v>
      </c>
      <c r="K665" s="302">
        <f>K670*60%</f>
        <v>390000</v>
      </c>
      <c r="L665" s="165" t="s">
        <v>164</v>
      </c>
      <c r="M665" s="172" t="s">
        <v>979</v>
      </c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135"/>
      <c r="AU665" s="135"/>
    </row>
    <row r="666" spans="1:47" ht="48" x14ac:dyDescent="0.2">
      <c r="A666" s="174"/>
      <c r="B666" s="175"/>
      <c r="C666" s="176"/>
      <c r="D666" s="177"/>
      <c r="E666" s="178"/>
      <c r="F666" s="178"/>
      <c r="G666" s="177"/>
      <c r="H666" s="303"/>
      <c r="I666" s="186" t="s">
        <v>980</v>
      </c>
      <c r="J666" s="206" t="s">
        <v>460</v>
      </c>
      <c r="K666" s="287">
        <f>K670*10%</f>
        <v>65000</v>
      </c>
      <c r="L666" s="176"/>
      <c r="M666" s="183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/>
      <c r="AP666" s="135"/>
      <c r="AQ666" s="135"/>
      <c r="AR666" s="135"/>
      <c r="AS666" s="135"/>
      <c r="AT666" s="135"/>
      <c r="AU666" s="135"/>
    </row>
    <row r="667" spans="1:47" x14ac:dyDescent="0.2">
      <c r="A667" s="174"/>
      <c r="B667" s="175"/>
      <c r="C667" s="176"/>
      <c r="D667" s="177"/>
      <c r="E667" s="178"/>
      <c r="F667" s="178"/>
      <c r="G667" s="177"/>
      <c r="H667" s="303"/>
      <c r="I667" s="186" t="s">
        <v>981</v>
      </c>
      <c r="J667" s="206" t="s">
        <v>460</v>
      </c>
      <c r="K667" s="287">
        <f>K670*10%</f>
        <v>65000</v>
      </c>
      <c r="L667" s="176"/>
      <c r="M667" s="183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  <c r="AJ667" s="135"/>
      <c r="AK667" s="135"/>
      <c r="AL667" s="135"/>
      <c r="AM667" s="135"/>
      <c r="AN667" s="135"/>
      <c r="AO667" s="135"/>
      <c r="AP667" s="135"/>
      <c r="AQ667" s="135"/>
      <c r="AR667" s="135"/>
      <c r="AS667" s="135"/>
      <c r="AT667" s="135"/>
      <c r="AU667" s="135"/>
    </row>
    <row r="668" spans="1:47" x14ac:dyDescent="0.2">
      <c r="A668" s="174"/>
      <c r="B668" s="175"/>
      <c r="C668" s="176"/>
      <c r="D668" s="177"/>
      <c r="E668" s="178"/>
      <c r="F668" s="178"/>
      <c r="G668" s="177"/>
      <c r="H668" s="303"/>
      <c r="I668" s="186" t="s">
        <v>975</v>
      </c>
      <c r="J668" s="206" t="s">
        <v>453</v>
      </c>
      <c r="K668" s="287">
        <f>K670*10%</f>
        <v>65000</v>
      </c>
      <c r="L668" s="176"/>
      <c r="M668" s="183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  <c r="AJ668" s="135"/>
      <c r="AK668" s="135"/>
      <c r="AL668" s="135"/>
      <c r="AM668" s="135"/>
      <c r="AN668" s="135"/>
      <c r="AO668" s="135"/>
      <c r="AP668" s="135"/>
      <c r="AQ668" s="135"/>
      <c r="AR668" s="135"/>
      <c r="AS668" s="135"/>
      <c r="AT668" s="135"/>
      <c r="AU668" s="135"/>
    </row>
    <row r="669" spans="1:47" x14ac:dyDescent="0.2">
      <c r="A669" s="174"/>
      <c r="B669" s="175"/>
      <c r="C669" s="176"/>
      <c r="D669" s="177"/>
      <c r="E669" s="178"/>
      <c r="F669" s="178"/>
      <c r="G669" s="177"/>
      <c r="H669" s="303"/>
      <c r="I669" s="186" t="s">
        <v>982</v>
      </c>
      <c r="J669" s="206" t="s">
        <v>460</v>
      </c>
      <c r="K669" s="287">
        <f>K670*10%</f>
        <v>65000</v>
      </c>
      <c r="L669" s="176"/>
      <c r="M669" s="183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  <c r="AF669" s="135"/>
      <c r="AG669" s="135"/>
      <c r="AH669" s="135"/>
      <c r="AI669" s="135"/>
      <c r="AJ669" s="135"/>
      <c r="AK669" s="135"/>
      <c r="AL669" s="135"/>
      <c r="AM669" s="135"/>
      <c r="AN669" s="135"/>
      <c r="AO669" s="135"/>
      <c r="AP669" s="135"/>
      <c r="AQ669" s="135"/>
      <c r="AR669" s="135"/>
      <c r="AS669" s="135"/>
      <c r="AT669" s="135"/>
      <c r="AU669" s="135"/>
    </row>
    <row r="670" spans="1:47" x14ac:dyDescent="0.2">
      <c r="A670" s="187"/>
      <c r="B670" s="188"/>
      <c r="C670" s="189"/>
      <c r="D670" s="190"/>
      <c r="E670" s="191"/>
      <c r="F670" s="191"/>
      <c r="G670" s="190"/>
      <c r="H670" s="304"/>
      <c r="I670" s="202"/>
      <c r="J670" s="203"/>
      <c r="K670" s="305">
        <v>650000</v>
      </c>
      <c r="L670" s="189"/>
      <c r="M670" s="196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  <c r="AJ670" s="135"/>
      <c r="AK670" s="135"/>
      <c r="AL670" s="135"/>
      <c r="AM670" s="135"/>
      <c r="AN670" s="135"/>
      <c r="AO670" s="135"/>
      <c r="AP670" s="135"/>
      <c r="AQ670" s="135"/>
      <c r="AR670" s="135"/>
      <c r="AS670" s="135"/>
      <c r="AT670" s="135"/>
      <c r="AU670" s="135"/>
    </row>
    <row r="671" spans="1:47" ht="24" customHeight="1" x14ac:dyDescent="0.2">
      <c r="A671" s="163">
        <v>160</v>
      </c>
      <c r="B671" s="164" t="s">
        <v>983</v>
      </c>
      <c r="C671" s="165"/>
      <c r="D671" s="166" t="s">
        <v>161</v>
      </c>
      <c r="E671" s="167"/>
      <c r="F671" s="167"/>
      <c r="G671" s="166"/>
      <c r="H671" s="301" t="s">
        <v>743</v>
      </c>
      <c r="I671" s="217" t="s">
        <v>984</v>
      </c>
      <c r="J671" s="220" t="s">
        <v>897</v>
      </c>
      <c r="K671" s="278">
        <f>K676*50%</f>
        <v>325000</v>
      </c>
      <c r="L671" s="165" t="s">
        <v>164</v>
      </c>
      <c r="M671" s="172" t="s">
        <v>985</v>
      </c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  <c r="AJ671" s="135"/>
      <c r="AK671" s="135"/>
      <c r="AL671" s="135"/>
      <c r="AM671" s="135"/>
      <c r="AN671" s="135"/>
      <c r="AO671" s="135"/>
      <c r="AP671" s="135"/>
      <c r="AQ671" s="135"/>
      <c r="AR671" s="135"/>
      <c r="AS671" s="135"/>
      <c r="AT671" s="135"/>
      <c r="AU671" s="135"/>
    </row>
    <row r="672" spans="1:47" ht="48" x14ac:dyDescent="0.2">
      <c r="A672" s="174"/>
      <c r="B672" s="175"/>
      <c r="C672" s="176"/>
      <c r="D672" s="177"/>
      <c r="E672" s="178"/>
      <c r="F672" s="178"/>
      <c r="G672" s="177"/>
      <c r="H672" s="303"/>
      <c r="I672" s="186" t="s">
        <v>986</v>
      </c>
      <c r="J672" s="206" t="s">
        <v>460</v>
      </c>
      <c r="K672" s="213">
        <f>K676*20%</f>
        <v>130000</v>
      </c>
      <c r="L672" s="176"/>
      <c r="M672" s="183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  <c r="AJ672" s="135"/>
      <c r="AK672" s="135"/>
      <c r="AL672" s="135"/>
      <c r="AM672" s="135"/>
      <c r="AN672" s="135"/>
      <c r="AO672" s="135"/>
      <c r="AP672" s="135"/>
      <c r="AQ672" s="135"/>
      <c r="AR672" s="135"/>
      <c r="AS672" s="135"/>
      <c r="AT672" s="135"/>
      <c r="AU672" s="135"/>
    </row>
    <row r="673" spans="1:47" x14ac:dyDescent="0.2">
      <c r="A673" s="174"/>
      <c r="B673" s="175"/>
      <c r="C673" s="176"/>
      <c r="D673" s="177"/>
      <c r="E673" s="178"/>
      <c r="F673" s="178"/>
      <c r="G673" s="177"/>
      <c r="H673" s="303"/>
      <c r="I673" s="186" t="s">
        <v>516</v>
      </c>
      <c r="J673" s="206" t="s">
        <v>453</v>
      </c>
      <c r="K673" s="213">
        <f>K676*10%</f>
        <v>65000</v>
      </c>
      <c r="L673" s="176"/>
      <c r="M673" s="183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  <c r="AF673" s="135"/>
      <c r="AG673" s="135"/>
      <c r="AH673" s="135"/>
      <c r="AI673" s="135"/>
      <c r="AJ673" s="135"/>
      <c r="AK673" s="135"/>
      <c r="AL673" s="135"/>
      <c r="AM673" s="135"/>
      <c r="AN673" s="135"/>
      <c r="AO673" s="135"/>
      <c r="AP673" s="135"/>
      <c r="AQ673" s="135"/>
      <c r="AR673" s="135"/>
      <c r="AS673" s="135"/>
      <c r="AT673" s="135"/>
      <c r="AU673" s="135"/>
    </row>
    <row r="674" spans="1:47" x14ac:dyDescent="0.2">
      <c r="A674" s="174"/>
      <c r="B674" s="175"/>
      <c r="C674" s="176"/>
      <c r="D674" s="177"/>
      <c r="E674" s="178"/>
      <c r="F674" s="178"/>
      <c r="G674" s="177"/>
      <c r="H674" s="303"/>
      <c r="I674" s="186" t="s">
        <v>987</v>
      </c>
      <c r="J674" s="206" t="s">
        <v>117</v>
      </c>
      <c r="K674" s="213">
        <f>K676*10%</f>
        <v>65000</v>
      </c>
      <c r="L674" s="176"/>
      <c r="M674" s="183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  <c r="AJ674" s="135"/>
      <c r="AK674" s="135"/>
      <c r="AL674" s="135"/>
      <c r="AM674" s="135"/>
      <c r="AN674" s="135"/>
      <c r="AO674" s="135"/>
      <c r="AP674" s="135"/>
      <c r="AQ674" s="135"/>
      <c r="AR674" s="135"/>
      <c r="AS674" s="135"/>
      <c r="AT674" s="135"/>
      <c r="AU674" s="135"/>
    </row>
    <row r="675" spans="1:47" x14ac:dyDescent="0.2">
      <c r="A675" s="174"/>
      <c r="B675" s="175"/>
      <c r="C675" s="176"/>
      <c r="D675" s="177"/>
      <c r="E675" s="178"/>
      <c r="F675" s="178"/>
      <c r="G675" s="177"/>
      <c r="H675" s="303"/>
      <c r="I675" s="186" t="s">
        <v>988</v>
      </c>
      <c r="J675" s="206" t="s">
        <v>460</v>
      </c>
      <c r="K675" s="213">
        <f>K676*10%</f>
        <v>65000</v>
      </c>
      <c r="L675" s="176"/>
      <c r="M675" s="183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  <c r="AF675" s="135"/>
      <c r="AG675" s="135"/>
      <c r="AH675" s="135"/>
      <c r="AI675" s="135"/>
      <c r="AJ675" s="135"/>
      <c r="AK675" s="135"/>
      <c r="AL675" s="135"/>
      <c r="AM675" s="135"/>
      <c r="AN675" s="135"/>
      <c r="AO675" s="135"/>
      <c r="AP675" s="135"/>
      <c r="AQ675" s="135"/>
      <c r="AR675" s="135"/>
      <c r="AS675" s="135"/>
      <c r="AT675" s="135"/>
      <c r="AU675" s="135"/>
    </row>
    <row r="676" spans="1:47" x14ac:dyDescent="0.2">
      <c r="A676" s="187"/>
      <c r="B676" s="188"/>
      <c r="C676" s="189"/>
      <c r="D676" s="190"/>
      <c r="E676" s="191"/>
      <c r="F676" s="191"/>
      <c r="G676" s="190"/>
      <c r="H676" s="304"/>
      <c r="I676" s="202"/>
      <c r="J676" s="203"/>
      <c r="K676" s="319">
        <v>650000</v>
      </c>
      <c r="L676" s="189"/>
      <c r="M676" s="196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135"/>
      <c r="AU676" s="135"/>
    </row>
    <row r="677" spans="1:47" ht="24" customHeight="1" x14ac:dyDescent="0.2">
      <c r="A677" s="163">
        <v>161</v>
      </c>
      <c r="B677" s="164" t="s">
        <v>989</v>
      </c>
      <c r="C677" s="165"/>
      <c r="D677" s="166" t="s">
        <v>161</v>
      </c>
      <c r="E677" s="167"/>
      <c r="F677" s="167"/>
      <c r="G677" s="166"/>
      <c r="H677" s="301" t="s">
        <v>743</v>
      </c>
      <c r="I677" s="217" t="s">
        <v>990</v>
      </c>
      <c r="J677" s="220" t="s">
        <v>897</v>
      </c>
      <c r="K677" s="307">
        <f>K681*70%</f>
        <v>140000</v>
      </c>
      <c r="L677" s="165" t="s">
        <v>164</v>
      </c>
      <c r="M677" s="172" t="s">
        <v>991</v>
      </c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  <c r="AJ677" s="135"/>
      <c r="AK677" s="135"/>
      <c r="AL677" s="135"/>
      <c r="AM677" s="135"/>
      <c r="AN677" s="135"/>
      <c r="AO677" s="135"/>
      <c r="AP677" s="135"/>
      <c r="AQ677" s="135"/>
      <c r="AR677" s="135"/>
      <c r="AS677" s="135"/>
      <c r="AT677" s="135"/>
      <c r="AU677" s="135"/>
    </row>
    <row r="678" spans="1:47" ht="48" x14ac:dyDescent="0.2">
      <c r="A678" s="174"/>
      <c r="B678" s="175"/>
      <c r="C678" s="176"/>
      <c r="D678" s="177"/>
      <c r="E678" s="178"/>
      <c r="F678" s="178"/>
      <c r="G678" s="177"/>
      <c r="H678" s="303"/>
      <c r="I678" s="186" t="s">
        <v>980</v>
      </c>
      <c r="J678" s="206" t="s">
        <v>460</v>
      </c>
      <c r="K678" s="287">
        <f>K681*10%</f>
        <v>20000</v>
      </c>
      <c r="L678" s="176"/>
      <c r="M678" s="183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  <c r="AJ678" s="135"/>
      <c r="AK678" s="135"/>
      <c r="AL678" s="135"/>
      <c r="AM678" s="135"/>
      <c r="AN678" s="135"/>
      <c r="AO678" s="135"/>
      <c r="AP678" s="135"/>
      <c r="AQ678" s="135"/>
      <c r="AR678" s="135"/>
      <c r="AS678" s="135"/>
      <c r="AT678" s="135"/>
      <c r="AU678" s="135"/>
    </row>
    <row r="679" spans="1:47" x14ac:dyDescent="0.2">
      <c r="A679" s="174"/>
      <c r="B679" s="175"/>
      <c r="C679" s="176"/>
      <c r="D679" s="177"/>
      <c r="E679" s="178"/>
      <c r="F679" s="178"/>
      <c r="G679" s="177"/>
      <c r="H679" s="303"/>
      <c r="I679" s="186" t="s">
        <v>992</v>
      </c>
      <c r="J679" s="206" t="s">
        <v>460</v>
      </c>
      <c r="K679" s="287">
        <f>K681*10%</f>
        <v>20000</v>
      </c>
      <c r="L679" s="176"/>
      <c r="M679" s="183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  <c r="AJ679" s="135"/>
      <c r="AK679" s="135"/>
      <c r="AL679" s="135"/>
      <c r="AM679" s="135"/>
      <c r="AN679" s="135"/>
      <c r="AO679" s="135"/>
      <c r="AP679" s="135"/>
      <c r="AQ679" s="135"/>
      <c r="AR679" s="135"/>
      <c r="AS679" s="135"/>
      <c r="AT679" s="135"/>
      <c r="AU679" s="135"/>
    </row>
    <row r="680" spans="1:47" x14ac:dyDescent="0.2">
      <c r="A680" s="174"/>
      <c r="B680" s="175"/>
      <c r="C680" s="176"/>
      <c r="D680" s="177"/>
      <c r="E680" s="178"/>
      <c r="F680" s="178"/>
      <c r="G680" s="177"/>
      <c r="H680" s="303"/>
      <c r="I680" s="186" t="s">
        <v>993</v>
      </c>
      <c r="J680" s="206" t="s">
        <v>460</v>
      </c>
      <c r="K680" s="287">
        <f>K681*10%</f>
        <v>20000</v>
      </c>
      <c r="L680" s="176"/>
      <c r="M680" s="183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135"/>
      <c r="AU680" s="135"/>
    </row>
    <row r="681" spans="1:47" x14ac:dyDescent="0.2">
      <c r="A681" s="187"/>
      <c r="B681" s="188"/>
      <c r="C681" s="189"/>
      <c r="D681" s="190"/>
      <c r="E681" s="191"/>
      <c r="F681" s="191"/>
      <c r="G681" s="190"/>
      <c r="H681" s="304"/>
      <c r="I681" s="202"/>
      <c r="J681" s="203"/>
      <c r="K681" s="287">
        <v>200000</v>
      </c>
      <c r="L681" s="189"/>
      <c r="M681" s="196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  <c r="AJ681" s="135"/>
      <c r="AK681" s="135"/>
      <c r="AL681" s="135"/>
      <c r="AM681" s="135"/>
      <c r="AN681" s="135"/>
      <c r="AO681" s="135"/>
      <c r="AP681" s="135"/>
      <c r="AQ681" s="135"/>
      <c r="AR681" s="135"/>
      <c r="AS681" s="135"/>
      <c r="AT681" s="135"/>
      <c r="AU681" s="135"/>
    </row>
    <row r="682" spans="1:47" ht="21" customHeight="1" x14ac:dyDescent="0.2">
      <c r="A682" s="163">
        <v>162</v>
      </c>
      <c r="B682" s="164" t="s">
        <v>994</v>
      </c>
      <c r="C682" s="165"/>
      <c r="D682" s="166" t="s">
        <v>161</v>
      </c>
      <c r="E682" s="167"/>
      <c r="F682" s="167"/>
      <c r="G682" s="166"/>
      <c r="H682" s="301" t="s">
        <v>878</v>
      </c>
      <c r="I682" s="217" t="s">
        <v>995</v>
      </c>
      <c r="J682" s="220" t="s">
        <v>897</v>
      </c>
      <c r="K682" s="287">
        <f>K688*75%</f>
        <v>69225</v>
      </c>
      <c r="L682" s="165" t="s">
        <v>164</v>
      </c>
      <c r="M682" s="172" t="s">
        <v>996</v>
      </c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135"/>
      <c r="AU682" s="135"/>
    </row>
    <row r="683" spans="1:47" x14ac:dyDescent="0.2">
      <c r="A683" s="174"/>
      <c r="B683" s="175"/>
      <c r="C683" s="176"/>
      <c r="D683" s="177"/>
      <c r="E683" s="178"/>
      <c r="F683" s="178"/>
      <c r="G683" s="177"/>
      <c r="H683" s="303"/>
      <c r="I683" s="186" t="s">
        <v>486</v>
      </c>
      <c r="J683" s="206" t="s">
        <v>453</v>
      </c>
      <c r="K683" s="287">
        <f>K688*5%</f>
        <v>4615</v>
      </c>
      <c r="L683" s="176"/>
      <c r="M683" s="183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  <c r="AJ683" s="135"/>
      <c r="AK683" s="135"/>
      <c r="AL683" s="135"/>
      <c r="AM683" s="135"/>
      <c r="AN683" s="135"/>
      <c r="AO683" s="135"/>
      <c r="AP683" s="135"/>
      <c r="AQ683" s="135"/>
      <c r="AR683" s="135"/>
      <c r="AS683" s="135"/>
      <c r="AT683" s="135"/>
      <c r="AU683" s="135"/>
    </row>
    <row r="684" spans="1:47" x14ac:dyDescent="0.2">
      <c r="A684" s="174"/>
      <c r="B684" s="175"/>
      <c r="C684" s="176"/>
      <c r="D684" s="177"/>
      <c r="E684" s="178"/>
      <c r="F684" s="178"/>
      <c r="G684" s="177"/>
      <c r="H684" s="303"/>
      <c r="I684" s="186" t="s">
        <v>997</v>
      </c>
      <c r="J684" s="206" t="s">
        <v>460</v>
      </c>
      <c r="K684" s="287">
        <f>K688*5%</f>
        <v>4615</v>
      </c>
      <c r="L684" s="176"/>
      <c r="M684" s="183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135"/>
      <c r="AU684" s="135"/>
    </row>
    <row r="685" spans="1:47" x14ac:dyDescent="0.2">
      <c r="A685" s="174"/>
      <c r="B685" s="175"/>
      <c r="C685" s="176"/>
      <c r="D685" s="177"/>
      <c r="E685" s="178"/>
      <c r="F685" s="178"/>
      <c r="G685" s="177"/>
      <c r="H685" s="303"/>
      <c r="I685" s="186" t="s">
        <v>998</v>
      </c>
      <c r="J685" s="206" t="s">
        <v>460</v>
      </c>
      <c r="K685" s="287">
        <f>K688*5%</f>
        <v>4615</v>
      </c>
      <c r="L685" s="176"/>
      <c r="M685" s="183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135"/>
      <c r="AU685" s="135"/>
    </row>
    <row r="686" spans="1:47" x14ac:dyDescent="0.2">
      <c r="A686" s="174"/>
      <c r="B686" s="175"/>
      <c r="C686" s="176"/>
      <c r="D686" s="177"/>
      <c r="E686" s="178"/>
      <c r="F686" s="178"/>
      <c r="G686" s="177"/>
      <c r="H686" s="303"/>
      <c r="I686" s="186" t="s">
        <v>999</v>
      </c>
      <c r="J686" s="206" t="s">
        <v>117</v>
      </c>
      <c r="K686" s="287">
        <f>K688*5%</f>
        <v>4615</v>
      </c>
      <c r="L686" s="176"/>
      <c r="M686" s="183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  <c r="AU686" s="135"/>
    </row>
    <row r="687" spans="1:47" x14ac:dyDescent="0.2">
      <c r="A687" s="174"/>
      <c r="B687" s="175"/>
      <c r="C687" s="176"/>
      <c r="D687" s="177"/>
      <c r="E687" s="178"/>
      <c r="F687" s="178"/>
      <c r="G687" s="177"/>
      <c r="H687" s="303"/>
      <c r="I687" s="186" t="s">
        <v>1000</v>
      </c>
      <c r="J687" s="206" t="s">
        <v>460</v>
      </c>
      <c r="K687" s="287">
        <f>K693*5%</f>
        <v>4615</v>
      </c>
      <c r="L687" s="176"/>
      <c r="M687" s="183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  <c r="AJ687" s="135"/>
      <c r="AK687" s="135"/>
      <c r="AL687" s="135"/>
      <c r="AM687" s="135"/>
      <c r="AN687" s="135"/>
      <c r="AO687" s="135"/>
      <c r="AP687" s="135"/>
      <c r="AQ687" s="135"/>
      <c r="AR687" s="135"/>
      <c r="AS687" s="135"/>
      <c r="AT687" s="135"/>
      <c r="AU687" s="135"/>
    </row>
    <row r="688" spans="1:47" x14ac:dyDescent="0.2">
      <c r="A688" s="187"/>
      <c r="B688" s="188"/>
      <c r="C688" s="189"/>
      <c r="D688" s="190"/>
      <c r="E688" s="191"/>
      <c r="F688" s="191"/>
      <c r="G688" s="190"/>
      <c r="H688" s="304"/>
      <c r="I688" s="202"/>
      <c r="J688" s="203"/>
      <c r="K688" s="295">
        <v>92300</v>
      </c>
      <c r="L688" s="189"/>
      <c r="M688" s="196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135"/>
      <c r="AU688" s="135"/>
    </row>
    <row r="689" spans="1:47" ht="23.25" customHeight="1" x14ac:dyDescent="0.2">
      <c r="A689" s="163">
        <v>163</v>
      </c>
      <c r="B689" s="164" t="s">
        <v>1001</v>
      </c>
      <c r="C689" s="165"/>
      <c r="D689" s="166" t="s">
        <v>161</v>
      </c>
      <c r="E689" s="167"/>
      <c r="F689" s="167"/>
      <c r="G689" s="166"/>
      <c r="H689" s="301" t="s">
        <v>108</v>
      </c>
      <c r="I689" s="217" t="s">
        <v>1002</v>
      </c>
      <c r="J689" s="220" t="s">
        <v>897</v>
      </c>
      <c r="K689" s="302">
        <f>K693*60%</f>
        <v>55380</v>
      </c>
      <c r="L689" s="165" t="s">
        <v>164</v>
      </c>
      <c r="M689" s="172" t="s">
        <v>1003</v>
      </c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  <c r="AJ689" s="135"/>
      <c r="AK689" s="135"/>
      <c r="AL689" s="135"/>
      <c r="AM689" s="135"/>
      <c r="AN689" s="135"/>
      <c r="AO689" s="135"/>
      <c r="AP689" s="135"/>
      <c r="AQ689" s="135"/>
      <c r="AR689" s="135"/>
      <c r="AS689" s="135"/>
      <c r="AT689" s="135"/>
      <c r="AU689" s="135"/>
    </row>
    <row r="690" spans="1:47" x14ac:dyDescent="0.2">
      <c r="A690" s="174"/>
      <c r="B690" s="175"/>
      <c r="C690" s="176"/>
      <c r="D690" s="177"/>
      <c r="E690" s="178"/>
      <c r="F690" s="178"/>
      <c r="G690" s="177"/>
      <c r="H690" s="303"/>
      <c r="I690" s="186" t="s">
        <v>1004</v>
      </c>
      <c r="J690" s="206" t="s">
        <v>379</v>
      </c>
      <c r="K690" s="287">
        <f>K693*25%</f>
        <v>23075</v>
      </c>
      <c r="L690" s="176"/>
      <c r="M690" s="183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/>
      <c r="AP690" s="135"/>
      <c r="AQ690" s="135"/>
      <c r="AR690" s="135"/>
      <c r="AS690" s="135"/>
      <c r="AT690" s="135"/>
      <c r="AU690" s="135"/>
    </row>
    <row r="691" spans="1:47" x14ac:dyDescent="0.2">
      <c r="A691" s="174"/>
      <c r="B691" s="175"/>
      <c r="C691" s="176"/>
      <c r="D691" s="177"/>
      <c r="E691" s="178"/>
      <c r="F691" s="178"/>
      <c r="G691" s="177"/>
      <c r="H691" s="303"/>
      <c r="I691" s="186" t="s">
        <v>1005</v>
      </c>
      <c r="J691" s="206" t="s">
        <v>460</v>
      </c>
      <c r="K691" s="287">
        <f>K693*10%</f>
        <v>9230</v>
      </c>
      <c r="L691" s="176"/>
      <c r="M691" s="183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135"/>
      <c r="AU691" s="135"/>
    </row>
    <row r="692" spans="1:47" x14ac:dyDescent="0.2">
      <c r="A692" s="174"/>
      <c r="B692" s="175"/>
      <c r="C692" s="176"/>
      <c r="D692" s="177"/>
      <c r="E692" s="178"/>
      <c r="F692" s="178"/>
      <c r="G692" s="177"/>
      <c r="H692" s="303"/>
      <c r="I692" s="186" t="s">
        <v>541</v>
      </c>
      <c r="J692" s="206" t="s">
        <v>460</v>
      </c>
      <c r="K692" s="287">
        <f>K693*5%</f>
        <v>4615</v>
      </c>
      <c r="L692" s="176"/>
      <c r="M692" s="183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  <c r="AU692" s="135"/>
    </row>
    <row r="693" spans="1:47" x14ac:dyDescent="0.2">
      <c r="A693" s="187"/>
      <c r="B693" s="188"/>
      <c r="C693" s="189"/>
      <c r="D693" s="190"/>
      <c r="E693" s="191"/>
      <c r="F693" s="191"/>
      <c r="G693" s="190"/>
      <c r="H693" s="304"/>
      <c r="I693" s="202"/>
      <c r="J693" s="203"/>
      <c r="K693" s="305">
        <v>92300</v>
      </c>
      <c r="L693" s="189"/>
      <c r="M693" s="196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5"/>
      <c r="AU693" s="135"/>
    </row>
    <row r="694" spans="1:47" ht="25.5" customHeight="1" x14ac:dyDescent="0.2">
      <c r="A694" s="163">
        <v>164</v>
      </c>
      <c r="B694" s="164" t="s">
        <v>1006</v>
      </c>
      <c r="C694" s="165"/>
      <c r="D694" s="166" t="s">
        <v>161</v>
      </c>
      <c r="E694" s="167"/>
      <c r="F694" s="167"/>
      <c r="G694" s="166"/>
      <c r="H694" s="166"/>
      <c r="I694" s="168" t="s">
        <v>1007</v>
      </c>
      <c r="J694" s="262" t="s">
        <v>897</v>
      </c>
      <c r="K694" s="298">
        <f>K701*70%</f>
        <v>64609.999999999993</v>
      </c>
      <c r="L694" s="165" t="s">
        <v>164</v>
      </c>
      <c r="M694" s="172" t="s">
        <v>1008</v>
      </c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  <c r="AU694" s="135"/>
    </row>
    <row r="695" spans="1:47" x14ac:dyDescent="0.2">
      <c r="A695" s="174"/>
      <c r="B695" s="175"/>
      <c r="C695" s="176"/>
      <c r="D695" s="177"/>
      <c r="E695" s="178"/>
      <c r="F695" s="178"/>
      <c r="G695" s="177"/>
      <c r="H695" s="177"/>
      <c r="I695" s="179" t="s">
        <v>540</v>
      </c>
      <c r="J695" s="169" t="s">
        <v>460</v>
      </c>
      <c r="K695" s="287">
        <f>K701*5%</f>
        <v>4615</v>
      </c>
      <c r="L695" s="176"/>
      <c r="M695" s="183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  <c r="AQ695" s="135"/>
      <c r="AR695" s="135"/>
      <c r="AS695" s="135"/>
      <c r="AT695" s="135"/>
      <c r="AU695" s="135"/>
    </row>
    <row r="696" spans="1:47" x14ac:dyDescent="0.2">
      <c r="A696" s="174"/>
      <c r="B696" s="175"/>
      <c r="C696" s="176"/>
      <c r="D696" s="177"/>
      <c r="E696" s="178"/>
      <c r="F696" s="178"/>
      <c r="G696" s="177"/>
      <c r="H696" s="177"/>
      <c r="I696" s="179" t="s">
        <v>1009</v>
      </c>
      <c r="J696" s="223" t="s">
        <v>460</v>
      </c>
      <c r="K696" s="287">
        <f>K701*5%</f>
        <v>4615</v>
      </c>
      <c r="L696" s="176"/>
      <c r="M696" s="183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  <c r="AQ696" s="135"/>
      <c r="AR696" s="135"/>
      <c r="AS696" s="135"/>
      <c r="AT696" s="135"/>
      <c r="AU696" s="135"/>
    </row>
    <row r="697" spans="1:47" x14ac:dyDescent="0.2">
      <c r="A697" s="174"/>
      <c r="B697" s="175"/>
      <c r="C697" s="176"/>
      <c r="D697" s="177"/>
      <c r="E697" s="178"/>
      <c r="F697" s="178"/>
      <c r="G697" s="177"/>
      <c r="H697" s="177"/>
      <c r="I697" s="186" t="s">
        <v>1010</v>
      </c>
      <c r="J697" s="223" t="s">
        <v>460</v>
      </c>
      <c r="K697" s="287">
        <f>K701*5%</f>
        <v>4615</v>
      </c>
      <c r="L697" s="176"/>
      <c r="M697" s="183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  <c r="AQ697" s="135"/>
      <c r="AR697" s="135"/>
      <c r="AS697" s="135"/>
      <c r="AT697" s="135"/>
      <c r="AU697" s="135"/>
    </row>
    <row r="698" spans="1:47" x14ac:dyDescent="0.2">
      <c r="A698" s="174"/>
      <c r="B698" s="175"/>
      <c r="C698" s="176"/>
      <c r="D698" s="177"/>
      <c r="E698" s="178"/>
      <c r="F698" s="178"/>
      <c r="G698" s="177"/>
      <c r="H698" s="177"/>
      <c r="I698" s="186" t="s">
        <v>998</v>
      </c>
      <c r="J698" s="206" t="s">
        <v>460</v>
      </c>
      <c r="K698" s="287">
        <f>K701*5%</f>
        <v>4615</v>
      </c>
      <c r="L698" s="176"/>
      <c r="M698" s="183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  <c r="AQ698" s="135"/>
      <c r="AR698" s="135"/>
      <c r="AS698" s="135"/>
      <c r="AT698" s="135"/>
      <c r="AU698" s="135"/>
    </row>
    <row r="699" spans="1:47" x14ac:dyDescent="0.2">
      <c r="A699" s="174"/>
      <c r="B699" s="175"/>
      <c r="C699" s="176"/>
      <c r="D699" s="177"/>
      <c r="E699" s="178"/>
      <c r="F699" s="178"/>
      <c r="G699" s="177"/>
      <c r="H699" s="177"/>
      <c r="I699" s="186" t="s">
        <v>1000</v>
      </c>
      <c r="J699" s="206" t="s">
        <v>460</v>
      </c>
      <c r="K699" s="287">
        <f>K701*5%</f>
        <v>4615</v>
      </c>
      <c r="L699" s="176"/>
      <c r="M699" s="183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  <c r="AJ699" s="135"/>
      <c r="AK699" s="135"/>
      <c r="AL699" s="135"/>
      <c r="AM699" s="135"/>
      <c r="AN699" s="135"/>
      <c r="AO699" s="135"/>
      <c r="AP699" s="135"/>
      <c r="AQ699" s="135"/>
      <c r="AR699" s="135"/>
      <c r="AS699" s="135"/>
      <c r="AT699" s="135"/>
      <c r="AU699" s="135"/>
    </row>
    <row r="700" spans="1:47" x14ac:dyDescent="0.2">
      <c r="A700" s="174"/>
      <c r="B700" s="175"/>
      <c r="C700" s="176"/>
      <c r="D700" s="177"/>
      <c r="E700" s="178"/>
      <c r="F700" s="178"/>
      <c r="G700" s="177"/>
      <c r="H700" s="177"/>
      <c r="I700" s="168" t="s">
        <v>917</v>
      </c>
      <c r="J700" s="206" t="s">
        <v>916</v>
      </c>
      <c r="K700" s="287">
        <f>K701*5%</f>
        <v>4615</v>
      </c>
      <c r="L700" s="176"/>
      <c r="M700" s="183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/>
      <c r="AP700" s="135"/>
      <c r="AQ700" s="135"/>
      <c r="AR700" s="135"/>
      <c r="AS700" s="135"/>
      <c r="AT700" s="135"/>
      <c r="AU700" s="135"/>
    </row>
    <row r="701" spans="1:47" x14ac:dyDescent="0.2">
      <c r="A701" s="187"/>
      <c r="B701" s="188"/>
      <c r="C701" s="189"/>
      <c r="D701" s="190"/>
      <c r="E701" s="191"/>
      <c r="F701" s="191"/>
      <c r="G701" s="190"/>
      <c r="H701" s="190"/>
      <c r="I701" s="202"/>
      <c r="J701" s="215"/>
      <c r="K701" s="288">
        <v>92300</v>
      </c>
      <c r="L701" s="189"/>
      <c r="M701" s="196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  <c r="AJ701" s="135"/>
      <c r="AK701" s="135"/>
      <c r="AL701" s="135"/>
      <c r="AM701" s="135"/>
      <c r="AN701" s="135"/>
      <c r="AO701" s="135"/>
      <c r="AP701" s="135"/>
      <c r="AQ701" s="135"/>
      <c r="AR701" s="135"/>
      <c r="AS701" s="135"/>
      <c r="AT701" s="135"/>
      <c r="AU701" s="135"/>
    </row>
    <row r="702" spans="1:47" ht="24.75" customHeight="1" x14ac:dyDescent="0.2">
      <c r="A702" s="163">
        <v>165</v>
      </c>
      <c r="B702" s="164" t="s">
        <v>1011</v>
      </c>
      <c r="C702" s="165"/>
      <c r="D702" s="166" t="s">
        <v>161</v>
      </c>
      <c r="E702" s="167"/>
      <c r="F702" s="167"/>
      <c r="G702" s="166"/>
      <c r="H702" s="166"/>
      <c r="I702" s="168" t="s">
        <v>1012</v>
      </c>
      <c r="J702" s="169" t="s">
        <v>897</v>
      </c>
      <c r="K702" s="324">
        <f>K709*70%</f>
        <v>33600</v>
      </c>
      <c r="L702" s="165" t="s">
        <v>164</v>
      </c>
      <c r="M702" s="172" t="s">
        <v>1013</v>
      </c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  <c r="AQ702" s="135"/>
      <c r="AR702" s="135"/>
      <c r="AS702" s="135"/>
      <c r="AT702" s="135"/>
      <c r="AU702" s="135"/>
    </row>
    <row r="703" spans="1:47" x14ac:dyDescent="0.2">
      <c r="A703" s="174"/>
      <c r="B703" s="175"/>
      <c r="C703" s="176"/>
      <c r="D703" s="177"/>
      <c r="E703" s="178"/>
      <c r="F703" s="178"/>
      <c r="G703" s="177"/>
      <c r="H703" s="177"/>
      <c r="I703" s="179" t="s">
        <v>540</v>
      </c>
      <c r="J703" s="223" t="s">
        <v>460</v>
      </c>
      <c r="K703" s="287">
        <f>K709*5%</f>
        <v>2400</v>
      </c>
      <c r="L703" s="176"/>
      <c r="M703" s="183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  <c r="AJ703" s="135"/>
      <c r="AK703" s="135"/>
      <c r="AL703" s="135"/>
      <c r="AM703" s="135"/>
      <c r="AN703" s="135"/>
      <c r="AO703" s="135"/>
      <c r="AP703" s="135"/>
      <c r="AQ703" s="135"/>
      <c r="AR703" s="135"/>
      <c r="AS703" s="135"/>
      <c r="AT703" s="135"/>
      <c r="AU703" s="135"/>
    </row>
    <row r="704" spans="1:47" x14ac:dyDescent="0.2">
      <c r="A704" s="174"/>
      <c r="B704" s="175"/>
      <c r="C704" s="176"/>
      <c r="D704" s="177"/>
      <c r="E704" s="178"/>
      <c r="F704" s="178"/>
      <c r="G704" s="177"/>
      <c r="H704" s="177"/>
      <c r="I704" s="179" t="s">
        <v>1014</v>
      </c>
      <c r="J704" s="223" t="s">
        <v>453</v>
      </c>
      <c r="K704" s="307">
        <f>K709*5%</f>
        <v>2400</v>
      </c>
      <c r="L704" s="176"/>
      <c r="M704" s="183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  <c r="AJ704" s="135"/>
      <c r="AK704" s="135"/>
      <c r="AL704" s="135"/>
      <c r="AM704" s="135"/>
      <c r="AN704" s="135"/>
      <c r="AO704" s="135"/>
      <c r="AP704" s="135"/>
      <c r="AQ704" s="135"/>
      <c r="AR704" s="135"/>
      <c r="AS704" s="135"/>
      <c r="AT704" s="135"/>
      <c r="AU704" s="135"/>
    </row>
    <row r="705" spans="1:47" ht="48" x14ac:dyDescent="0.2">
      <c r="A705" s="174"/>
      <c r="B705" s="175"/>
      <c r="C705" s="176"/>
      <c r="D705" s="177"/>
      <c r="E705" s="178"/>
      <c r="F705" s="178"/>
      <c r="G705" s="177"/>
      <c r="H705" s="177"/>
      <c r="I705" s="179" t="s">
        <v>542</v>
      </c>
      <c r="J705" s="223" t="s">
        <v>460</v>
      </c>
      <c r="K705" s="307">
        <f>K709*5%</f>
        <v>2400</v>
      </c>
      <c r="L705" s="176"/>
      <c r="M705" s="183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5"/>
      <c r="AM705" s="135"/>
      <c r="AN705" s="135"/>
      <c r="AO705" s="135"/>
      <c r="AP705" s="135"/>
      <c r="AQ705" s="135"/>
      <c r="AR705" s="135"/>
      <c r="AS705" s="135"/>
      <c r="AT705" s="135"/>
      <c r="AU705" s="135"/>
    </row>
    <row r="706" spans="1:47" x14ac:dyDescent="0.2">
      <c r="A706" s="174"/>
      <c r="B706" s="175"/>
      <c r="C706" s="176"/>
      <c r="D706" s="177"/>
      <c r="E706" s="178"/>
      <c r="F706" s="178"/>
      <c r="G706" s="177"/>
      <c r="H706" s="177"/>
      <c r="I706" s="179" t="s">
        <v>1015</v>
      </c>
      <c r="J706" s="223" t="s">
        <v>460</v>
      </c>
      <c r="K706" s="298">
        <f>K709*5%</f>
        <v>2400</v>
      </c>
      <c r="L706" s="176"/>
      <c r="M706" s="183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  <c r="AI706" s="135"/>
      <c r="AJ706" s="135"/>
      <c r="AK706" s="135"/>
      <c r="AL706" s="135"/>
      <c r="AM706" s="135"/>
      <c r="AN706" s="135"/>
      <c r="AO706" s="135"/>
      <c r="AP706" s="135"/>
      <c r="AQ706" s="135"/>
      <c r="AR706" s="135"/>
      <c r="AS706" s="135"/>
      <c r="AT706" s="135"/>
      <c r="AU706" s="135"/>
    </row>
    <row r="707" spans="1:47" x14ac:dyDescent="0.2">
      <c r="A707" s="174"/>
      <c r="B707" s="175"/>
      <c r="C707" s="176"/>
      <c r="D707" s="177"/>
      <c r="E707" s="178"/>
      <c r="F707" s="178"/>
      <c r="G707" s="177"/>
      <c r="H707" s="177"/>
      <c r="I707" s="179" t="s">
        <v>1010</v>
      </c>
      <c r="J707" s="223" t="s">
        <v>460</v>
      </c>
      <c r="K707" s="287">
        <f>K709*5%</f>
        <v>2400</v>
      </c>
      <c r="L707" s="176"/>
      <c r="M707" s="183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5"/>
      <c r="AM707" s="135"/>
      <c r="AN707" s="135"/>
      <c r="AO707" s="135"/>
      <c r="AP707" s="135"/>
      <c r="AQ707" s="135"/>
      <c r="AR707" s="135"/>
      <c r="AS707" s="135"/>
      <c r="AT707" s="135"/>
      <c r="AU707" s="135"/>
    </row>
    <row r="708" spans="1:47" x14ac:dyDescent="0.2">
      <c r="A708" s="174"/>
      <c r="B708" s="175"/>
      <c r="C708" s="176"/>
      <c r="D708" s="177"/>
      <c r="E708" s="178"/>
      <c r="F708" s="178"/>
      <c r="G708" s="177"/>
      <c r="H708" s="177"/>
      <c r="I708" s="179" t="s">
        <v>1016</v>
      </c>
      <c r="J708" s="206" t="s">
        <v>460</v>
      </c>
      <c r="K708" s="287">
        <f>K709*5%</f>
        <v>2400</v>
      </c>
      <c r="L708" s="176"/>
      <c r="M708" s="183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  <c r="AQ708" s="135"/>
      <c r="AR708" s="135"/>
      <c r="AS708" s="135"/>
      <c r="AT708" s="135"/>
      <c r="AU708" s="135"/>
    </row>
    <row r="709" spans="1:47" x14ac:dyDescent="0.2">
      <c r="A709" s="187"/>
      <c r="B709" s="188"/>
      <c r="C709" s="189"/>
      <c r="D709" s="190"/>
      <c r="E709" s="191"/>
      <c r="F709" s="191"/>
      <c r="G709" s="190"/>
      <c r="H709" s="190"/>
      <c r="I709" s="202"/>
      <c r="J709" s="203"/>
      <c r="K709" s="288">
        <v>48000</v>
      </c>
      <c r="L709" s="189"/>
      <c r="M709" s="196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  <c r="AJ709" s="135"/>
      <c r="AK709" s="135"/>
      <c r="AL709" s="135"/>
      <c r="AM709" s="135"/>
      <c r="AN709" s="135"/>
      <c r="AO709" s="135"/>
      <c r="AP709" s="135"/>
      <c r="AQ709" s="135"/>
      <c r="AR709" s="135"/>
      <c r="AS709" s="135"/>
      <c r="AT709" s="135"/>
      <c r="AU709" s="135"/>
    </row>
    <row r="710" spans="1:47" ht="24.75" customHeight="1" x14ac:dyDescent="0.2">
      <c r="A710" s="163">
        <v>166</v>
      </c>
      <c r="B710" s="164" t="s">
        <v>1017</v>
      </c>
      <c r="C710" s="165"/>
      <c r="D710" s="166" t="s">
        <v>161</v>
      </c>
      <c r="E710" s="167"/>
      <c r="F710" s="167"/>
      <c r="G710" s="166"/>
      <c r="H710" s="166" t="s">
        <v>137</v>
      </c>
      <c r="I710" s="168" t="s">
        <v>1018</v>
      </c>
      <c r="J710" s="262" t="s">
        <v>897</v>
      </c>
      <c r="K710" s="324">
        <f>K713*50%</f>
        <v>70642.5</v>
      </c>
      <c r="L710" s="165" t="s">
        <v>164</v>
      </c>
      <c r="M710" s="172" t="s">
        <v>1019</v>
      </c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  <c r="AQ710" s="135"/>
      <c r="AR710" s="135"/>
      <c r="AS710" s="135"/>
      <c r="AT710" s="135"/>
      <c r="AU710" s="135"/>
    </row>
    <row r="711" spans="1:47" x14ac:dyDescent="0.2">
      <c r="A711" s="174"/>
      <c r="B711" s="175"/>
      <c r="C711" s="176"/>
      <c r="D711" s="177"/>
      <c r="E711" s="178"/>
      <c r="F711" s="178"/>
      <c r="G711" s="177"/>
      <c r="H711" s="177"/>
      <c r="I711" s="179" t="s">
        <v>1020</v>
      </c>
      <c r="J711" s="338" t="s">
        <v>460</v>
      </c>
      <c r="K711" s="199">
        <f>K713*40%</f>
        <v>56514</v>
      </c>
      <c r="L711" s="176"/>
      <c r="M711" s="183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  <c r="AJ711" s="135"/>
      <c r="AK711" s="135"/>
      <c r="AL711" s="135"/>
      <c r="AM711" s="135"/>
      <c r="AN711" s="135"/>
      <c r="AO711" s="135"/>
      <c r="AP711" s="135"/>
      <c r="AQ711" s="135"/>
      <c r="AR711" s="135"/>
      <c r="AS711" s="135"/>
      <c r="AT711" s="135"/>
      <c r="AU711" s="135"/>
    </row>
    <row r="712" spans="1:47" x14ac:dyDescent="0.2">
      <c r="A712" s="174"/>
      <c r="B712" s="175"/>
      <c r="C712" s="176"/>
      <c r="D712" s="177"/>
      <c r="E712" s="178"/>
      <c r="F712" s="178"/>
      <c r="G712" s="177"/>
      <c r="H712" s="177"/>
      <c r="I712" s="186" t="s">
        <v>1021</v>
      </c>
      <c r="J712" s="338" t="s">
        <v>460</v>
      </c>
      <c r="K712" s="200">
        <f>K713*10%</f>
        <v>14128.5</v>
      </c>
      <c r="L712" s="176"/>
      <c r="M712" s="183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  <c r="AJ712" s="135"/>
      <c r="AK712" s="135"/>
      <c r="AL712" s="135"/>
      <c r="AM712" s="135"/>
      <c r="AN712" s="135"/>
      <c r="AO712" s="135"/>
      <c r="AP712" s="135"/>
      <c r="AQ712" s="135"/>
      <c r="AR712" s="135"/>
      <c r="AS712" s="135"/>
      <c r="AT712" s="135"/>
      <c r="AU712" s="135"/>
    </row>
    <row r="713" spans="1:47" x14ac:dyDescent="0.2">
      <c r="A713" s="187"/>
      <c r="B713" s="188"/>
      <c r="C713" s="189"/>
      <c r="D713" s="190"/>
      <c r="E713" s="191"/>
      <c r="F713" s="191"/>
      <c r="G713" s="190"/>
      <c r="H713" s="190"/>
      <c r="I713" s="192"/>
      <c r="J713" s="339"/>
      <c r="K713" s="340">
        <v>141285</v>
      </c>
      <c r="L713" s="189"/>
      <c r="M713" s="196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  <c r="AF713" s="135"/>
      <c r="AG713" s="135"/>
      <c r="AH713" s="135"/>
      <c r="AI713" s="135"/>
      <c r="AJ713" s="135"/>
      <c r="AK713" s="135"/>
      <c r="AL713" s="135"/>
      <c r="AM713" s="135"/>
      <c r="AN713" s="135"/>
      <c r="AO713" s="135"/>
      <c r="AP713" s="135"/>
      <c r="AQ713" s="135"/>
      <c r="AR713" s="135"/>
      <c r="AS713" s="135"/>
      <c r="AT713" s="135"/>
      <c r="AU713" s="135"/>
    </row>
    <row r="714" spans="1:47" ht="23.25" customHeight="1" x14ac:dyDescent="0.2">
      <c r="A714" s="163">
        <v>167</v>
      </c>
      <c r="B714" s="164" t="s">
        <v>1022</v>
      </c>
      <c r="C714" s="165"/>
      <c r="D714" s="166" t="s">
        <v>161</v>
      </c>
      <c r="E714" s="167"/>
      <c r="F714" s="167"/>
      <c r="G714" s="166"/>
      <c r="H714" s="166"/>
      <c r="I714" s="217" t="s">
        <v>1023</v>
      </c>
      <c r="J714" s="169" t="s">
        <v>460</v>
      </c>
      <c r="K714" s="209">
        <f>320095*80%</f>
        <v>256076</v>
      </c>
      <c r="L714" s="165" t="s">
        <v>164</v>
      </c>
      <c r="M714" s="172" t="s">
        <v>1024</v>
      </c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  <c r="AJ714" s="135"/>
      <c r="AK714" s="135"/>
      <c r="AL714" s="135"/>
      <c r="AM714" s="135"/>
      <c r="AN714" s="135"/>
      <c r="AO714" s="135"/>
      <c r="AP714" s="135"/>
      <c r="AQ714" s="135"/>
      <c r="AR714" s="135"/>
      <c r="AS714" s="135"/>
      <c r="AT714" s="135"/>
      <c r="AU714" s="135"/>
    </row>
    <row r="715" spans="1:47" x14ac:dyDescent="0.2">
      <c r="A715" s="174"/>
      <c r="B715" s="175"/>
      <c r="C715" s="176"/>
      <c r="D715" s="177"/>
      <c r="E715" s="178"/>
      <c r="F715" s="178"/>
      <c r="G715" s="177"/>
      <c r="H715" s="177"/>
      <c r="I715" s="186" t="s">
        <v>981</v>
      </c>
      <c r="J715" s="185" t="s">
        <v>460</v>
      </c>
      <c r="K715" s="200">
        <f>320095*10%</f>
        <v>32009.5</v>
      </c>
      <c r="L715" s="176"/>
      <c r="M715" s="183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5"/>
      <c r="AG715" s="135"/>
      <c r="AH715" s="135"/>
      <c r="AI715" s="135"/>
      <c r="AJ715" s="135"/>
      <c r="AK715" s="135"/>
      <c r="AL715" s="135"/>
      <c r="AM715" s="135"/>
      <c r="AN715" s="135"/>
      <c r="AO715" s="135"/>
      <c r="AP715" s="135"/>
      <c r="AQ715" s="135"/>
      <c r="AR715" s="135"/>
      <c r="AS715" s="135"/>
      <c r="AT715" s="135"/>
      <c r="AU715" s="135"/>
    </row>
    <row r="716" spans="1:47" x14ac:dyDescent="0.2">
      <c r="A716" s="174"/>
      <c r="B716" s="175"/>
      <c r="C716" s="176"/>
      <c r="D716" s="177"/>
      <c r="E716" s="178"/>
      <c r="F716" s="178"/>
      <c r="G716" s="177"/>
      <c r="H716" s="177"/>
      <c r="I716" s="186" t="s">
        <v>1025</v>
      </c>
      <c r="J716" s="185" t="s">
        <v>379</v>
      </c>
      <c r="K716" s="201">
        <f>320095*10%</f>
        <v>32009.5</v>
      </c>
      <c r="L716" s="176"/>
      <c r="M716" s="183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  <c r="AJ716" s="135"/>
      <c r="AK716" s="135"/>
      <c r="AL716" s="135"/>
      <c r="AM716" s="135"/>
      <c r="AN716" s="135"/>
      <c r="AO716" s="135"/>
      <c r="AP716" s="135"/>
      <c r="AQ716" s="135"/>
      <c r="AR716" s="135"/>
      <c r="AS716" s="135"/>
      <c r="AT716" s="135"/>
      <c r="AU716" s="135"/>
    </row>
    <row r="717" spans="1:47" x14ac:dyDescent="0.2">
      <c r="A717" s="187"/>
      <c r="B717" s="188"/>
      <c r="C717" s="189"/>
      <c r="D717" s="190"/>
      <c r="E717" s="191"/>
      <c r="F717" s="191"/>
      <c r="G717" s="190"/>
      <c r="H717" s="190"/>
      <c r="I717" s="192"/>
      <c r="J717" s="193"/>
      <c r="K717" s="210">
        <f>SUM(K714:K716)</f>
        <v>320095</v>
      </c>
      <c r="L717" s="189"/>
      <c r="M717" s="196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  <c r="AJ717" s="135"/>
      <c r="AK717" s="135"/>
      <c r="AL717" s="135"/>
      <c r="AM717" s="135"/>
      <c r="AN717" s="135"/>
      <c r="AO717" s="135"/>
      <c r="AP717" s="135"/>
      <c r="AQ717" s="135"/>
      <c r="AR717" s="135"/>
      <c r="AS717" s="135"/>
      <c r="AT717" s="135"/>
      <c r="AU717" s="135"/>
    </row>
    <row r="718" spans="1:47" ht="24.75" customHeight="1" x14ac:dyDescent="0.2">
      <c r="A718" s="163">
        <v>168</v>
      </c>
      <c r="B718" s="164" t="s">
        <v>1026</v>
      </c>
      <c r="C718" s="165"/>
      <c r="D718" s="166" t="s">
        <v>161</v>
      </c>
      <c r="E718" s="167"/>
      <c r="F718" s="167"/>
      <c r="G718" s="166"/>
      <c r="H718" s="166"/>
      <c r="I718" s="217" t="s">
        <v>1027</v>
      </c>
      <c r="J718" s="197" t="s">
        <v>897</v>
      </c>
      <c r="K718" s="341">
        <f>227930*50%</f>
        <v>113965</v>
      </c>
      <c r="L718" s="172" t="s">
        <v>164</v>
      </c>
      <c r="M718" s="172" t="s">
        <v>1028</v>
      </c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  <c r="AJ718" s="135"/>
      <c r="AK718" s="135"/>
      <c r="AL718" s="135"/>
      <c r="AM718" s="135"/>
      <c r="AN718" s="135"/>
      <c r="AO718" s="135"/>
      <c r="AP718" s="135"/>
      <c r="AQ718" s="135"/>
      <c r="AR718" s="135"/>
      <c r="AS718" s="135"/>
      <c r="AT718" s="135"/>
      <c r="AU718" s="135"/>
    </row>
    <row r="719" spans="1:47" ht="25.5" customHeight="1" x14ac:dyDescent="0.2">
      <c r="A719" s="174"/>
      <c r="B719" s="175"/>
      <c r="C719" s="176"/>
      <c r="D719" s="177"/>
      <c r="E719" s="178"/>
      <c r="F719" s="178"/>
      <c r="G719" s="177"/>
      <c r="H719" s="177"/>
      <c r="I719" s="186" t="s">
        <v>1029</v>
      </c>
      <c r="J719" s="180" t="s">
        <v>897</v>
      </c>
      <c r="K719" s="342">
        <f>227930*30%</f>
        <v>68379</v>
      </c>
      <c r="L719" s="183"/>
      <c r="M719" s="183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  <c r="AJ719" s="135"/>
      <c r="AK719" s="135"/>
      <c r="AL719" s="135"/>
      <c r="AM719" s="135"/>
      <c r="AN719" s="135"/>
      <c r="AO719" s="135"/>
      <c r="AP719" s="135"/>
      <c r="AQ719" s="135"/>
      <c r="AR719" s="135"/>
      <c r="AS719" s="135"/>
      <c r="AT719" s="135"/>
      <c r="AU719" s="135"/>
    </row>
    <row r="720" spans="1:47" ht="24" customHeight="1" x14ac:dyDescent="0.2">
      <c r="A720" s="174"/>
      <c r="B720" s="175"/>
      <c r="C720" s="176"/>
      <c r="D720" s="177"/>
      <c r="E720" s="178"/>
      <c r="F720" s="178"/>
      <c r="G720" s="177"/>
      <c r="H720" s="177"/>
      <c r="I720" s="186" t="s">
        <v>1030</v>
      </c>
      <c r="J720" s="180" t="s">
        <v>1031</v>
      </c>
      <c r="K720" s="342">
        <f>227930*10%</f>
        <v>22793</v>
      </c>
      <c r="L720" s="183"/>
      <c r="M720" s="183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  <c r="AQ720" s="135"/>
      <c r="AR720" s="135"/>
      <c r="AS720" s="135"/>
      <c r="AT720" s="135"/>
      <c r="AU720" s="135"/>
    </row>
    <row r="721" spans="1:47" x14ac:dyDescent="0.2">
      <c r="A721" s="174"/>
      <c r="B721" s="175"/>
      <c r="C721" s="176"/>
      <c r="D721" s="177"/>
      <c r="E721" s="178"/>
      <c r="F721" s="178"/>
      <c r="G721" s="177"/>
      <c r="H721" s="177"/>
      <c r="I721" s="186" t="s">
        <v>993</v>
      </c>
      <c r="J721" s="180" t="s">
        <v>460</v>
      </c>
      <c r="K721" s="342">
        <f>227930*10%</f>
        <v>22793</v>
      </c>
      <c r="L721" s="183"/>
      <c r="M721" s="183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  <c r="AF721" s="135"/>
      <c r="AG721" s="135"/>
      <c r="AH721" s="135"/>
      <c r="AI721" s="135"/>
      <c r="AJ721" s="135"/>
      <c r="AK721" s="135"/>
      <c r="AL721" s="135"/>
      <c r="AM721" s="135"/>
      <c r="AN721" s="135"/>
      <c r="AO721" s="135"/>
      <c r="AP721" s="135"/>
      <c r="AQ721" s="135"/>
      <c r="AR721" s="135"/>
      <c r="AS721" s="135"/>
      <c r="AT721" s="135"/>
      <c r="AU721" s="135"/>
    </row>
    <row r="722" spans="1:47" x14ac:dyDescent="0.2">
      <c r="A722" s="187"/>
      <c r="B722" s="188"/>
      <c r="C722" s="189"/>
      <c r="D722" s="190"/>
      <c r="E722" s="191"/>
      <c r="F722" s="191"/>
      <c r="G722" s="190"/>
      <c r="H722" s="190"/>
      <c r="I722" s="202"/>
      <c r="J722" s="193"/>
      <c r="K722" s="343">
        <f>SUM(K718:K721)</f>
        <v>227930</v>
      </c>
      <c r="L722" s="196"/>
      <c r="M722" s="196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  <c r="AQ722" s="135"/>
      <c r="AR722" s="135"/>
      <c r="AS722" s="135"/>
      <c r="AT722" s="135"/>
      <c r="AU722" s="135"/>
    </row>
    <row r="723" spans="1:47" ht="84" customHeight="1" x14ac:dyDescent="0.2">
      <c r="A723" s="228">
        <v>169</v>
      </c>
      <c r="B723" s="241" t="s">
        <v>1032</v>
      </c>
      <c r="C723" s="242"/>
      <c r="D723" s="243" t="s">
        <v>161</v>
      </c>
      <c r="E723" s="244"/>
      <c r="F723" s="244"/>
      <c r="G723" s="243"/>
      <c r="H723" s="245"/>
      <c r="I723" s="192" t="s">
        <v>1033</v>
      </c>
      <c r="J723" s="215" t="s">
        <v>460</v>
      </c>
      <c r="K723" s="246">
        <v>76590</v>
      </c>
      <c r="L723" s="266" t="s">
        <v>164</v>
      </c>
      <c r="M723" s="215" t="s">
        <v>1034</v>
      </c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  <c r="AQ723" s="135"/>
      <c r="AR723" s="135"/>
      <c r="AS723" s="135"/>
      <c r="AT723" s="135"/>
      <c r="AU723" s="135"/>
    </row>
    <row r="724" spans="1:47" ht="21.75" customHeight="1" x14ac:dyDescent="0.2">
      <c r="A724" s="163">
        <v>170</v>
      </c>
      <c r="B724" s="164" t="s">
        <v>1035</v>
      </c>
      <c r="C724" s="165"/>
      <c r="D724" s="166" t="s">
        <v>161</v>
      </c>
      <c r="E724" s="167"/>
      <c r="F724" s="167"/>
      <c r="G724" s="166"/>
      <c r="H724" s="166"/>
      <c r="I724" s="217" t="s">
        <v>1036</v>
      </c>
      <c r="J724" s="197" t="s">
        <v>1037</v>
      </c>
      <c r="K724" s="341">
        <f>100000*50%</f>
        <v>50000</v>
      </c>
      <c r="L724" s="172" t="s">
        <v>164</v>
      </c>
      <c r="M724" s="172" t="s">
        <v>1038</v>
      </c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  <c r="AQ724" s="135"/>
      <c r="AR724" s="135"/>
      <c r="AS724" s="135"/>
      <c r="AT724" s="135"/>
      <c r="AU724" s="135"/>
    </row>
    <row r="725" spans="1:47" x14ac:dyDescent="0.2">
      <c r="A725" s="174"/>
      <c r="B725" s="175"/>
      <c r="C725" s="176"/>
      <c r="D725" s="177"/>
      <c r="E725" s="178"/>
      <c r="F725" s="178"/>
      <c r="G725" s="177"/>
      <c r="H725" s="177"/>
      <c r="I725" s="186" t="s">
        <v>1039</v>
      </c>
      <c r="J725" s="180" t="s">
        <v>460</v>
      </c>
      <c r="K725" s="342">
        <f>100000*10%</f>
        <v>10000</v>
      </c>
      <c r="L725" s="183"/>
      <c r="M725" s="183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  <c r="AF725" s="135"/>
      <c r="AG725" s="135"/>
      <c r="AH725" s="135"/>
      <c r="AI725" s="135"/>
      <c r="AJ725" s="135"/>
      <c r="AK725" s="135"/>
      <c r="AL725" s="135"/>
      <c r="AM725" s="135"/>
      <c r="AN725" s="135"/>
      <c r="AO725" s="135"/>
      <c r="AP725" s="135"/>
      <c r="AQ725" s="135"/>
      <c r="AR725" s="135"/>
      <c r="AS725" s="135"/>
      <c r="AT725" s="135"/>
      <c r="AU725" s="135"/>
    </row>
    <row r="726" spans="1:47" x14ac:dyDescent="0.2">
      <c r="A726" s="174"/>
      <c r="B726" s="175"/>
      <c r="C726" s="176"/>
      <c r="D726" s="177"/>
      <c r="E726" s="178"/>
      <c r="F726" s="178"/>
      <c r="G726" s="177"/>
      <c r="H726" s="177"/>
      <c r="I726" s="186" t="s">
        <v>531</v>
      </c>
      <c r="J726" s="180" t="s">
        <v>460</v>
      </c>
      <c r="K726" s="342">
        <f>100000*10%</f>
        <v>10000</v>
      </c>
      <c r="L726" s="183"/>
      <c r="M726" s="183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  <c r="AJ726" s="135"/>
      <c r="AK726" s="135"/>
      <c r="AL726" s="135"/>
      <c r="AM726" s="135"/>
      <c r="AN726" s="135"/>
      <c r="AO726" s="135"/>
      <c r="AP726" s="135"/>
      <c r="AQ726" s="135"/>
      <c r="AR726" s="135"/>
      <c r="AS726" s="135"/>
      <c r="AT726" s="135"/>
      <c r="AU726" s="135"/>
    </row>
    <row r="727" spans="1:47" x14ac:dyDescent="0.2">
      <c r="A727" s="174"/>
      <c r="B727" s="175"/>
      <c r="C727" s="176"/>
      <c r="D727" s="177"/>
      <c r="E727" s="178"/>
      <c r="F727" s="178"/>
      <c r="G727" s="177"/>
      <c r="H727" s="177"/>
      <c r="I727" s="186" t="s">
        <v>1040</v>
      </c>
      <c r="J727" s="180" t="s">
        <v>460</v>
      </c>
      <c r="K727" s="342">
        <f>100000*10%</f>
        <v>10000</v>
      </c>
      <c r="L727" s="183"/>
      <c r="M727" s="183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  <c r="AF727" s="135"/>
      <c r="AG727" s="135"/>
      <c r="AH727" s="135"/>
      <c r="AI727" s="135"/>
      <c r="AJ727" s="135"/>
      <c r="AK727" s="135"/>
      <c r="AL727" s="135"/>
      <c r="AM727" s="135"/>
      <c r="AN727" s="135"/>
      <c r="AO727" s="135"/>
      <c r="AP727" s="135"/>
      <c r="AQ727" s="135"/>
      <c r="AR727" s="135"/>
      <c r="AS727" s="135"/>
      <c r="AT727" s="135"/>
      <c r="AU727" s="135"/>
    </row>
    <row r="728" spans="1:47" x14ac:dyDescent="0.2">
      <c r="A728" s="174"/>
      <c r="B728" s="175"/>
      <c r="C728" s="176"/>
      <c r="D728" s="177"/>
      <c r="E728" s="178"/>
      <c r="F728" s="178"/>
      <c r="G728" s="177"/>
      <c r="H728" s="177"/>
      <c r="I728" s="186" t="s">
        <v>1041</v>
      </c>
      <c r="J728" s="180" t="s">
        <v>460</v>
      </c>
      <c r="K728" s="342">
        <f>100000*10%</f>
        <v>10000</v>
      </c>
      <c r="L728" s="183"/>
      <c r="M728" s="183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  <c r="AF728" s="135"/>
      <c r="AG728" s="135"/>
      <c r="AH728" s="135"/>
      <c r="AI728" s="135"/>
      <c r="AJ728" s="135"/>
      <c r="AK728" s="135"/>
      <c r="AL728" s="135"/>
      <c r="AM728" s="135"/>
      <c r="AN728" s="135"/>
      <c r="AO728" s="135"/>
      <c r="AP728" s="135"/>
      <c r="AQ728" s="135"/>
      <c r="AR728" s="135"/>
      <c r="AS728" s="135"/>
      <c r="AT728" s="135"/>
      <c r="AU728" s="135"/>
    </row>
    <row r="729" spans="1:47" x14ac:dyDescent="0.2">
      <c r="A729" s="174"/>
      <c r="B729" s="175"/>
      <c r="C729" s="176"/>
      <c r="D729" s="177"/>
      <c r="E729" s="178"/>
      <c r="F729" s="178"/>
      <c r="G729" s="177"/>
      <c r="H729" s="177"/>
      <c r="I729" s="186" t="s">
        <v>1042</v>
      </c>
      <c r="J729" s="180" t="s">
        <v>460</v>
      </c>
      <c r="K729" s="342">
        <f>100000*10%</f>
        <v>10000</v>
      </c>
      <c r="L729" s="183"/>
      <c r="M729" s="183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  <c r="AF729" s="135"/>
      <c r="AG729" s="135"/>
      <c r="AH729" s="135"/>
      <c r="AI729" s="135"/>
      <c r="AJ729" s="135"/>
      <c r="AK729" s="135"/>
      <c r="AL729" s="135"/>
      <c r="AM729" s="135"/>
      <c r="AN729" s="135"/>
      <c r="AO729" s="135"/>
      <c r="AP729" s="135"/>
      <c r="AQ729" s="135"/>
      <c r="AR729" s="135"/>
      <c r="AS729" s="135"/>
      <c r="AT729" s="135"/>
      <c r="AU729" s="135"/>
    </row>
    <row r="730" spans="1:47" x14ac:dyDescent="0.2">
      <c r="A730" s="187"/>
      <c r="B730" s="188"/>
      <c r="C730" s="189"/>
      <c r="D730" s="190"/>
      <c r="E730" s="191"/>
      <c r="F730" s="191"/>
      <c r="G730" s="190"/>
      <c r="H730" s="190"/>
      <c r="I730" s="202"/>
      <c r="J730" s="193"/>
      <c r="K730" s="343">
        <f>SUM(K724:K729)</f>
        <v>100000</v>
      </c>
      <c r="L730" s="196"/>
      <c r="M730" s="196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  <c r="AQ730" s="135"/>
      <c r="AR730" s="135"/>
      <c r="AS730" s="135"/>
      <c r="AT730" s="135"/>
      <c r="AU730" s="135"/>
    </row>
    <row r="731" spans="1:47" ht="21.75" customHeight="1" x14ac:dyDescent="0.2">
      <c r="A731" s="163">
        <v>171</v>
      </c>
      <c r="B731" s="164" t="s">
        <v>1043</v>
      </c>
      <c r="C731" s="165"/>
      <c r="D731" s="166" t="s">
        <v>161</v>
      </c>
      <c r="E731" s="167"/>
      <c r="F731" s="167"/>
      <c r="G731" s="166"/>
      <c r="H731" s="166"/>
      <c r="I731" s="344" t="s">
        <v>1044</v>
      </c>
      <c r="J731" s="220" t="s">
        <v>1045</v>
      </c>
      <c r="K731" s="209">
        <f>33800*70%</f>
        <v>23660</v>
      </c>
      <c r="L731" s="172" t="s">
        <v>164</v>
      </c>
      <c r="M731" s="172" t="s">
        <v>1046</v>
      </c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  <c r="AF731" s="135"/>
      <c r="AG731" s="135"/>
      <c r="AH731" s="135"/>
      <c r="AI731" s="135"/>
      <c r="AJ731" s="135"/>
      <c r="AK731" s="135"/>
      <c r="AL731" s="135"/>
      <c r="AM731" s="135"/>
      <c r="AN731" s="135"/>
      <c r="AO731" s="135"/>
      <c r="AP731" s="135"/>
      <c r="AQ731" s="135"/>
      <c r="AR731" s="135"/>
      <c r="AS731" s="135"/>
      <c r="AT731" s="135"/>
      <c r="AU731" s="135"/>
    </row>
    <row r="732" spans="1:47" x14ac:dyDescent="0.2">
      <c r="A732" s="174"/>
      <c r="B732" s="175"/>
      <c r="C732" s="176"/>
      <c r="D732" s="177"/>
      <c r="E732" s="178"/>
      <c r="F732" s="178"/>
      <c r="G732" s="177"/>
      <c r="H732" s="177"/>
      <c r="I732" s="345" t="s">
        <v>1047</v>
      </c>
      <c r="J732" s="206" t="s">
        <v>460</v>
      </c>
      <c r="K732" s="213">
        <f t="shared" ref="K732:K737" si="8">33800*5%</f>
        <v>1690</v>
      </c>
      <c r="L732" s="183"/>
      <c r="M732" s="183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  <c r="AJ732" s="135"/>
      <c r="AK732" s="135"/>
      <c r="AL732" s="135"/>
      <c r="AM732" s="135"/>
      <c r="AN732" s="135"/>
      <c r="AO732" s="135"/>
      <c r="AP732" s="135"/>
      <c r="AQ732" s="135"/>
      <c r="AR732" s="135"/>
      <c r="AS732" s="135"/>
      <c r="AT732" s="135"/>
      <c r="AU732" s="135"/>
    </row>
    <row r="733" spans="1:47" ht="48" x14ac:dyDescent="0.2">
      <c r="A733" s="174"/>
      <c r="B733" s="175"/>
      <c r="C733" s="176"/>
      <c r="D733" s="177"/>
      <c r="E733" s="178"/>
      <c r="F733" s="178"/>
      <c r="G733" s="177"/>
      <c r="H733" s="177"/>
      <c r="I733" s="345" t="s">
        <v>542</v>
      </c>
      <c r="J733" s="206" t="s">
        <v>460</v>
      </c>
      <c r="K733" s="213">
        <f t="shared" si="8"/>
        <v>1690</v>
      </c>
      <c r="L733" s="183"/>
      <c r="M733" s="183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  <c r="AF733" s="135"/>
      <c r="AG733" s="135"/>
      <c r="AH733" s="135"/>
      <c r="AI733" s="135"/>
      <c r="AJ733" s="135"/>
      <c r="AK733" s="135"/>
      <c r="AL733" s="135"/>
      <c r="AM733" s="135"/>
      <c r="AN733" s="135"/>
      <c r="AO733" s="135"/>
      <c r="AP733" s="135"/>
      <c r="AQ733" s="135"/>
      <c r="AR733" s="135"/>
      <c r="AS733" s="135"/>
      <c r="AT733" s="135"/>
      <c r="AU733" s="135"/>
    </row>
    <row r="734" spans="1:47" x14ac:dyDescent="0.2">
      <c r="A734" s="174"/>
      <c r="B734" s="175"/>
      <c r="C734" s="176"/>
      <c r="D734" s="177"/>
      <c r="E734" s="178"/>
      <c r="F734" s="178"/>
      <c r="G734" s="177"/>
      <c r="H734" s="177"/>
      <c r="I734" s="345" t="s">
        <v>1048</v>
      </c>
      <c r="J734" s="206" t="s">
        <v>460</v>
      </c>
      <c r="K734" s="213">
        <f t="shared" si="8"/>
        <v>1690</v>
      </c>
      <c r="L734" s="183"/>
      <c r="M734" s="183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  <c r="AJ734" s="135"/>
      <c r="AK734" s="135"/>
      <c r="AL734" s="135"/>
      <c r="AM734" s="135"/>
      <c r="AN734" s="135"/>
      <c r="AO734" s="135"/>
      <c r="AP734" s="135"/>
      <c r="AQ734" s="135"/>
      <c r="AR734" s="135"/>
      <c r="AS734" s="135"/>
      <c r="AT734" s="135"/>
      <c r="AU734" s="135"/>
    </row>
    <row r="735" spans="1:47" x14ac:dyDescent="0.2">
      <c r="A735" s="174"/>
      <c r="B735" s="175"/>
      <c r="C735" s="176"/>
      <c r="D735" s="177"/>
      <c r="E735" s="178"/>
      <c r="F735" s="178"/>
      <c r="G735" s="177"/>
      <c r="H735" s="177"/>
      <c r="I735" s="345" t="s">
        <v>1049</v>
      </c>
      <c r="J735" s="206" t="s">
        <v>453</v>
      </c>
      <c r="K735" s="213">
        <f t="shared" si="8"/>
        <v>1690</v>
      </c>
      <c r="L735" s="183"/>
      <c r="M735" s="183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  <c r="AF735" s="135"/>
      <c r="AG735" s="135"/>
      <c r="AH735" s="135"/>
      <c r="AI735" s="135"/>
      <c r="AJ735" s="135"/>
      <c r="AK735" s="135"/>
      <c r="AL735" s="135"/>
      <c r="AM735" s="135"/>
      <c r="AN735" s="135"/>
      <c r="AO735" s="135"/>
      <c r="AP735" s="135"/>
      <c r="AQ735" s="135"/>
      <c r="AR735" s="135"/>
      <c r="AS735" s="135"/>
      <c r="AT735" s="135"/>
      <c r="AU735" s="135"/>
    </row>
    <row r="736" spans="1:47" x14ac:dyDescent="0.2">
      <c r="A736" s="174"/>
      <c r="B736" s="175"/>
      <c r="C736" s="176"/>
      <c r="D736" s="177"/>
      <c r="E736" s="178"/>
      <c r="F736" s="178"/>
      <c r="G736" s="177"/>
      <c r="H736" s="177"/>
      <c r="I736" s="345" t="s">
        <v>1050</v>
      </c>
      <c r="J736" s="206" t="s">
        <v>460</v>
      </c>
      <c r="K736" s="213">
        <f t="shared" si="8"/>
        <v>1690</v>
      </c>
      <c r="L736" s="183"/>
      <c r="M736" s="183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  <c r="AQ736" s="135"/>
      <c r="AR736" s="135"/>
      <c r="AS736" s="135"/>
      <c r="AT736" s="135"/>
      <c r="AU736" s="135"/>
    </row>
    <row r="737" spans="1:47" x14ac:dyDescent="0.2">
      <c r="A737" s="174"/>
      <c r="B737" s="175"/>
      <c r="C737" s="176"/>
      <c r="D737" s="177"/>
      <c r="E737" s="178"/>
      <c r="F737" s="178"/>
      <c r="G737" s="177"/>
      <c r="H737" s="177"/>
      <c r="I737" s="345" t="s">
        <v>1051</v>
      </c>
      <c r="J737" s="206" t="s">
        <v>460</v>
      </c>
      <c r="K737" s="213">
        <f t="shared" si="8"/>
        <v>1690</v>
      </c>
      <c r="L737" s="183"/>
      <c r="M737" s="183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  <c r="AM737" s="135"/>
      <c r="AN737" s="135"/>
      <c r="AO737" s="135"/>
      <c r="AP737" s="135"/>
      <c r="AQ737" s="135"/>
      <c r="AR737" s="135"/>
      <c r="AS737" s="135"/>
      <c r="AT737" s="135"/>
      <c r="AU737" s="135"/>
    </row>
    <row r="738" spans="1:47" x14ac:dyDescent="0.2">
      <c r="A738" s="187"/>
      <c r="B738" s="188"/>
      <c r="C738" s="189"/>
      <c r="D738" s="190"/>
      <c r="E738" s="191"/>
      <c r="F738" s="191"/>
      <c r="G738" s="190"/>
      <c r="H738" s="190"/>
      <c r="I738" s="346"/>
      <c r="J738" s="203"/>
      <c r="K738" s="204">
        <f>SUM(K731:K737)</f>
        <v>33800</v>
      </c>
      <c r="L738" s="196"/>
      <c r="M738" s="196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  <c r="AF738" s="135"/>
      <c r="AG738" s="135"/>
      <c r="AH738" s="135"/>
      <c r="AI738" s="135"/>
      <c r="AJ738" s="135"/>
      <c r="AK738" s="135"/>
      <c r="AL738" s="135"/>
      <c r="AM738" s="135"/>
      <c r="AN738" s="135"/>
      <c r="AO738" s="135"/>
      <c r="AP738" s="135"/>
      <c r="AQ738" s="135"/>
      <c r="AR738" s="135"/>
      <c r="AS738" s="135"/>
      <c r="AT738" s="135"/>
      <c r="AU738" s="135"/>
    </row>
    <row r="739" spans="1:47" ht="24.75" customHeight="1" x14ac:dyDescent="0.2">
      <c r="A739" s="163">
        <v>172</v>
      </c>
      <c r="B739" s="164" t="s">
        <v>1052</v>
      </c>
      <c r="C739" s="165"/>
      <c r="D739" s="166" t="s">
        <v>161</v>
      </c>
      <c r="E739" s="167"/>
      <c r="F739" s="167"/>
      <c r="G739" s="166"/>
      <c r="H739" s="166"/>
      <c r="I739" s="217" t="s">
        <v>1044</v>
      </c>
      <c r="J739" s="197" t="s">
        <v>1053</v>
      </c>
      <c r="K739" s="341">
        <f>154000*70%</f>
        <v>107800</v>
      </c>
      <c r="L739" s="172" t="s">
        <v>164</v>
      </c>
      <c r="M739" s="172" t="s">
        <v>1054</v>
      </c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  <c r="AF739" s="135"/>
      <c r="AG739" s="135"/>
      <c r="AH739" s="135"/>
      <c r="AI739" s="135"/>
      <c r="AJ739" s="135"/>
      <c r="AK739" s="135"/>
      <c r="AL739" s="135"/>
      <c r="AM739" s="135"/>
      <c r="AN739" s="135"/>
      <c r="AO739" s="135"/>
      <c r="AP739" s="135"/>
      <c r="AQ739" s="135"/>
      <c r="AR739" s="135"/>
      <c r="AS739" s="135"/>
      <c r="AT739" s="135"/>
      <c r="AU739" s="135"/>
    </row>
    <row r="740" spans="1:47" x14ac:dyDescent="0.2">
      <c r="A740" s="174"/>
      <c r="B740" s="175"/>
      <c r="C740" s="176"/>
      <c r="D740" s="177"/>
      <c r="E740" s="178"/>
      <c r="F740" s="178"/>
      <c r="G740" s="177"/>
      <c r="H740" s="177"/>
      <c r="I740" s="186" t="s">
        <v>1055</v>
      </c>
      <c r="J740" s="180" t="s">
        <v>1056</v>
      </c>
      <c r="K740" s="342">
        <f t="shared" ref="K740:K745" si="9">154000*5%</f>
        <v>7700</v>
      </c>
      <c r="L740" s="183"/>
      <c r="M740" s="183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  <c r="AF740" s="135"/>
      <c r="AG740" s="135"/>
      <c r="AH740" s="135"/>
      <c r="AI740" s="135"/>
      <c r="AJ740" s="135"/>
      <c r="AK740" s="135"/>
      <c r="AL740" s="135"/>
      <c r="AM740" s="135"/>
      <c r="AN740" s="135"/>
      <c r="AO740" s="135"/>
      <c r="AP740" s="135"/>
      <c r="AQ740" s="135"/>
      <c r="AR740" s="135"/>
      <c r="AS740" s="135"/>
      <c r="AT740" s="135"/>
      <c r="AU740" s="135"/>
    </row>
    <row r="741" spans="1:47" ht="48" x14ac:dyDescent="0.2">
      <c r="A741" s="174"/>
      <c r="B741" s="175"/>
      <c r="C741" s="176"/>
      <c r="D741" s="177"/>
      <c r="E741" s="178"/>
      <c r="F741" s="178"/>
      <c r="G741" s="177"/>
      <c r="H741" s="177"/>
      <c r="I741" s="186" t="s">
        <v>542</v>
      </c>
      <c r="J741" s="180" t="s">
        <v>460</v>
      </c>
      <c r="K741" s="342">
        <f t="shared" si="9"/>
        <v>7700</v>
      </c>
      <c r="L741" s="183"/>
      <c r="M741" s="183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  <c r="AF741" s="135"/>
      <c r="AG741" s="135"/>
      <c r="AH741" s="135"/>
      <c r="AI741" s="135"/>
      <c r="AJ741" s="135"/>
      <c r="AK741" s="135"/>
      <c r="AL741" s="135"/>
      <c r="AM741" s="135"/>
      <c r="AN741" s="135"/>
      <c r="AO741" s="135"/>
      <c r="AP741" s="135"/>
      <c r="AQ741" s="135"/>
      <c r="AR741" s="135"/>
      <c r="AS741" s="135"/>
      <c r="AT741" s="135"/>
      <c r="AU741" s="135"/>
    </row>
    <row r="742" spans="1:47" x14ac:dyDescent="0.2">
      <c r="A742" s="174"/>
      <c r="B742" s="175"/>
      <c r="C742" s="176"/>
      <c r="D742" s="177"/>
      <c r="E742" s="178"/>
      <c r="F742" s="178"/>
      <c r="G742" s="177"/>
      <c r="H742" s="177"/>
      <c r="I742" s="186" t="s">
        <v>1057</v>
      </c>
      <c r="J742" s="180" t="s">
        <v>460</v>
      </c>
      <c r="K742" s="342">
        <f t="shared" si="9"/>
        <v>7700</v>
      </c>
      <c r="L742" s="183"/>
      <c r="M742" s="183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  <c r="AQ742" s="135"/>
      <c r="AR742" s="135"/>
      <c r="AS742" s="135"/>
      <c r="AT742" s="135"/>
      <c r="AU742" s="135"/>
    </row>
    <row r="743" spans="1:47" x14ac:dyDescent="0.2">
      <c r="A743" s="174"/>
      <c r="B743" s="175"/>
      <c r="C743" s="176"/>
      <c r="D743" s="177"/>
      <c r="E743" s="178"/>
      <c r="F743" s="178"/>
      <c r="G743" s="177"/>
      <c r="H743" s="177"/>
      <c r="I743" s="186" t="s">
        <v>1048</v>
      </c>
      <c r="J743" s="180" t="s">
        <v>460</v>
      </c>
      <c r="K743" s="342">
        <f t="shared" si="9"/>
        <v>7700</v>
      </c>
      <c r="L743" s="183"/>
      <c r="M743" s="183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  <c r="AF743" s="135"/>
      <c r="AG743" s="135"/>
      <c r="AH743" s="135"/>
      <c r="AI743" s="135"/>
      <c r="AJ743" s="135"/>
      <c r="AK743" s="135"/>
      <c r="AL743" s="135"/>
      <c r="AM743" s="135"/>
      <c r="AN743" s="135"/>
      <c r="AO743" s="135"/>
      <c r="AP743" s="135"/>
      <c r="AQ743" s="135"/>
      <c r="AR743" s="135"/>
      <c r="AS743" s="135"/>
      <c r="AT743" s="135"/>
      <c r="AU743" s="135"/>
    </row>
    <row r="744" spans="1:47" x14ac:dyDescent="0.2">
      <c r="A744" s="174"/>
      <c r="B744" s="175"/>
      <c r="C744" s="176"/>
      <c r="D744" s="177"/>
      <c r="E744" s="178"/>
      <c r="F744" s="178"/>
      <c r="G744" s="177"/>
      <c r="H744" s="177"/>
      <c r="I744" s="186" t="s">
        <v>1049</v>
      </c>
      <c r="J744" s="180" t="s">
        <v>453</v>
      </c>
      <c r="K744" s="342">
        <f t="shared" si="9"/>
        <v>7700</v>
      </c>
      <c r="L744" s="183"/>
      <c r="M744" s="183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  <c r="AF744" s="135"/>
      <c r="AG744" s="135"/>
      <c r="AH744" s="135"/>
      <c r="AI744" s="135"/>
      <c r="AJ744" s="135"/>
      <c r="AK744" s="135"/>
      <c r="AL744" s="135"/>
      <c r="AM744" s="135"/>
      <c r="AN744" s="135"/>
      <c r="AO744" s="135"/>
      <c r="AP744" s="135"/>
      <c r="AQ744" s="135"/>
      <c r="AR744" s="135"/>
      <c r="AS744" s="135"/>
      <c r="AT744" s="135"/>
      <c r="AU744" s="135"/>
    </row>
    <row r="745" spans="1:47" x14ac:dyDescent="0.2">
      <c r="A745" s="174"/>
      <c r="B745" s="175"/>
      <c r="C745" s="176"/>
      <c r="D745" s="177"/>
      <c r="E745" s="178"/>
      <c r="F745" s="178"/>
      <c r="G745" s="177"/>
      <c r="H745" s="177"/>
      <c r="I745" s="186" t="s">
        <v>1050</v>
      </c>
      <c r="J745" s="180" t="s">
        <v>460</v>
      </c>
      <c r="K745" s="342">
        <f t="shared" si="9"/>
        <v>7700</v>
      </c>
      <c r="L745" s="183"/>
      <c r="M745" s="183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  <c r="AF745" s="135"/>
      <c r="AG745" s="135"/>
      <c r="AH745" s="135"/>
      <c r="AI745" s="135"/>
      <c r="AJ745" s="135"/>
      <c r="AK745" s="135"/>
      <c r="AL745" s="135"/>
      <c r="AM745" s="135"/>
      <c r="AN745" s="135"/>
      <c r="AO745" s="135"/>
      <c r="AP745" s="135"/>
      <c r="AQ745" s="135"/>
      <c r="AR745" s="135"/>
      <c r="AS745" s="135"/>
      <c r="AT745" s="135"/>
      <c r="AU745" s="135"/>
    </row>
    <row r="746" spans="1:47" x14ac:dyDescent="0.2">
      <c r="A746" s="187"/>
      <c r="B746" s="188"/>
      <c r="C746" s="189"/>
      <c r="D746" s="190"/>
      <c r="E746" s="191"/>
      <c r="F746" s="191"/>
      <c r="G746" s="190"/>
      <c r="H746" s="190"/>
      <c r="I746" s="202"/>
      <c r="J746" s="193"/>
      <c r="K746" s="343">
        <f>SUM(K739:K745)</f>
        <v>154000</v>
      </c>
      <c r="L746" s="196"/>
      <c r="M746" s="196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  <c r="AF746" s="135"/>
      <c r="AG746" s="135"/>
      <c r="AH746" s="135"/>
      <c r="AI746" s="135"/>
      <c r="AJ746" s="135"/>
      <c r="AK746" s="135"/>
      <c r="AL746" s="135"/>
      <c r="AM746" s="135"/>
      <c r="AN746" s="135"/>
      <c r="AO746" s="135"/>
      <c r="AP746" s="135"/>
      <c r="AQ746" s="135"/>
      <c r="AR746" s="135"/>
      <c r="AS746" s="135"/>
      <c r="AT746" s="135"/>
      <c r="AU746" s="135"/>
    </row>
    <row r="747" spans="1:47" ht="24" customHeight="1" x14ac:dyDescent="0.2">
      <c r="A747" s="163">
        <v>173</v>
      </c>
      <c r="B747" s="164" t="s">
        <v>1058</v>
      </c>
      <c r="C747" s="165"/>
      <c r="D747" s="166" t="s">
        <v>161</v>
      </c>
      <c r="E747" s="167"/>
      <c r="F747" s="167"/>
      <c r="G747" s="166"/>
      <c r="H747" s="166"/>
      <c r="I747" s="299" t="s">
        <v>1059</v>
      </c>
      <c r="J747" s="262" t="s">
        <v>1053</v>
      </c>
      <c r="K747" s="209">
        <f>154000*65%</f>
        <v>100100</v>
      </c>
      <c r="L747" s="172" t="s">
        <v>164</v>
      </c>
      <c r="M747" s="172" t="s">
        <v>1060</v>
      </c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  <c r="AF747" s="135"/>
      <c r="AG747" s="135"/>
      <c r="AH747" s="135"/>
      <c r="AI747" s="135"/>
      <c r="AJ747" s="135"/>
      <c r="AK747" s="135"/>
      <c r="AL747" s="135"/>
      <c r="AM747" s="135"/>
      <c r="AN747" s="135"/>
      <c r="AO747" s="135"/>
      <c r="AP747" s="135"/>
      <c r="AQ747" s="135"/>
      <c r="AR747" s="135"/>
      <c r="AS747" s="135"/>
      <c r="AT747" s="135"/>
      <c r="AU747" s="135"/>
    </row>
    <row r="748" spans="1:47" x14ac:dyDescent="0.2">
      <c r="A748" s="174"/>
      <c r="B748" s="175"/>
      <c r="C748" s="176"/>
      <c r="D748" s="177"/>
      <c r="E748" s="178"/>
      <c r="F748" s="178"/>
      <c r="G748" s="177"/>
      <c r="H748" s="177"/>
      <c r="I748" s="186" t="s">
        <v>993</v>
      </c>
      <c r="J748" s="206" t="s">
        <v>823</v>
      </c>
      <c r="K748" s="213">
        <f>154000*10%</f>
        <v>15400</v>
      </c>
      <c r="L748" s="183"/>
      <c r="M748" s="183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  <c r="AF748" s="135"/>
      <c r="AG748" s="135"/>
      <c r="AH748" s="135"/>
      <c r="AI748" s="135"/>
      <c r="AJ748" s="135"/>
      <c r="AK748" s="135"/>
      <c r="AL748" s="135"/>
      <c r="AM748" s="135"/>
      <c r="AN748" s="135"/>
      <c r="AO748" s="135"/>
      <c r="AP748" s="135"/>
      <c r="AQ748" s="135"/>
      <c r="AR748" s="135"/>
      <c r="AS748" s="135"/>
      <c r="AT748" s="135"/>
      <c r="AU748" s="135"/>
    </row>
    <row r="749" spans="1:47" ht="48" x14ac:dyDescent="0.2">
      <c r="A749" s="174"/>
      <c r="B749" s="175"/>
      <c r="C749" s="176"/>
      <c r="D749" s="177"/>
      <c r="E749" s="178"/>
      <c r="F749" s="178"/>
      <c r="G749" s="177"/>
      <c r="H749" s="177"/>
      <c r="I749" s="186" t="s">
        <v>542</v>
      </c>
      <c r="J749" s="206" t="s">
        <v>460</v>
      </c>
      <c r="K749" s="213">
        <f>154000*5%</f>
        <v>7700</v>
      </c>
      <c r="L749" s="183"/>
      <c r="M749" s="183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  <c r="AF749" s="135"/>
      <c r="AG749" s="135"/>
      <c r="AH749" s="135"/>
      <c r="AI749" s="135"/>
      <c r="AJ749" s="135"/>
      <c r="AK749" s="135"/>
      <c r="AL749" s="135"/>
      <c r="AM749" s="135"/>
      <c r="AN749" s="135"/>
      <c r="AO749" s="135"/>
      <c r="AP749" s="135"/>
      <c r="AQ749" s="135"/>
      <c r="AR749" s="135"/>
      <c r="AS749" s="135"/>
      <c r="AT749" s="135"/>
      <c r="AU749" s="135"/>
    </row>
    <row r="750" spans="1:47" x14ac:dyDescent="0.2">
      <c r="A750" s="174"/>
      <c r="B750" s="175"/>
      <c r="C750" s="176"/>
      <c r="D750" s="177"/>
      <c r="E750" s="178"/>
      <c r="F750" s="178"/>
      <c r="G750" s="177"/>
      <c r="H750" s="177"/>
      <c r="I750" s="186" t="s">
        <v>1057</v>
      </c>
      <c r="J750" s="206" t="s">
        <v>460</v>
      </c>
      <c r="K750" s="213">
        <f>154000*5%</f>
        <v>7700</v>
      </c>
      <c r="L750" s="183"/>
      <c r="M750" s="183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/>
      <c r="AO750" s="135"/>
      <c r="AP750" s="135"/>
      <c r="AQ750" s="135"/>
      <c r="AR750" s="135"/>
      <c r="AS750" s="135"/>
      <c r="AT750" s="135"/>
      <c r="AU750" s="135"/>
    </row>
    <row r="751" spans="1:47" x14ac:dyDescent="0.2">
      <c r="A751" s="174"/>
      <c r="B751" s="175"/>
      <c r="C751" s="176"/>
      <c r="D751" s="177"/>
      <c r="E751" s="178"/>
      <c r="F751" s="178"/>
      <c r="G751" s="177"/>
      <c r="H751" s="177"/>
      <c r="I751" s="186" t="s">
        <v>1048</v>
      </c>
      <c r="J751" s="206" t="s">
        <v>460</v>
      </c>
      <c r="K751" s="213">
        <f>154000*5%</f>
        <v>7700</v>
      </c>
      <c r="L751" s="183"/>
      <c r="M751" s="183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  <c r="AF751" s="135"/>
      <c r="AG751" s="135"/>
      <c r="AH751" s="135"/>
      <c r="AI751" s="135"/>
      <c r="AJ751" s="135"/>
      <c r="AK751" s="135"/>
      <c r="AL751" s="135"/>
      <c r="AM751" s="135"/>
      <c r="AN751" s="135"/>
      <c r="AO751" s="135"/>
      <c r="AP751" s="135"/>
      <c r="AQ751" s="135"/>
      <c r="AR751" s="135"/>
      <c r="AS751" s="135"/>
      <c r="AT751" s="135"/>
      <c r="AU751" s="135"/>
    </row>
    <row r="752" spans="1:47" x14ac:dyDescent="0.2">
      <c r="A752" s="174"/>
      <c r="B752" s="175"/>
      <c r="C752" s="176"/>
      <c r="D752" s="177"/>
      <c r="E752" s="178"/>
      <c r="F752" s="178"/>
      <c r="G752" s="177"/>
      <c r="H752" s="177"/>
      <c r="I752" s="186" t="s">
        <v>1049</v>
      </c>
      <c r="J752" s="206" t="s">
        <v>453</v>
      </c>
      <c r="K752" s="213">
        <f>154000*5%</f>
        <v>7700</v>
      </c>
      <c r="L752" s="183"/>
      <c r="M752" s="183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  <c r="AF752" s="135"/>
      <c r="AG752" s="135"/>
      <c r="AH752" s="135"/>
      <c r="AI752" s="135"/>
      <c r="AJ752" s="135"/>
      <c r="AK752" s="135"/>
      <c r="AL752" s="135"/>
      <c r="AM752" s="135"/>
      <c r="AN752" s="135"/>
      <c r="AO752" s="135"/>
      <c r="AP752" s="135"/>
      <c r="AQ752" s="135"/>
      <c r="AR752" s="135"/>
      <c r="AS752" s="135"/>
      <c r="AT752" s="135"/>
      <c r="AU752" s="135"/>
    </row>
    <row r="753" spans="1:47" x14ac:dyDescent="0.2">
      <c r="A753" s="174"/>
      <c r="B753" s="175"/>
      <c r="C753" s="176"/>
      <c r="D753" s="177"/>
      <c r="E753" s="178"/>
      <c r="F753" s="178"/>
      <c r="G753" s="177"/>
      <c r="H753" s="177"/>
      <c r="I753" s="186" t="s">
        <v>1055</v>
      </c>
      <c r="J753" s="206" t="s">
        <v>441</v>
      </c>
      <c r="K753" s="213">
        <f>154000*5%</f>
        <v>7700</v>
      </c>
      <c r="L753" s="183"/>
      <c r="M753" s="183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  <c r="AF753" s="135"/>
      <c r="AG753" s="135"/>
      <c r="AH753" s="135"/>
      <c r="AI753" s="135"/>
      <c r="AJ753" s="135"/>
      <c r="AK753" s="135"/>
      <c r="AL753" s="135"/>
      <c r="AM753" s="135"/>
      <c r="AN753" s="135"/>
      <c r="AO753" s="135"/>
      <c r="AP753" s="135"/>
      <c r="AQ753" s="135"/>
      <c r="AR753" s="135"/>
      <c r="AS753" s="135"/>
      <c r="AT753" s="135"/>
      <c r="AU753" s="135"/>
    </row>
    <row r="754" spans="1:47" x14ac:dyDescent="0.2">
      <c r="A754" s="187"/>
      <c r="B754" s="188"/>
      <c r="C754" s="189"/>
      <c r="D754" s="190"/>
      <c r="E754" s="191"/>
      <c r="F754" s="191"/>
      <c r="G754" s="190"/>
      <c r="H754" s="190"/>
      <c r="I754" s="202"/>
      <c r="J754" s="203"/>
      <c r="K754" s="199">
        <f>SUM(K747:K753)</f>
        <v>154000</v>
      </c>
      <c r="L754" s="196"/>
      <c r="M754" s="196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  <c r="AQ754" s="135"/>
      <c r="AR754" s="135"/>
      <c r="AS754" s="135"/>
      <c r="AT754" s="135"/>
      <c r="AU754" s="135"/>
    </row>
    <row r="755" spans="1:47" ht="23.25" customHeight="1" x14ac:dyDescent="0.2">
      <c r="A755" s="163">
        <v>174</v>
      </c>
      <c r="B755" s="164" t="s">
        <v>1061</v>
      </c>
      <c r="C755" s="165"/>
      <c r="D755" s="166" t="s">
        <v>161</v>
      </c>
      <c r="E755" s="167"/>
      <c r="F755" s="167"/>
      <c r="G755" s="166"/>
      <c r="H755" s="166"/>
      <c r="I755" s="217" t="s">
        <v>1062</v>
      </c>
      <c r="J755" s="347" t="s">
        <v>1053</v>
      </c>
      <c r="K755" s="278">
        <f>80850*60%</f>
        <v>48510</v>
      </c>
      <c r="L755" s="172" t="s">
        <v>164</v>
      </c>
      <c r="M755" s="172" t="s">
        <v>1063</v>
      </c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5"/>
      <c r="AM755" s="135"/>
      <c r="AN755" s="135"/>
      <c r="AO755" s="135"/>
      <c r="AP755" s="135"/>
      <c r="AQ755" s="135"/>
      <c r="AR755" s="135"/>
      <c r="AS755" s="135"/>
      <c r="AT755" s="135"/>
      <c r="AU755" s="135"/>
    </row>
    <row r="756" spans="1:47" x14ac:dyDescent="0.2">
      <c r="A756" s="174"/>
      <c r="B756" s="175"/>
      <c r="C756" s="176"/>
      <c r="D756" s="177"/>
      <c r="E756" s="178"/>
      <c r="F756" s="178"/>
      <c r="G756" s="177"/>
      <c r="H756" s="177"/>
      <c r="I756" s="186" t="s">
        <v>1064</v>
      </c>
      <c r="J756" s="348" t="s">
        <v>823</v>
      </c>
      <c r="K756" s="213">
        <f>80850*20%</f>
        <v>16170</v>
      </c>
      <c r="L756" s="183"/>
      <c r="M756" s="183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  <c r="AF756" s="135"/>
      <c r="AG756" s="135"/>
      <c r="AH756" s="135"/>
      <c r="AI756" s="135"/>
      <c r="AJ756" s="135"/>
      <c r="AK756" s="135"/>
      <c r="AL756" s="135"/>
      <c r="AM756" s="135"/>
      <c r="AN756" s="135"/>
      <c r="AO756" s="135"/>
      <c r="AP756" s="135"/>
      <c r="AQ756" s="135"/>
      <c r="AR756" s="135"/>
      <c r="AS756" s="135"/>
      <c r="AT756" s="135"/>
      <c r="AU756" s="135"/>
    </row>
    <row r="757" spans="1:47" x14ac:dyDescent="0.2">
      <c r="A757" s="174"/>
      <c r="B757" s="175"/>
      <c r="C757" s="176"/>
      <c r="D757" s="177"/>
      <c r="E757" s="178"/>
      <c r="F757" s="178"/>
      <c r="G757" s="177"/>
      <c r="H757" s="177"/>
      <c r="I757" s="186" t="s">
        <v>1065</v>
      </c>
      <c r="J757" s="348" t="s">
        <v>460</v>
      </c>
      <c r="K757" s="213">
        <f>80850*10%</f>
        <v>8085</v>
      </c>
      <c r="L757" s="183"/>
      <c r="M757" s="183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  <c r="AF757" s="135"/>
      <c r="AG757" s="135"/>
      <c r="AH757" s="135"/>
      <c r="AI757" s="135"/>
      <c r="AJ757" s="135"/>
      <c r="AK757" s="135"/>
      <c r="AL757" s="135"/>
      <c r="AM757" s="135"/>
      <c r="AN757" s="135"/>
      <c r="AO757" s="135"/>
      <c r="AP757" s="135"/>
      <c r="AQ757" s="135"/>
      <c r="AR757" s="135"/>
      <c r="AS757" s="135"/>
      <c r="AT757" s="135"/>
      <c r="AU757" s="135"/>
    </row>
    <row r="758" spans="1:47" x14ac:dyDescent="0.2">
      <c r="A758" s="174"/>
      <c r="B758" s="175"/>
      <c r="C758" s="176"/>
      <c r="D758" s="177"/>
      <c r="E758" s="178"/>
      <c r="F758" s="178"/>
      <c r="G758" s="177"/>
      <c r="H758" s="177"/>
      <c r="I758" s="186" t="s">
        <v>1066</v>
      </c>
      <c r="J758" s="348" t="s">
        <v>460</v>
      </c>
      <c r="K758" s="213">
        <f>80850*10%</f>
        <v>8085</v>
      </c>
      <c r="L758" s="183"/>
      <c r="M758" s="183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5"/>
      <c r="AM758" s="135"/>
      <c r="AN758" s="135"/>
      <c r="AO758" s="135"/>
      <c r="AP758" s="135"/>
      <c r="AQ758" s="135"/>
      <c r="AR758" s="135"/>
      <c r="AS758" s="135"/>
      <c r="AT758" s="135"/>
      <c r="AU758" s="135"/>
    </row>
    <row r="759" spans="1:47" x14ac:dyDescent="0.2">
      <c r="A759" s="187"/>
      <c r="B759" s="188"/>
      <c r="C759" s="189"/>
      <c r="D759" s="190"/>
      <c r="E759" s="191"/>
      <c r="F759" s="191"/>
      <c r="G759" s="190"/>
      <c r="H759" s="190"/>
      <c r="I759" s="202"/>
      <c r="J759" s="349"/>
      <c r="K759" s="319">
        <f>SUM(K755:K758)</f>
        <v>80850</v>
      </c>
      <c r="L759" s="196"/>
      <c r="M759" s="196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  <c r="AF759" s="135"/>
      <c r="AG759" s="135"/>
      <c r="AH759" s="135"/>
      <c r="AI759" s="135"/>
      <c r="AJ759" s="135"/>
      <c r="AK759" s="135"/>
      <c r="AL759" s="135"/>
      <c r="AM759" s="135"/>
      <c r="AN759" s="135"/>
      <c r="AO759" s="135"/>
      <c r="AP759" s="135"/>
      <c r="AQ759" s="135"/>
      <c r="AR759" s="135"/>
      <c r="AS759" s="135"/>
      <c r="AT759" s="135"/>
      <c r="AU759" s="135"/>
    </row>
    <row r="760" spans="1:47" ht="23.25" customHeight="1" x14ac:dyDescent="0.2">
      <c r="A760" s="163">
        <v>175</v>
      </c>
      <c r="B760" s="164" t="s">
        <v>1067</v>
      </c>
      <c r="C760" s="165"/>
      <c r="D760" s="166" t="s">
        <v>161</v>
      </c>
      <c r="E760" s="167"/>
      <c r="F760" s="167"/>
      <c r="G760" s="166"/>
      <c r="H760" s="166"/>
      <c r="I760" s="299" t="s">
        <v>1068</v>
      </c>
      <c r="J760" s="262" t="s">
        <v>897</v>
      </c>
      <c r="K760" s="270">
        <f>154000*80%</f>
        <v>123200</v>
      </c>
      <c r="L760" s="172" t="s">
        <v>164</v>
      </c>
      <c r="M760" s="172" t="s">
        <v>1069</v>
      </c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  <c r="AF760" s="135"/>
      <c r="AG760" s="135"/>
      <c r="AH760" s="135"/>
      <c r="AI760" s="135"/>
      <c r="AJ760" s="135"/>
      <c r="AK760" s="135"/>
      <c r="AL760" s="135"/>
      <c r="AM760" s="135"/>
      <c r="AN760" s="135"/>
      <c r="AO760" s="135"/>
      <c r="AP760" s="135"/>
      <c r="AQ760" s="135"/>
      <c r="AR760" s="135"/>
      <c r="AS760" s="135"/>
      <c r="AT760" s="135"/>
      <c r="AU760" s="135"/>
    </row>
    <row r="761" spans="1:47" ht="48" x14ac:dyDescent="0.2">
      <c r="A761" s="174"/>
      <c r="B761" s="175"/>
      <c r="C761" s="176"/>
      <c r="D761" s="177"/>
      <c r="E761" s="178"/>
      <c r="F761" s="178"/>
      <c r="G761" s="177"/>
      <c r="H761" s="177"/>
      <c r="I761" s="186" t="s">
        <v>542</v>
      </c>
      <c r="J761" s="206" t="s">
        <v>460</v>
      </c>
      <c r="K761" s="213">
        <f>154000*5%</f>
        <v>7700</v>
      </c>
      <c r="L761" s="183"/>
      <c r="M761" s="183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  <c r="AF761" s="135"/>
      <c r="AG761" s="135"/>
      <c r="AH761" s="135"/>
      <c r="AI761" s="135"/>
      <c r="AJ761" s="135"/>
      <c r="AK761" s="135"/>
      <c r="AL761" s="135"/>
      <c r="AM761" s="135"/>
      <c r="AN761" s="135"/>
      <c r="AO761" s="135"/>
      <c r="AP761" s="135"/>
      <c r="AQ761" s="135"/>
      <c r="AR761" s="135"/>
      <c r="AS761" s="135"/>
      <c r="AT761" s="135"/>
      <c r="AU761" s="135"/>
    </row>
    <row r="762" spans="1:47" x14ac:dyDescent="0.2">
      <c r="A762" s="174"/>
      <c r="B762" s="175"/>
      <c r="C762" s="176"/>
      <c r="D762" s="177"/>
      <c r="E762" s="178"/>
      <c r="F762" s="178"/>
      <c r="G762" s="177"/>
      <c r="H762" s="177"/>
      <c r="I762" s="186" t="s">
        <v>540</v>
      </c>
      <c r="J762" s="206" t="s">
        <v>460</v>
      </c>
      <c r="K762" s="213">
        <f>154000*5%</f>
        <v>7700</v>
      </c>
      <c r="L762" s="183"/>
      <c r="M762" s="183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  <c r="AM762" s="135"/>
      <c r="AN762" s="135"/>
      <c r="AO762" s="135"/>
      <c r="AP762" s="135"/>
      <c r="AQ762" s="135"/>
      <c r="AR762" s="135"/>
      <c r="AS762" s="135"/>
      <c r="AT762" s="135"/>
      <c r="AU762" s="135"/>
    </row>
    <row r="763" spans="1:47" x14ac:dyDescent="0.2">
      <c r="A763" s="174"/>
      <c r="B763" s="175"/>
      <c r="C763" s="176"/>
      <c r="D763" s="177"/>
      <c r="E763" s="178"/>
      <c r="F763" s="178"/>
      <c r="G763" s="177"/>
      <c r="H763" s="177"/>
      <c r="I763" s="186" t="s">
        <v>1070</v>
      </c>
      <c r="J763" s="206" t="s">
        <v>453</v>
      </c>
      <c r="K763" s="213">
        <f>154000*5%</f>
        <v>7700</v>
      </c>
      <c r="L763" s="183"/>
      <c r="M763" s="183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  <c r="AF763" s="135"/>
      <c r="AG763" s="135"/>
      <c r="AH763" s="135"/>
      <c r="AI763" s="135"/>
      <c r="AJ763" s="135"/>
      <c r="AK763" s="135"/>
      <c r="AL763" s="135"/>
      <c r="AM763" s="135"/>
      <c r="AN763" s="135"/>
      <c r="AO763" s="135"/>
      <c r="AP763" s="135"/>
      <c r="AQ763" s="135"/>
      <c r="AR763" s="135"/>
      <c r="AS763" s="135"/>
      <c r="AT763" s="135"/>
      <c r="AU763" s="135"/>
    </row>
    <row r="764" spans="1:47" x14ac:dyDescent="0.2">
      <c r="A764" s="174"/>
      <c r="B764" s="175"/>
      <c r="C764" s="176"/>
      <c r="D764" s="177"/>
      <c r="E764" s="178"/>
      <c r="F764" s="178"/>
      <c r="G764" s="177"/>
      <c r="H764" s="177"/>
      <c r="I764" s="186" t="s">
        <v>1050</v>
      </c>
      <c r="J764" s="206" t="s">
        <v>460</v>
      </c>
      <c r="K764" s="213">
        <f>154000*5%</f>
        <v>7700</v>
      </c>
      <c r="L764" s="183"/>
      <c r="M764" s="183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  <c r="AF764" s="135"/>
      <c r="AG764" s="135"/>
      <c r="AH764" s="135"/>
      <c r="AI764" s="135"/>
      <c r="AJ764" s="135"/>
      <c r="AK764" s="135"/>
      <c r="AL764" s="135"/>
      <c r="AM764" s="135"/>
      <c r="AN764" s="135"/>
      <c r="AO764" s="135"/>
      <c r="AP764" s="135"/>
      <c r="AQ764" s="135"/>
      <c r="AR764" s="135"/>
      <c r="AS764" s="135"/>
      <c r="AT764" s="135"/>
      <c r="AU764" s="135"/>
    </row>
    <row r="765" spans="1:47" x14ac:dyDescent="0.2">
      <c r="A765" s="187"/>
      <c r="B765" s="188"/>
      <c r="C765" s="189"/>
      <c r="D765" s="190"/>
      <c r="E765" s="191"/>
      <c r="F765" s="191"/>
      <c r="G765" s="190"/>
      <c r="H765" s="190"/>
      <c r="I765" s="202"/>
      <c r="J765" s="203"/>
      <c r="K765" s="210">
        <f>SUM(K760:K764)</f>
        <v>154000</v>
      </c>
      <c r="L765" s="196"/>
      <c r="M765" s="196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  <c r="AF765" s="135"/>
      <c r="AG765" s="135"/>
      <c r="AH765" s="135"/>
      <c r="AI765" s="135"/>
      <c r="AJ765" s="135"/>
      <c r="AK765" s="135"/>
      <c r="AL765" s="135"/>
      <c r="AM765" s="135"/>
      <c r="AN765" s="135"/>
      <c r="AO765" s="135"/>
      <c r="AP765" s="135"/>
      <c r="AQ765" s="135"/>
      <c r="AR765" s="135"/>
      <c r="AS765" s="135"/>
      <c r="AT765" s="135"/>
      <c r="AU765" s="135"/>
    </row>
    <row r="766" spans="1:47" ht="23.25" customHeight="1" x14ac:dyDescent="0.2">
      <c r="A766" s="163">
        <v>176</v>
      </c>
      <c r="B766" s="164" t="s">
        <v>1071</v>
      </c>
      <c r="C766" s="165"/>
      <c r="D766" s="166" t="s">
        <v>161</v>
      </c>
      <c r="E766" s="167"/>
      <c r="F766" s="167"/>
      <c r="G766" s="166"/>
      <c r="H766" s="166" t="s">
        <v>162</v>
      </c>
      <c r="I766" s="217" t="s">
        <v>1072</v>
      </c>
      <c r="J766" s="262" t="s">
        <v>897</v>
      </c>
      <c r="K766" s="209">
        <f>150000*50%</f>
        <v>75000</v>
      </c>
      <c r="L766" s="172" t="s">
        <v>164</v>
      </c>
      <c r="M766" s="172" t="s">
        <v>1073</v>
      </c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  <c r="AF766" s="135"/>
      <c r="AG766" s="135"/>
      <c r="AH766" s="135"/>
      <c r="AI766" s="135"/>
      <c r="AJ766" s="135"/>
      <c r="AK766" s="135"/>
      <c r="AL766" s="135"/>
      <c r="AM766" s="135"/>
      <c r="AN766" s="135"/>
      <c r="AO766" s="135"/>
      <c r="AP766" s="135"/>
      <c r="AQ766" s="135"/>
      <c r="AR766" s="135"/>
      <c r="AS766" s="135"/>
      <c r="AT766" s="135"/>
      <c r="AU766" s="135"/>
    </row>
    <row r="767" spans="1:47" x14ac:dyDescent="0.2">
      <c r="A767" s="174"/>
      <c r="B767" s="175"/>
      <c r="C767" s="176"/>
      <c r="D767" s="177"/>
      <c r="E767" s="178"/>
      <c r="F767" s="178"/>
      <c r="G767" s="177"/>
      <c r="H767" s="177"/>
      <c r="I767" s="186" t="s">
        <v>1074</v>
      </c>
      <c r="J767" s="206" t="s">
        <v>460</v>
      </c>
      <c r="K767" s="213">
        <f>150000*50%</f>
        <v>75000</v>
      </c>
      <c r="L767" s="183"/>
      <c r="M767" s="183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  <c r="AF767" s="135"/>
      <c r="AG767" s="135"/>
      <c r="AH767" s="135"/>
      <c r="AI767" s="135"/>
      <c r="AJ767" s="135"/>
      <c r="AK767" s="135"/>
      <c r="AL767" s="135"/>
      <c r="AM767" s="135"/>
      <c r="AN767" s="135"/>
      <c r="AO767" s="135"/>
      <c r="AP767" s="135"/>
      <c r="AQ767" s="135"/>
      <c r="AR767" s="135"/>
      <c r="AS767" s="135"/>
      <c r="AT767" s="135"/>
      <c r="AU767" s="135"/>
    </row>
    <row r="768" spans="1:47" x14ac:dyDescent="0.2">
      <c r="A768" s="187"/>
      <c r="B768" s="188"/>
      <c r="C768" s="189"/>
      <c r="D768" s="190"/>
      <c r="E768" s="191"/>
      <c r="F768" s="191"/>
      <c r="G768" s="190"/>
      <c r="H768" s="190"/>
      <c r="I768" s="202"/>
      <c r="J768" s="203"/>
      <c r="K768" s="210">
        <f>SUM(K766:K767)</f>
        <v>150000</v>
      </c>
      <c r="L768" s="196"/>
      <c r="M768" s="196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/>
      <c r="AI768" s="135"/>
      <c r="AJ768" s="135"/>
      <c r="AK768" s="135"/>
      <c r="AL768" s="135"/>
      <c r="AM768" s="135"/>
      <c r="AN768" s="135"/>
      <c r="AO768" s="135"/>
      <c r="AP768" s="135"/>
      <c r="AQ768" s="135"/>
      <c r="AR768" s="135"/>
      <c r="AS768" s="135"/>
      <c r="AT768" s="135"/>
      <c r="AU768" s="135"/>
    </row>
    <row r="769" spans="1:47" ht="24" customHeight="1" x14ac:dyDescent="0.2">
      <c r="A769" s="163">
        <v>177</v>
      </c>
      <c r="B769" s="164" t="s">
        <v>1075</v>
      </c>
      <c r="C769" s="165"/>
      <c r="D769" s="166" t="s">
        <v>161</v>
      </c>
      <c r="E769" s="167"/>
      <c r="F769" s="167"/>
      <c r="G769" s="166"/>
      <c r="H769" s="166" t="s">
        <v>162</v>
      </c>
      <c r="I769" s="299" t="s">
        <v>1076</v>
      </c>
      <c r="J769" s="262" t="s">
        <v>897</v>
      </c>
      <c r="K769" s="211">
        <f>80850*55%</f>
        <v>44467.5</v>
      </c>
      <c r="L769" s="171" t="s">
        <v>164</v>
      </c>
      <c r="M769" s="172" t="s">
        <v>1077</v>
      </c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  <c r="AF769" s="135"/>
      <c r="AG769" s="135"/>
      <c r="AH769" s="135"/>
      <c r="AI769" s="135"/>
      <c r="AJ769" s="135"/>
      <c r="AK769" s="135"/>
      <c r="AL769" s="135"/>
      <c r="AM769" s="135"/>
      <c r="AN769" s="135"/>
      <c r="AO769" s="135"/>
      <c r="AP769" s="135"/>
      <c r="AQ769" s="135"/>
      <c r="AR769" s="135"/>
      <c r="AS769" s="135"/>
      <c r="AT769" s="135"/>
      <c r="AU769" s="135"/>
    </row>
    <row r="770" spans="1:47" ht="48" x14ac:dyDescent="0.2">
      <c r="A770" s="174"/>
      <c r="B770" s="175"/>
      <c r="C770" s="176"/>
      <c r="D770" s="177"/>
      <c r="E770" s="178"/>
      <c r="F770" s="178"/>
      <c r="G770" s="177"/>
      <c r="H770" s="177"/>
      <c r="I770" s="186" t="s">
        <v>1078</v>
      </c>
      <c r="J770" s="206" t="s">
        <v>460</v>
      </c>
      <c r="K770" s="226">
        <f>80850*15%</f>
        <v>12127.5</v>
      </c>
      <c r="L770" s="182"/>
      <c r="M770" s="183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  <c r="AF770" s="135"/>
      <c r="AG770" s="135"/>
      <c r="AH770" s="135"/>
      <c r="AI770" s="135"/>
      <c r="AJ770" s="135"/>
      <c r="AK770" s="135"/>
      <c r="AL770" s="135"/>
      <c r="AM770" s="135"/>
      <c r="AN770" s="135"/>
      <c r="AO770" s="135"/>
      <c r="AP770" s="135"/>
      <c r="AQ770" s="135"/>
      <c r="AR770" s="135"/>
      <c r="AS770" s="135"/>
      <c r="AT770" s="135"/>
      <c r="AU770" s="135"/>
    </row>
    <row r="771" spans="1:47" x14ac:dyDescent="0.2">
      <c r="A771" s="174"/>
      <c r="B771" s="175"/>
      <c r="C771" s="176"/>
      <c r="D771" s="177"/>
      <c r="E771" s="178"/>
      <c r="F771" s="178"/>
      <c r="G771" s="177"/>
      <c r="H771" s="177"/>
      <c r="I771" s="186" t="s">
        <v>1079</v>
      </c>
      <c r="J771" s="206" t="s">
        <v>460</v>
      </c>
      <c r="K771" s="226">
        <f>80850*15%</f>
        <v>12127.5</v>
      </c>
      <c r="L771" s="182"/>
      <c r="M771" s="183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  <c r="AF771" s="135"/>
      <c r="AG771" s="135"/>
      <c r="AH771" s="135"/>
      <c r="AI771" s="135"/>
      <c r="AJ771" s="135"/>
      <c r="AK771" s="135"/>
      <c r="AL771" s="135"/>
      <c r="AM771" s="135"/>
      <c r="AN771" s="135"/>
      <c r="AO771" s="135"/>
      <c r="AP771" s="135"/>
      <c r="AQ771" s="135"/>
      <c r="AR771" s="135"/>
      <c r="AS771" s="135"/>
      <c r="AT771" s="135"/>
      <c r="AU771" s="135"/>
    </row>
    <row r="772" spans="1:47" x14ac:dyDescent="0.2">
      <c r="A772" s="174"/>
      <c r="B772" s="175"/>
      <c r="C772" s="176"/>
      <c r="D772" s="177"/>
      <c r="E772" s="178"/>
      <c r="F772" s="178"/>
      <c r="G772" s="177"/>
      <c r="H772" s="177"/>
      <c r="I772" s="186" t="s">
        <v>1080</v>
      </c>
      <c r="J772" s="206" t="s">
        <v>460</v>
      </c>
      <c r="K772" s="226">
        <f>80850*5%</f>
        <v>4042.5</v>
      </c>
      <c r="L772" s="182"/>
      <c r="M772" s="183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  <c r="AM772" s="135"/>
      <c r="AN772" s="135"/>
      <c r="AO772" s="135"/>
      <c r="AP772" s="135"/>
      <c r="AQ772" s="135"/>
      <c r="AR772" s="135"/>
      <c r="AS772" s="135"/>
      <c r="AT772" s="135"/>
      <c r="AU772" s="135"/>
    </row>
    <row r="773" spans="1:47" x14ac:dyDescent="0.2">
      <c r="A773" s="174"/>
      <c r="B773" s="175"/>
      <c r="C773" s="176"/>
      <c r="D773" s="177"/>
      <c r="E773" s="178"/>
      <c r="F773" s="178"/>
      <c r="G773" s="177"/>
      <c r="H773" s="177"/>
      <c r="I773" s="186" t="s">
        <v>908</v>
      </c>
      <c r="J773" s="206" t="s">
        <v>460</v>
      </c>
      <c r="K773" s="226">
        <f>80850*5%</f>
        <v>4042.5</v>
      </c>
      <c r="L773" s="182"/>
      <c r="M773" s="183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  <c r="AF773" s="135"/>
      <c r="AG773" s="135"/>
      <c r="AH773" s="135"/>
      <c r="AI773" s="135"/>
      <c r="AJ773" s="135"/>
      <c r="AK773" s="135"/>
      <c r="AL773" s="135"/>
      <c r="AM773" s="135"/>
      <c r="AN773" s="135"/>
      <c r="AO773" s="135"/>
      <c r="AP773" s="135"/>
      <c r="AQ773" s="135"/>
      <c r="AR773" s="135"/>
      <c r="AS773" s="135"/>
      <c r="AT773" s="135"/>
      <c r="AU773" s="135"/>
    </row>
    <row r="774" spans="1:47" x14ac:dyDescent="0.2">
      <c r="A774" s="174"/>
      <c r="B774" s="175"/>
      <c r="C774" s="176"/>
      <c r="D774" s="177"/>
      <c r="E774" s="178"/>
      <c r="F774" s="178"/>
      <c r="G774" s="177"/>
      <c r="H774" s="177"/>
      <c r="I774" s="186" t="s">
        <v>1081</v>
      </c>
      <c r="J774" s="206" t="s">
        <v>460</v>
      </c>
      <c r="K774" s="226">
        <f>80850*5%</f>
        <v>4042.5</v>
      </c>
      <c r="L774" s="182"/>
      <c r="M774" s="183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5"/>
      <c r="AG774" s="135"/>
      <c r="AH774" s="135"/>
      <c r="AI774" s="135"/>
      <c r="AJ774" s="135"/>
      <c r="AK774" s="135"/>
      <c r="AL774" s="135"/>
      <c r="AM774" s="135"/>
      <c r="AN774" s="135"/>
      <c r="AO774" s="135"/>
      <c r="AP774" s="135"/>
      <c r="AQ774" s="135"/>
      <c r="AR774" s="135"/>
      <c r="AS774" s="135"/>
      <c r="AT774" s="135"/>
      <c r="AU774" s="135"/>
    </row>
    <row r="775" spans="1:47" x14ac:dyDescent="0.2">
      <c r="A775" s="187"/>
      <c r="B775" s="188"/>
      <c r="C775" s="189"/>
      <c r="D775" s="190"/>
      <c r="E775" s="191"/>
      <c r="F775" s="191"/>
      <c r="G775" s="190"/>
      <c r="H775" s="190"/>
      <c r="I775" s="202"/>
      <c r="J775" s="203"/>
      <c r="K775" s="216">
        <f>SUM(K769:K774)</f>
        <v>80850</v>
      </c>
      <c r="L775" s="195"/>
      <c r="M775" s="196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  <c r="AF775" s="135"/>
      <c r="AG775" s="135"/>
      <c r="AH775" s="135"/>
      <c r="AI775" s="135"/>
      <c r="AJ775" s="135"/>
      <c r="AK775" s="135"/>
      <c r="AL775" s="135"/>
      <c r="AM775" s="135"/>
      <c r="AN775" s="135"/>
      <c r="AO775" s="135"/>
      <c r="AP775" s="135"/>
      <c r="AQ775" s="135"/>
      <c r="AR775" s="135"/>
      <c r="AS775" s="135"/>
      <c r="AT775" s="135"/>
      <c r="AU775" s="135"/>
    </row>
    <row r="776" spans="1:47" ht="21.75" customHeight="1" x14ac:dyDescent="0.2">
      <c r="A776" s="163">
        <v>178</v>
      </c>
      <c r="B776" s="164" t="s">
        <v>1082</v>
      </c>
      <c r="C776" s="165"/>
      <c r="D776" s="166" t="s">
        <v>161</v>
      </c>
      <c r="E776" s="167"/>
      <c r="F776" s="167"/>
      <c r="G776" s="166"/>
      <c r="H776" s="166"/>
      <c r="I776" s="299" t="s">
        <v>1083</v>
      </c>
      <c r="J776" s="262" t="s">
        <v>897</v>
      </c>
      <c r="K776" s="209">
        <f>150000*65%</f>
        <v>97500</v>
      </c>
      <c r="L776" s="172" t="s">
        <v>164</v>
      </c>
      <c r="M776" s="172" t="s">
        <v>1084</v>
      </c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  <c r="AF776" s="135"/>
      <c r="AG776" s="135"/>
      <c r="AH776" s="135"/>
      <c r="AI776" s="135"/>
      <c r="AJ776" s="135"/>
      <c r="AK776" s="135"/>
      <c r="AL776" s="135"/>
      <c r="AM776" s="135"/>
      <c r="AN776" s="135"/>
      <c r="AO776" s="135"/>
      <c r="AP776" s="135"/>
      <c r="AQ776" s="135"/>
      <c r="AR776" s="135"/>
      <c r="AS776" s="135"/>
      <c r="AT776" s="135"/>
      <c r="AU776" s="135"/>
    </row>
    <row r="777" spans="1:47" x14ac:dyDescent="0.2">
      <c r="A777" s="174"/>
      <c r="B777" s="175"/>
      <c r="C777" s="176"/>
      <c r="D777" s="177"/>
      <c r="E777" s="178"/>
      <c r="F777" s="178"/>
      <c r="G777" s="177"/>
      <c r="H777" s="177"/>
      <c r="I777" s="186" t="s">
        <v>1085</v>
      </c>
      <c r="J777" s="206" t="s">
        <v>453</v>
      </c>
      <c r="K777" s="213">
        <f t="shared" ref="K777:K783" si="10">150000*5%</f>
        <v>7500</v>
      </c>
      <c r="L777" s="183"/>
      <c r="M777" s="183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  <c r="AF777" s="135"/>
      <c r="AG777" s="135"/>
      <c r="AH777" s="135"/>
      <c r="AI777" s="135"/>
      <c r="AJ777" s="135"/>
      <c r="AK777" s="135"/>
      <c r="AL777" s="135"/>
      <c r="AM777" s="135"/>
      <c r="AN777" s="135"/>
      <c r="AO777" s="135"/>
      <c r="AP777" s="135"/>
      <c r="AQ777" s="135"/>
      <c r="AR777" s="135"/>
      <c r="AS777" s="135"/>
      <c r="AT777" s="135"/>
      <c r="AU777" s="135"/>
    </row>
    <row r="778" spans="1:47" x14ac:dyDescent="0.2">
      <c r="A778" s="174"/>
      <c r="B778" s="175"/>
      <c r="C778" s="176"/>
      <c r="D778" s="177"/>
      <c r="E778" s="178"/>
      <c r="F778" s="178"/>
      <c r="G778" s="177"/>
      <c r="H778" s="177"/>
      <c r="I778" s="186" t="s">
        <v>1016</v>
      </c>
      <c r="J778" s="206" t="s">
        <v>460</v>
      </c>
      <c r="K778" s="213">
        <f t="shared" si="10"/>
        <v>7500</v>
      </c>
      <c r="L778" s="183"/>
      <c r="M778" s="183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135"/>
      <c r="AU778" s="135"/>
    </row>
    <row r="779" spans="1:47" x14ac:dyDescent="0.2">
      <c r="A779" s="174"/>
      <c r="B779" s="175"/>
      <c r="C779" s="176"/>
      <c r="D779" s="177"/>
      <c r="E779" s="178"/>
      <c r="F779" s="178"/>
      <c r="G779" s="177"/>
      <c r="H779" s="177"/>
      <c r="I779" s="186" t="s">
        <v>1086</v>
      </c>
      <c r="J779" s="206" t="s">
        <v>460</v>
      </c>
      <c r="K779" s="213">
        <f t="shared" si="10"/>
        <v>7500</v>
      </c>
      <c r="L779" s="183"/>
      <c r="M779" s="183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  <c r="AF779" s="135"/>
      <c r="AG779" s="135"/>
      <c r="AH779" s="135"/>
      <c r="AI779" s="135"/>
      <c r="AJ779" s="135"/>
      <c r="AK779" s="135"/>
      <c r="AL779" s="135"/>
      <c r="AM779" s="135"/>
      <c r="AN779" s="135"/>
      <c r="AO779" s="135"/>
      <c r="AP779" s="135"/>
      <c r="AQ779" s="135"/>
      <c r="AR779" s="135"/>
      <c r="AS779" s="135"/>
      <c r="AT779" s="135"/>
      <c r="AU779" s="135"/>
    </row>
    <row r="780" spans="1:47" x14ac:dyDescent="0.2">
      <c r="A780" s="174"/>
      <c r="B780" s="175"/>
      <c r="C780" s="176"/>
      <c r="D780" s="177"/>
      <c r="E780" s="178"/>
      <c r="F780" s="178"/>
      <c r="G780" s="177"/>
      <c r="H780" s="177"/>
      <c r="I780" s="186" t="s">
        <v>1087</v>
      </c>
      <c r="J780" s="206" t="s">
        <v>1088</v>
      </c>
      <c r="K780" s="213">
        <f t="shared" si="10"/>
        <v>7500</v>
      </c>
      <c r="L780" s="183"/>
      <c r="M780" s="183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  <c r="AF780" s="135"/>
      <c r="AG780" s="135"/>
      <c r="AH780" s="135"/>
      <c r="AI780" s="135"/>
      <c r="AJ780" s="135"/>
      <c r="AK780" s="135"/>
      <c r="AL780" s="135"/>
      <c r="AM780" s="135"/>
      <c r="AN780" s="135"/>
      <c r="AO780" s="135"/>
      <c r="AP780" s="135"/>
      <c r="AQ780" s="135"/>
      <c r="AR780" s="135"/>
      <c r="AS780" s="135"/>
      <c r="AT780" s="135"/>
      <c r="AU780" s="135"/>
    </row>
    <row r="781" spans="1:47" x14ac:dyDescent="0.2">
      <c r="A781" s="174"/>
      <c r="B781" s="175"/>
      <c r="C781" s="176"/>
      <c r="D781" s="177"/>
      <c r="E781" s="178"/>
      <c r="F781" s="178"/>
      <c r="G781" s="177"/>
      <c r="H781" s="177"/>
      <c r="I781" s="186" t="s">
        <v>1089</v>
      </c>
      <c r="J781" s="206" t="s">
        <v>460</v>
      </c>
      <c r="K781" s="213">
        <f t="shared" si="10"/>
        <v>7500</v>
      </c>
      <c r="L781" s="183"/>
      <c r="M781" s="183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  <c r="AF781" s="135"/>
      <c r="AG781" s="135"/>
      <c r="AH781" s="135"/>
      <c r="AI781" s="135"/>
      <c r="AJ781" s="135"/>
      <c r="AK781" s="135"/>
      <c r="AL781" s="135"/>
      <c r="AM781" s="135"/>
      <c r="AN781" s="135"/>
      <c r="AO781" s="135"/>
      <c r="AP781" s="135"/>
      <c r="AQ781" s="135"/>
      <c r="AR781" s="135"/>
      <c r="AS781" s="135"/>
      <c r="AT781" s="135"/>
      <c r="AU781" s="135"/>
    </row>
    <row r="782" spans="1:47" x14ac:dyDescent="0.2">
      <c r="A782" s="174"/>
      <c r="B782" s="175"/>
      <c r="C782" s="176"/>
      <c r="D782" s="177"/>
      <c r="E782" s="178"/>
      <c r="F782" s="178"/>
      <c r="G782" s="177"/>
      <c r="H782" s="177"/>
      <c r="I782" s="186" t="s">
        <v>1090</v>
      </c>
      <c r="J782" s="206" t="s">
        <v>460</v>
      </c>
      <c r="K782" s="213">
        <f t="shared" si="10"/>
        <v>7500</v>
      </c>
      <c r="L782" s="183"/>
      <c r="M782" s="183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  <c r="AF782" s="135"/>
      <c r="AG782" s="135"/>
      <c r="AH782" s="135"/>
      <c r="AI782" s="135"/>
      <c r="AJ782" s="135"/>
      <c r="AK782" s="135"/>
      <c r="AL782" s="135"/>
      <c r="AM782" s="135"/>
      <c r="AN782" s="135"/>
      <c r="AO782" s="135"/>
      <c r="AP782" s="135"/>
      <c r="AQ782" s="135"/>
      <c r="AR782" s="135"/>
      <c r="AS782" s="135"/>
      <c r="AT782" s="135"/>
      <c r="AU782" s="135"/>
    </row>
    <row r="783" spans="1:47" x14ac:dyDescent="0.2">
      <c r="A783" s="174"/>
      <c r="B783" s="175"/>
      <c r="C783" s="176"/>
      <c r="D783" s="177"/>
      <c r="E783" s="178"/>
      <c r="F783" s="178"/>
      <c r="G783" s="177"/>
      <c r="H783" s="177"/>
      <c r="I783" s="186" t="s">
        <v>1091</v>
      </c>
      <c r="J783" s="206" t="s">
        <v>460</v>
      </c>
      <c r="K783" s="213">
        <f t="shared" si="10"/>
        <v>7500</v>
      </c>
      <c r="L783" s="183"/>
      <c r="M783" s="183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  <c r="AF783" s="135"/>
      <c r="AG783" s="135"/>
      <c r="AH783" s="135"/>
      <c r="AI783" s="135"/>
      <c r="AJ783" s="135"/>
      <c r="AK783" s="135"/>
      <c r="AL783" s="135"/>
      <c r="AM783" s="135"/>
      <c r="AN783" s="135"/>
      <c r="AO783" s="135"/>
      <c r="AP783" s="135"/>
      <c r="AQ783" s="135"/>
      <c r="AR783" s="135"/>
      <c r="AS783" s="135"/>
      <c r="AT783" s="135"/>
      <c r="AU783" s="135"/>
    </row>
    <row r="784" spans="1:47" x14ac:dyDescent="0.2">
      <c r="A784" s="187"/>
      <c r="B784" s="188"/>
      <c r="C784" s="189"/>
      <c r="D784" s="190"/>
      <c r="E784" s="191"/>
      <c r="F784" s="191"/>
      <c r="G784" s="190"/>
      <c r="H784" s="190"/>
      <c r="I784" s="202"/>
      <c r="J784" s="203"/>
      <c r="K784" s="210">
        <f>SUM(K776:K783)</f>
        <v>150000</v>
      </c>
      <c r="L784" s="196"/>
      <c r="M784" s="196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  <c r="AF784" s="135"/>
      <c r="AG784" s="135"/>
      <c r="AH784" s="135"/>
      <c r="AI784" s="135"/>
      <c r="AJ784" s="135"/>
      <c r="AK784" s="135"/>
      <c r="AL784" s="135"/>
      <c r="AM784" s="135"/>
      <c r="AN784" s="135"/>
      <c r="AO784" s="135"/>
      <c r="AP784" s="135"/>
      <c r="AQ784" s="135"/>
      <c r="AR784" s="135"/>
      <c r="AS784" s="135"/>
      <c r="AT784" s="135"/>
      <c r="AU784" s="135"/>
    </row>
    <row r="785" spans="1:47" ht="24" customHeight="1" x14ac:dyDescent="0.2">
      <c r="A785" s="163">
        <v>179</v>
      </c>
      <c r="B785" s="164" t="s">
        <v>1092</v>
      </c>
      <c r="C785" s="165"/>
      <c r="D785" s="177" t="s">
        <v>161</v>
      </c>
      <c r="E785" s="178"/>
      <c r="F785" s="178"/>
      <c r="G785" s="177"/>
      <c r="H785" s="177"/>
      <c r="I785" s="299" t="s">
        <v>1093</v>
      </c>
      <c r="J785" s="262" t="s">
        <v>1053</v>
      </c>
      <c r="K785" s="209">
        <f>195400*85%</f>
        <v>166090</v>
      </c>
      <c r="L785" s="172" t="s">
        <v>164</v>
      </c>
      <c r="M785" s="172" t="s">
        <v>1094</v>
      </c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  <c r="AF785" s="135"/>
      <c r="AG785" s="135"/>
      <c r="AH785" s="135"/>
      <c r="AI785" s="135"/>
      <c r="AJ785" s="135"/>
      <c r="AK785" s="135"/>
      <c r="AL785" s="135"/>
      <c r="AM785" s="135"/>
      <c r="AN785" s="135"/>
      <c r="AO785" s="135"/>
      <c r="AP785" s="135"/>
      <c r="AQ785" s="135"/>
      <c r="AR785" s="135"/>
      <c r="AS785" s="135"/>
      <c r="AT785" s="135"/>
      <c r="AU785" s="135"/>
    </row>
    <row r="786" spans="1:47" x14ac:dyDescent="0.2">
      <c r="A786" s="174"/>
      <c r="B786" s="175"/>
      <c r="C786" s="176"/>
      <c r="D786" s="177"/>
      <c r="E786" s="178"/>
      <c r="F786" s="178"/>
      <c r="G786" s="177"/>
      <c r="H786" s="177"/>
      <c r="I786" s="186" t="s">
        <v>1086</v>
      </c>
      <c r="J786" s="206" t="s">
        <v>460</v>
      </c>
      <c r="K786" s="213">
        <f>195400*5%</f>
        <v>9770</v>
      </c>
      <c r="L786" s="183"/>
      <c r="M786" s="183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  <c r="AF786" s="135"/>
      <c r="AG786" s="135"/>
      <c r="AH786" s="135"/>
      <c r="AI786" s="135"/>
      <c r="AJ786" s="135"/>
      <c r="AK786" s="135"/>
      <c r="AL786" s="135"/>
      <c r="AM786" s="135"/>
      <c r="AN786" s="135"/>
      <c r="AO786" s="135"/>
      <c r="AP786" s="135"/>
      <c r="AQ786" s="135"/>
      <c r="AR786" s="135"/>
      <c r="AS786" s="135"/>
      <c r="AT786" s="135"/>
      <c r="AU786" s="135"/>
    </row>
    <row r="787" spans="1:47" x14ac:dyDescent="0.2">
      <c r="A787" s="174"/>
      <c r="B787" s="175"/>
      <c r="C787" s="176"/>
      <c r="D787" s="177"/>
      <c r="E787" s="178"/>
      <c r="F787" s="178"/>
      <c r="G787" s="177"/>
      <c r="H787" s="177"/>
      <c r="I787" s="186" t="s">
        <v>1089</v>
      </c>
      <c r="J787" s="206" t="s">
        <v>460</v>
      </c>
      <c r="K787" s="213">
        <f>195400*5%</f>
        <v>9770</v>
      </c>
      <c r="L787" s="183"/>
      <c r="M787" s="183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  <c r="AF787" s="135"/>
      <c r="AG787" s="135"/>
      <c r="AH787" s="135"/>
      <c r="AI787" s="135"/>
      <c r="AJ787" s="135"/>
      <c r="AK787" s="135"/>
      <c r="AL787" s="135"/>
      <c r="AM787" s="135"/>
      <c r="AN787" s="135"/>
      <c r="AO787" s="135"/>
      <c r="AP787" s="135"/>
      <c r="AQ787" s="135"/>
      <c r="AR787" s="135"/>
      <c r="AS787" s="135"/>
      <c r="AT787" s="135"/>
      <c r="AU787" s="135"/>
    </row>
    <row r="788" spans="1:47" x14ac:dyDescent="0.2">
      <c r="A788" s="174"/>
      <c r="B788" s="175"/>
      <c r="C788" s="176"/>
      <c r="D788" s="177"/>
      <c r="E788" s="178"/>
      <c r="F788" s="178"/>
      <c r="G788" s="177"/>
      <c r="H788" s="177"/>
      <c r="I788" s="186" t="s">
        <v>1000</v>
      </c>
      <c r="J788" s="206" t="s">
        <v>460</v>
      </c>
      <c r="K788" s="213">
        <f>195400*5%</f>
        <v>9770</v>
      </c>
      <c r="L788" s="183"/>
      <c r="M788" s="183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  <c r="AF788" s="135"/>
      <c r="AG788" s="135"/>
      <c r="AH788" s="135"/>
      <c r="AI788" s="135"/>
      <c r="AJ788" s="135"/>
      <c r="AK788" s="135"/>
      <c r="AL788" s="135"/>
      <c r="AM788" s="135"/>
      <c r="AN788" s="135"/>
      <c r="AO788" s="135"/>
      <c r="AP788" s="135"/>
      <c r="AQ788" s="135"/>
      <c r="AR788" s="135"/>
      <c r="AS788" s="135"/>
      <c r="AT788" s="135"/>
      <c r="AU788" s="135"/>
    </row>
    <row r="789" spans="1:47" x14ac:dyDescent="0.2">
      <c r="A789" s="187"/>
      <c r="B789" s="188"/>
      <c r="C789" s="189"/>
      <c r="D789" s="190"/>
      <c r="E789" s="191"/>
      <c r="F789" s="191"/>
      <c r="G789" s="190"/>
      <c r="H789" s="190"/>
      <c r="I789" s="202"/>
      <c r="J789" s="203"/>
      <c r="K789" s="210">
        <f>SUM(K785:K788)</f>
        <v>195400</v>
      </c>
      <c r="L789" s="196"/>
      <c r="M789" s="196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  <c r="AF789" s="135"/>
      <c r="AG789" s="135"/>
      <c r="AH789" s="135"/>
      <c r="AI789" s="135"/>
      <c r="AJ789" s="135"/>
      <c r="AK789" s="135"/>
      <c r="AL789" s="135"/>
      <c r="AM789" s="135"/>
      <c r="AN789" s="135"/>
      <c r="AO789" s="135"/>
      <c r="AP789" s="135"/>
      <c r="AQ789" s="135"/>
      <c r="AR789" s="135"/>
      <c r="AS789" s="135"/>
      <c r="AT789" s="135"/>
      <c r="AU789" s="135"/>
    </row>
    <row r="790" spans="1:47" ht="24.75" customHeight="1" x14ac:dyDescent="0.2">
      <c r="A790" s="163">
        <v>180</v>
      </c>
      <c r="B790" s="164" t="s">
        <v>1095</v>
      </c>
      <c r="C790" s="165"/>
      <c r="D790" s="166" t="s">
        <v>161</v>
      </c>
      <c r="E790" s="167"/>
      <c r="F790" s="167"/>
      <c r="G790" s="166"/>
      <c r="H790" s="166"/>
      <c r="I790" s="299" t="s">
        <v>1093</v>
      </c>
      <c r="J790" s="262" t="s">
        <v>174</v>
      </c>
      <c r="K790" s="209">
        <f>150000*85%</f>
        <v>127500</v>
      </c>
      <c r="L790" s="172" t="s">
        <v>164</v>
      </c>
      <c r="M790" s="172" t="s">
        <v>1096</v>
      </c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  <c r="AF790" s="135"/>
      <c r="AG790" s="135"/>
      <c r="AH790" s="135"/>
      <c r="AI790" s="135"/>
      <c r="AJ790" s="135"/>
      <c r="AK790" s="135"/>
      <c r="AL790" s="135"/>
      <c r="AM790" s="135"/>
      <c r="AN790" s="135"/>
      <c r="AO790" s="135"/>
      <c r="AP790" s="135"/>
      <c r="AQ790" s="135"/>
      <c r="AR790" s="135"/>
      <c r="AS790" s="135"/>
      <c r="AT790" s="135"/>
      <c r="AU790" s="135"/>
    </row>
    <row r="791" spans="1:47" x14ac:dyDescent="0.2">
      <c r="A791" s="174"/>
      <c r="B791" s="175"/>
      <c r="C791" s="176"/>
      <c r="D791" s="177"/>
      <c r="E791" s="178"/>
      <c r="F791" s="178"/>
      <c r="G791" s="177"/>
      <c r="H791" s="177"/>
      <c r="I791" s="186" t="s">
        <v>1097</v>
      </c>
      <c r="J791" s="206" t="s">
        <v>916</v>
      </c>
      <c r="K791" s="213">
        <f>150000*5%</f>
        <v>7500</v>
      </c>
      <c r="L791" s="183"/>
      <c r="M791" s="183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  <c r="AF791" s="135"/>
      <c r="AG791" s="135"/>
      <c r="AH791" s="135"/>
      <c r="AI791" s="135"/>
      <c r="AJ791" s="135"/>
      <c r="AK791" s="135"/>
      <c r="AL791" s="135"/>
      <c r="AM791" s="135"/>
      <c r="AN791" s="135"/>
      <c r="AO791" s="135"/>
      <c r="AP791" s="135"/>
      <c r="AQ791" s="135"/>
      <c r="AR791" s="135"/>
      <c r="AS791" s="135"/>
      <c r="AT791" s="135"/>
      <c r="AU791" s="135"/>
    </row>
    <row r="792" spans="1:47" x14ac:dyDescent="0.2">
      <c r="A792" s="174"/>
      <c r="B792" s="175"/>
      <c r="C792" s="176"/>
      <c r="D792" s="177"/>
      <c r="E792" s="178"/>
      <c r="F792" s="178"/>
      <c r="G792" s="177"/>
      <c r="H792" s="177"/>
      <c r="I792" s="186" t="s">
        <v>1098</v>
      </c>
      <c r="J792" s="206" t="s">
        <v>460</v>
      </c>
      <c r="K792" s="213">
        <f>150000*5%</f>
        <v>7500</v>
      </c>
      <c r="L792" s="183"/>
      <c r="M792" s="183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  <c r="AF792" s="135"/>
      <c r="AG792" s="135"/>
      <c r="AH792" s="135"/>
      <c r="AI792" s="135"/>
      <c r="AJ792" s="135"/>
      <c r="AK792" s="135"/>
      <c r="AL792" s="135"/>
      <c r="AM792" s="135"/>
      <c r="AN792" s="135"/>
      <c r="AO792" s="135"/>
      <c r="AP792" s="135"/>
      <c r="AQ792" s="135"/>
      <c r="AR792" s="135"/>
      <c r="AS792" s="135"/>
      <c r="AT792" s="135"/>
      <c r="AU792" s="135"/>
    </row>
    <row r="793" spans="1:47" x14ac:dyDescent="0.2">
      <c r="A793" s="174"/>
      <c r="B793" s="175"/>
      <c r="C793" s="176"/>
      <c r="D793" s="177"/>
      <c r="E793" s="178"/>
      <c r="F793" s="178"/>
      <c r="G793" s="177"/>
      <c r="H793" s="177"/>
      <c r="I793" s="186" t="s">
        <v>1099</v>
      </c>
      <c r="J793" s="206" t="s">
        <v>460</v>
      </c>
      <c r="K793" s="213">
        <f>150000*5%</f>
        <v>7500</v>
      </c>
      <c r="L793" s="183"/>
      <c r="M793" s="183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  <c r="AF793" s="135"/>
      <c r="AG793" s="135"/>
      <c r="AH793" s="135"/>
      <c r="AI793" s="135"/>
      <c r="AJ793" s="135"/>
      <c r="AK793" s="135"/>
      <c r="AL793" s="135"/>
      <c r="AM793" s="135"/>
      <c r="AN793" s="135"/>
      <c r="AO793" s="135"/>
      <c r="AP793" s="135"/>
      <c r="AQ793" s="135"/>
      <c r="AR793" s="135"/>
      <c r="AS793" s="135"/>
      <c r="AT793" s="135"/>
      <c r="AU793" s="135"/>
    </row>
    <row r="794" spans="1:47" x14ac:dyDescent="0.2">
      <c r="A794" s="187"/>
      <c r="B794" s="188"/>
      <c r="C794" s="189"/>
      <c r="D794" s="190"/>
      <c r="E794" s="191"/>
      <c r="F794" s="191"/>
      <c r="G794" s="190"/>
      <c r="H794" s="190"/>
      <c r="I794" s="202"/>
      <c r="J794" s="203"/>
      <c r="K794" s="210">
        <f>SUM(K790:K793)</f>
        <v>150000</v>
      </c>
      <c r="L794" s="196"/>
      <c r="M794" s="196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  <c r="AF794" s="135"/>
      <c r="AG794" s="135"/>
      <c r="AH794" s="135"/>
      <c r="AI794" s="135"/>
      <c r="AJ794" s="135"/>
      <c r="AK794" s="135"/>
      <c r="AL794" s="135"/>
      <c r="AM794" s="135"/>
      <c r="AN794" s="135"/>
      <c r="AO794" s="135"/>
      <c r="AP794" s="135"/>
      <c r="AQ794" s="135"/>
      <c r="AR794" s="135"/>
      <c r="AS794" s="135"/>
      <c r="AT794" s="135"/>
      <c r="AU794" s="135"/>
    </row>
    <row r="795" spans="1:47" ht="22.5" customHeight="1" x14ac:dyDescent="0.2">
      <c r="A795" s="163">
        <v>181</v>
      </c>
      <c r="B795" s="164" t="s">
        <v>1100</v>
      </c>
      <c r="C795" s="165"/>
      <c r="D795" s="166" t="s">
        <v>161</v>
      </c>
      <c r="E795" s="167"/>
      <c r="F795" s="167"/>
      <c r="G795" s="166"/>
      <c r="H795" s="166" t="s">
        <v>108</v>
      </c>
      <c r="I795" s="299" t="s">
        <v>1101</v>
      </c>
      <c r="J795" s="262" t="s">
        <v>1102</v>
      </c>
      <c r="K795" s="212">
        <f>80850*60%</f>
        <v>48510</v>
      </c>
      <c r="L795" s="172" t="s">
        <v>164</v>
      </c>
      <c r="M795" s="172" t="s">
        <v>1103</v>
      </c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  <c r="AF795" s="135"/>
      <c r="AG795" s="135"/>
      <c r="AH795" s="135"/>
      <c r="AI795" s="135"/>
      <c r="AJ795" s="135"/>
      <c r="AK795" s="135"/>
      <c r="AL795" s="135"/>
      <c r="AM795" s="135"/>
      <c r="AN795" s="135"/>
      <c r="AO795" s="135"/>
      <c r="AP795" s="135"/>
      <c r="AQ795" s="135"/>
      <c r="AR795" s="135"/>
      <c r="AS795" s="135"/>
      <c r="AT795" s="135"/>
      <c r="AU795" s="135"/>
    </row>
    <row r="796" spans="1:47" ht="48" x14ac:dyDescent="0.2">
      <c r="A796" s="174"/>
      <c r="B796" s="175"/>
      <c r="C796" s="176"/>
      <c r="D796" s="177"/>
      <c r="E796" s="178"/>
      <c r="F796" s="178"/>
      <c r="G796" s="177"/>
      <c r="H796" s="177"/>
      <c r="I796" s="186" t="s">
        <v>1104</v>
      </c>
      <c r="J796" s="206" t="s">
        <v>823</v>
      </c>
      <c r="K796" s="200">
        <f>80850*20%</f>
        <v>16170</v>
      </c>
      <c r="L796" s="183"/>
      <c r="M796" s="183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  <c r="AF796" s="135"/>
      <c r="AG796" s="135"/>
      <c r="AH796" s="135"/>
      <c r="AI796" s="135"/>
      <c r="AJ796" s="135"/>
      <c r="AK796" s="135"/>
      <c r="AL796" s="135"/>
      <c r="AM796" s="135"/>
      <c r="AN796" s="135"/>
      <c r="AO796" s="135"/>
      <c r="AP796" s="135"/>
      <c r="AQ796" s="135"/>
      <c r="AR796" s="135"/>
      <c r="AS796" s="135"/>
      <c r="AT796" s="135"/>
      <c r="AU796" s="135"/>
    </row>
    <row r="797" spans="1:47" x14ac:dyDescent="0.2">
      <c r="A797" s="174"/>
      <c r="B797" s="175"/>
      <c r="C797" s="176"/>
      <c r="D797" s="177"/>
      <c r="E797" s="178"/>
      <c r="F797" s="178"/>
      <c r="G797" s="177"/>
      <c r="H797" s="177"/>
      <c r="I797" s="186" t="s">
        <v>1105</v>
      </c>
      <c r="J797" s="206" t="s">
        <v>460</v>
      </c>
      <c r="K797" s="200">
        <f>80850*15%</f>
        <v>12127.5</v>
      </c>
      <c r="L797" s="183"/>
      <c r="M797" s="183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  <c r="AF797" s="135"/>
      <c r="AG797" s="135"/>
      <c r="AH797" s="135"/>
      <c r="AI797" s="135"/>
      <c r="AJ797" s="135"/>
      <c r="AK797" s="135"/>
      <c r="AL797" s="135"/>
      <c r="AM797" s="135"/>
      <c r="AN797" s="135"/>
      <c r="AO797" s="135"/>
      <c r="AP797" s="135"/>
      <c r="AQ797" s="135"/>
      <c r="AR797" s="135"/>
      <c r="AS797" s="135"/>
      <c r="AT797" s="135"/>
      <c r="AU797" s="135"/>
    </row>
    <row r="798" spans="1:47" x14ac:dyDescent="0.2">
      <c r="A798" s="174"/>
      <c r="B798" s="175"/>
      <c r="C798" s="176"/>
      <c r="D798" s="177"/>
      <c r="E798" s="178"/>
      <c r="F798" s="178"/>
      <c r="G798" s="177"/>
      <c r="H798" s="177"/>
      <c r="I798" s="186" t="s">
        <v>1081</v>
      </c>
      <c r="J798" s="206" t="s">
        <v>460</v>
      </c>
      <c r="K798" s="200">
        <f>80850*5%</f>
        <v>4042.5</v>
      </c>
      <c r="L798" s="183"/>
      <c r="M798" s="183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  <c r="AF798" s="135"/>
      <c r="AG798" s="135"/>
      <c r="AH798" s="135"/>
      <c r="AI798" s="135"/>
      <c r="AJ798" s="135"/>
      <c r="AK798" s="135"/>
      <c r="AL798" s="135"/>
      <c r="AM798" s="135"/>
      <c r="AN798" s="135"/>
      <c r="AO798" s="135"/>
      <c r="AP798" s="135"/>
      <c r="AQ798" s="135"/>
      <c r="AR798" s="135"/>
      <c r="AS798" s="135"/>
      <c r="AT798" s="135"/>
      <c r="AU798" s="135"/>
    </row>
    <row r="799" spans="1:47" x14ac:dyDescent="0.2">
      <c r="A799" s="187"/>
      <c r="B799" s="188"/>
      <c r="C799" s="189"/>
      <c r="D799" s="190"/>
      <c r="E799" s="191"/>
      <c r="F799" s="191"/>
      <c r="G799" s="190"/>
      <c r="H799" s="190"/>
      <c r="I799" s="202"/>
      <c r="J799" s="203"/>
      <c r="K799" s="210">
        <f>SUM(K795:K798)</f>
        <v>80850</v>
      </c>
      <c r="L799" s="196"/>
      <c r="M799" s="196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  <c r="AF799" s="135"/>
      <c r="AG799" s="135"/>
      <c r="AH799" s="135"/>
      <c r="AI799" s="135"/>
      <c r="AJ799" s="135"/>
      <c r="AK799" s="135"/>
      <c r="AL799" s="135"/>
      <c r="AM799" s="135"/>
      <c r="AN799" s="135"/>
      <c r="AO799" s="135"/>
      <c r="AP799" s="135"/>
      <c r="AQ799" s="135"/>
      <c r="AR799" s="135"/>
      <c r="AS799" s="135"/>
      <c r="AT799" s="135"/>
      <c r="AU799" s="135"/>
    </row>
    <row r="800" spans="1:47" ht="24" customHeight="1" x14ac:dyDescent="0.2">
      <c r="A800" s="167">
        <v>182</v>
      </c>
      <c r="B800" s="164" t="s">
        <v>1106</v>
      </c>
      <c r="C800" s="165"/>
      <c r="D800" s="166" t="s">
        <v>25</v>
      </c>
      <c r="E800" s="167"/>
      <c r="F800" s="167" t="s">
        <v>868</v>
      </c>
      <c r="G800" s="167" t="s">
        <v>1107</v>
      </c>
      <c r="H800" s="167" t="s">
        <v>546</v>
      </c>
      <c r="I800" s="350" t="s">
        <v>1108</v>
      </c>
      <c r="J800" s="247" t="s">
        <v>823</v>
      </c>
      <c r="K800" s="314">
        <f>1500000*25%</f>
        <v>375000</v>
      </c>
      <c r="L800" s="172" t="s">
        <v>1107</v>
      </c>
      <c r="M800" s="172" t="s">
        <v>1109</v>
      </c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  <c r="AF800" s="135"/>
      <c r="AG800" s="135"/>
      <c r="AH800" s="135"/>
      <c r="AI800" s="135"/>
      <c r="AJ800" s="135"/>
      <c r="AK800" s="135"/>
      <c r="AL800" s="135"/>
      <c r="AM800" s="135"/>
      <c r="AN800" s="135"/>
      <c r="AO800" s="135"/>
      <c r="AP800" s="135"/>
      <c r="AQ800" s="135"/>
      <c r="AR800" s="135"/>
      <c r="AS800" s="135"/>
      <c r="AT800" s="135"/>
      <c r="AU800" s="135"/>
    </row>
    <row r="801" spans="1:47" x14ac:dyDescent="0.2">
      <c r="A801" s="178"/>
      <c r="B801" s="175"/>
      <c r="C801" s="176"/>
      <c r="D801" s="177"/>
      <c r="E801" s="178"/>
      <c r="F801" s="178"/>
      <c r="G801" s="178"/>
      <c r="H801" s="178"/>
      <c r="I801" s="351" t="s">
        <v>1110</v>
      </c>
      <c r="J801" s="315" t="s">
        <v>823</v>
      </c>
      <c r="K801" s="198">
        <f>1500000*25%</f>
        <v>375000</v>
      </c>
      <c r="L801" s="183"/>
      <c r="M801" s="183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  <c r="AF801" s="135"/>
      <c r="AG801" s="135"/>
      <c r="AH801" s="135"/>
      <c r="AI801" s="135"/>
      <c r="AJ801" s="135"/>
      <c r="AK801" s="135"/>
      <c r="AL801" s="135"/>
      <c r="AM801" s="135"/>
      <c r="AN801" s="135"/>
      <c r="AO801" s="135"/>
      <c r="AP801" s="135"/>
      <c r="AQ801" s="135"/>
      <c r="AR801" s="135"/>
      <c r="AS801" s="135"/>
      <c r="AT801" s="135"/>
      <c r="AU801" s="135"/>
    </row>
    <row r="802" spans="1:47" x14ac:dyDescent="0.2">
      <c r="A802" s="178"/>
      <c r="B802" s="175"/>
      <c r="C802" s="176"/>
      <c r="D802" s="177"/>
      <c r="E802" s="178"/>
      <c r="F802" s="178"/>
      <c r="G802" s="178"/>
      <c r="H802" s="178"/>
      <c r="I802" s="350" t="s">
        <v>1111</v>
      </c>
      <c r="J802" s="352" t="s">
        <v>781</v>
      </c>
      <c r="K802" s="213">
        <f>1500000*25%</f>
        <v>375000</v>
      </c>
      <c r="L802" s="183"/>
      <c r="M802" s="183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/>
      <c r="AO802" s="135"/>
      <c r="AP802" s="135"/>
      <c r="AQ802" s="135"/>
      <c r="AR802" s="135"/>
      <c r="AS802" s="135"/>
      <c r="AT802" s="135"/>
      <c r="AU802" s="135"/>
    </row>
    <row r="803" spans="1:47" x14ac:dyDescent="0.2">
      <c r="A803" s="178"/>
      <c r="B803" s="175"/>
      <c r="C803" s="176"/>
      <c r="D803" s="177"/>
      <c r="E803" s="178"/>
      <c r="F803" s="178"/>
      <c r="G803" s="178"/>
      <c r="H803" s="178"/>
      <c r="I803" s="186" t="s">
        <v>1112</v>
      </c>
      <c r="J803" s="169" t="s">
        <v>823</v>
      </c>
      <c r="K803" s="270">
        <f>1500000*25%</f>
        <v>375000</v>
      </c>
      <c r="L803" s="183"/>
      <c r="M803" s="183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  <c r="AF803" s="135"/>
      <c r="AG803" s="135"/>
      <c r="AH803" s="135"/>
      <c r="AI803" s="135"/>
      <c r="AJ803" s="135"/>
      <c r="AK803" s="135"/>
      <c r="AL803" s="135"/>
      <c r="AM803" s="135"/>
      <c r="AN803" s="135"/>
      <c r="AO803" s="135"/>
      <c r="AP803" s="135"/>
      <c r="AQ803" s="135"/>
      <c r="AR803" s="135"/>
      <c r="AS803" s="135"/>
      <c r="AT803" s="135"/>
      <c r="AU803" s="135"/>
    </row>
    <row r="804" spans="1:47" x14ac:dyDescent="0.2">
      <c r="A804" s="191"/>
      <c r="B804" s="188"/>
      <c r="C804" s="189"/>
      <c r="D804" s="190"/>
      <c r="E804" s="191"/>
      <c r="F804" s="191"/>
      <c r="G804" s="191"/>
      <c r="H804" s="191"/>
      <c r="I804" s="202"/>
      <c r="J804" s="203"/>
      <c r="K804" s="319">
        <v>1500000</v>
      </c>
      <c r="L804" s="196"/>
      <c r="M804" s="196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  <c r="AF804" s="135"/>
      <c r="AG804" s="135"/>
      <c r="AH804" s="135"/>
      <c r="AI804" s="135"/>
      <c r="AJ804" s="135"/>
      <c r="AK804" s="135"/>
      <c r="AL804" s="135"/>
      <c r="AM804" s="135"/>
      <c r="AN804" s="135"/>
      <c r="AO804" s="135"/>
      <c r="AP804" s="135"/>
      <c r="AQ804" s="135"/>
      <c r="AR804" s="135"/>
      <c r="AS804" s="135"/>
      <c r="AT804" s="135"/>
      <c r="AU804" s="135"/>
    </row>
    <row r="805" spans="1:47" ht="68.25" customHeight="1" x14ac:dyDescent="0.2">
      <c r="A805" s="228">
        <v>183</v>
      </c>
      <c r="B805" s="241" t="s">
        <v>1113</v>
      </c>
      <c r="C805" s="242" t="s">
        <v>1113</v>
      </c>
      <c r="D805" s="243" t="s">
        <v>161</v>
      </c>
      <c r="E805" s="244"/>
      <c r="F805" s="244"/>
      <c r="G805" s="243"/>
      <c r="H805" s="245"/>
      <c r="I805" s="192" t="s">
        <v>1114</v>
      </c>
      <c r="J805" s="215" t="s">
        <v>441</v>
      </c>
      <c r="K805" s="246">
        <v>530000</v>
      </c>
      <c r="L805" s="266" t="s">
        <v>164</v>
      </c>
      <c r="M805" s="215" t="s">
        <v>1115</v>
      </c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  <c r="AF805" s="135"/>
      <c r="AG805" s="135"/>
      <c r="AH805" s="135"/>
      <c r="AI805" s="135"/>
      <c r="AJ805" s="135"/>
      <c r="AK805" s="135"/>
      <c r="AL805" s="135"/>
      <c r="AM805" s="135"/>
      <c r="AN805" s="135"/>
      <c r="AO805" s="135"/>
      <c r="AP805" s="135"/>
      <c r="AQ805" s="135"/>
      <c r="AR805" s="135"/>
      <c r="AS805" s="135"/>
      <c r="AT805" s="135"/>
      <c r="AU805" s="135"/>
    </row>
    <row r="806" spans="1:47" ht="78.75" customHeight="1" x14ac:dyDescent="0.2">
      <c r="A806" s="228">
        <v>184</v>
      </c>
      <c r="B806" s="241" t="s">
        <v>1116</v>
      </c>
      <c r="C806" s="242" t="s">
        <v>1116</v>
      </c>
      <c r="D806" s="243" t="s">
        <v>161</v>
      </c>
      <c r="E806" s="244"/>
      <c r="F806" s="244"/>
      <c r="G806" s="243"/>
      <c r="H806" s="245"/>
      <c r="I806" s="192" t="s">
        <v>1114</v>
      </c>
      <c r="J806" s="215" t="s">
        <v>441</v>
      </c>
      <c r="K806" s="246">
        <v>530000</v>
      </c>
      <c r="L806" s="266" t="s">
        <v>164</v>
      </c>
      <c r="M806" s="215" t="s">
        <v>1117</v>
      </c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  <c r="AF806" s="135"/>
      <c r="AG806" s="135"/>
      <c r="AH806" s="135"/>
      <c r="AI806" s="135"/>
      <c r="AJ806" s="135"/>
      <c r="AK806" s="135"/>
      <c r="AL806" s="135"/>
      <c r="AM806" s="135"/>
      <c r="AN806" s="135"/>
      <c r="AO806" s="135"/>
      <c r="AP806" s="135"/>
      <c r="AQ806" s="135"/>
      <c r="AR806" s="135"/>
      <c r="AS806" s="135"/>
      <c r="AT806" s="135"/>
      <c r="AU806" s="135"/>
    </row>
    <row r="807" spans="1:47" ht="26.25" customHeight="1" x14ac:dyDescent="0.2">
      <c r="A807" s="163">
        <v>185</v>
      </c>
      <c r="B807" s="164" t="s">
        <v>1118</v>
      </c>
      <c r="C807" s="165"/>
      <c r="D807" s="166" t="s">
        <v>161</v>
      </c>
      <c r="E807" s="167"/>
      <c r="F807" s="167"/>
      <c r="G807" s="166"/>
      <c r="H807" s="166" t="s">
        <v>137</v>
      </c>
      <c r="I807" s="217" t="s">
        <v>1119</v>
      </c>
      <c r="J807" s="262" t="s">
        <v>759</v>
      </c>
      <c r="K807" s="209">
        <f>450000*60%</f>
        <v>270000</v>
      </c>
      <c r="L807" s="172" t="s">
        <v>164</v>
      </c>
      <c r="M807" s="172" t="s">
        <v>1120</v>
      </c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5"/>
      <c r="AM807" s="135"/>
      <c r="AN807" s="135"/>
      <c r="AO807" s="135"/>
      <c r="AP807" s="135"/>
      <c r="AQ807" s="135"/>
      <c r="AR807" s="135"/>
      <c r="AS807" s="135"/>
      <c r="AT807" s="135"/>
      <c r="AU807" s="135"/>
    </row>
    <row r="808" spans="1:47" x14ac:dyDescent="0.2">
      <c r="A808" s="174"/>
      <c r="B808" s="175"/>
      <c r="C808" s="176"/>
      <c r="D808" s="177"/>
      <c r="E808" s="178"/>
      <c r="F808" s="178"/>
      <c r="G808" s="177"/>
      <c r="H808" s="177"/>
      <c r="I808" s="186" t="s">
        <v>1121</v>
      </c>
      <c r="J808" s="206" t="s">
        <v>398</v>
      </c>
      <c r="K808" s="213">
        <f>450000*20%</f>
        <v>90000</v>
      </c>
      <c r="L808" s="183"/>
      <c r="M808" s="183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5"/>
      <c r="AM808" s="135"/>
      <c r="AN808" s="135"/>
      <c r="AO808" s="135"/>
      <c r="AP808" s="135"/>
      <c r="AQ808" s="135"/>
      <c r="AR808" s="135"/>
      <c r="AS808" s="135"/>
      <c r="AT808" s="135"/>
      <c r="AU808" s="135"/>
    </row>
    <row r="809" spans="1:47" x14ac:dyDescent="0.2">
      <c r="A809" s="174"/>
      <c r="B809" s="175"/>
      <c r="C809" s="176"/>
      <c r="D809" s="177"/>
      <c r="E809" s="178"/>
      <c r="F809" s="178"/>
      <c r="G809" s="177"/>
      <c r="H809" s="177"/>
      <c r="I809" s="186" t="s">
        <v>1122</v>
      </c>
      <c r="J809" s="206" t="s">
        <v>220</v>
      </c>
      <c r="K809" s="213">
        <f>450000*10%</f>
        <v>45000</v>
      </c>
      <c r="L809" s="183"/>
      <c r="M809" s="183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  <c r="AF809" s="135"/>
      <c r="AG809" s="135"/>
      <c r="AH809" s="135"/>
      <c r="AI809" s="135"/>
      <c r="AJ809" s="135"/>
      <c r="AK809" s="135"/>
      <c r="AL809" s="135"/>
      <c r="AM809" s="135"/>
      <c r="AN809" s="135"/>
      <c r="AO809" s="135"/>
      <c r="AP809" s="135"/>
      <c r="AQ809" s="135"/>
      <c r="AR809" s="135"/>
      <c r="AS809" s="135"/>
      <c r="AT809" s="135"/>
      <c r="AU809" s="135"/>
    </row>
    <row r="810" spans="1:47" x14ac:dyDescent="0.2">
      <c r="A810" s="187"/>
      <c r="B810" s="188"/>
      <c r="C810" s="189"/>
      <c r="D810" s="190"/>
      <c r="E810" s="191"/>
      <c r="F810" s="191"/>
      <c r="G810" s="190"/>
      <c r="H810" s="190"/>
      <c r="I810" s="202"/>
      <c r="J810" s="203"/>
      <c r="K810" s="210">
        <f>SUM(K807:K809)</f>
        <v>405000</v>
      </c>
      <c r="L810" s="196"/>
      <c r="M810" s="196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  <c r="AF810" s="135"/>
      <c r="AG810" s="135"/>
      <c r="AH810" s="135"/>
      <c r="AI810" s="135"/>
      <c r="AJ810" s="135"/>
      <c r="AK810" s="135"/>
      <c r="AL810" s="135"/>
      <c r="AM810" s="135"/>
      <c r="AN810" s="135"/>
      <c r="AO810" s="135"/>
      <c r="AP810" s="135"/>
      <c r="AQ810" s="135"/>
      <c r="AR810" s="135"/>
      <c r="AS810" s="135"/>
      <c r="AT810" s="135"/>
      <c r="AU810" s="135"/>
    </row>
    <row r="811" spans="1:47" ht="25.5" customHeight="1" x14ac:dyDescent="0.2">
      <c r="A811" s="163">
        <v>186</v>
      </c>
      <c r="B811" s="164" t="s">
        <v>1123</v>
      </c>
      <c r="C811" s="165"/>
      <c r="D811" s="166" t="s">
        <v>161</v>
      </c>
      <c r="E811" s="167"/>
      <c r="F811" s="167"/>
      <c r="G811" s="166"/>
      <c r="H811" s="166" t="s">
        <v>137</v>
      </c>
      <c r="I811" s="299" t="s">
        <v>1124</v>
      </c>
      <c r="J811" s="262" t="s">
        <v>1125</v>
      </c>
      <c r="K811" s="209">
        <f>350150*60%</f>
        <v>210090</v>
      </c>
      <c r="L811" s="172" t="s">
        <v>164</v>
      </c>
      <c r="M811" s="172" t="s">
        <v>1126</v>
      </c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  <c r="AF811" s="135"/>
      <c r="AG811" s="135"/>
      <c r="AH811" s="135"/>
      <c r="AI811" s="135"/>
      <c r="AJ811" s="135"/>
      <c r="AK811" s="135"/>
      <c r="AL811" s="135"/>
      <c r="AM811" s="135"/>
      <c r="AN811" s="135"/>
      <c r="AO811" s="135"/>
      <c r="AP811" s="135"/>
      <c r="AQ811" s="135"/>
      <c r="AR811" s="135"/>
      <c r="AS811" s="135"/>
      <c r="AT811" s="135"/>
      <c r="AU811" s="135"/>
    </row>
    <row r="812" spans="1:47" x14ac:dyDescent="0.2">
      <c r="A812" s="174"/>
      <c r="B812" s="175"/>
      <c r="C812" s="176"/>
      <c r="D812" s="177"/>
      <c r="E812" s="178"/>
      <c r="F812" s="178"/>
      <c r="G812" s="177"/>
      <c r="H812" s="177"/>
      <c r="I812" s="186" t="s">
        <v>1127</v>
      </c>
      <c r="J812" s="206" t="s">
        <v>552</v>
      </c>
      <c r="K812" s="213">
        <f>350150*20%</f>
        <v>70030</v>
      </c>
      <c r="L812" s="183"/>
      <c r="M812" s="183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  <c r="AF812" s="135"/>
      <c r="AG812" s="135"/>
      <c r="AH812" s="135"/>
      <c r="AI812" s="135"/>
      <c r="AJ812" s="135"/>
      <c r="AK812" s="135"/>
      <c r="AL812" s="135"/>
      <c r="AM812" s="135"/>
      <c r="AN812" s="135"/>
      <c r="AO812" s="135"/>
      <c r="AP812" s="135"/>
      <c r="AQ812" s="135"/>
      <c r="AR812" s="135"/>
      <c r="AS812" s="135"/>
      <c r="AT812" s="135"/>
      <c r="AU812" s="135"/>
    </row>
    <row r="813" spans="1:47" x14ac:dyDescent="0.2">
      <c r="A813" s="174"/>
      <c r="B813" s="175"/>
      <c r="C813" s="176"/>
      <c r="D813" s="177"/>
      <c r="E813" s="178"/>
      <c r="F813" s="178"/>
      <c r="G813" s="177"/>
      <c r="H813" s="177"/>
      <c r="I813" s="186" t="s">
        <v>1128</v>
      </c>
      <c r="J813" s="206" t="s">
        <v>552</v>
      </c>
      <c r="K813" s="213">
        <f>350150*20%</f>
        <v>70030</v>
      </c>
      <c r="L813" s="183"/>
      <c r="M813" s="183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  <c r="AF813" s="135"/>
      <c r="AG813" s="135"/>
      <c r="AH813" s="135"/>
      <c r="AI813" s="135"/>
      <c r="AJ813" s="135"/>
      <c r="AK813" s="135"/>
      <c r="AL813" s="135"/>
      <c r="AM813" s="135"/>
      <c r="AN813" s="135"/>
      <c r="AO813" s="135"/>
      <c r="AP813" s="135"/>
      <c r="AQ813" s="135"/>
      <c r="AR813" s="135"/>
      <c r="AS813" s="135"/>
      <c r="AT813" s="135"/>
      <c r="AU813" s="135"/>
    </row>
    <row r="814" spans="1:47" x14ac:dyDescent="0.2">
      <c r="A814" s="187"/>
      <c r="B814" s="188"/>
      <c r="C814" s="189"/>
      <c r="D814" s="190"/>
      <c r="E814" s="191"/>
      <c r="F814" s="191"/>
      <c r="G814" s="190"/>
      <c r="H814" s="190"/>
      <c r="I814" s="202"/>
      <c r="J814" s="203"/>
      <c r="K814" s="204">
        <f>SUM(K811:K813)</f>
        <v>350150</v>
      </c>
      <c r="L814" s="196"/>
      <c r="M814" s="196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  <c r="AF814" s="135"/>
      <c r="AG814" s="135"/>
      <c r="AH814" s="135"/>
      <c r="AI814" s="135"/>
      <c r="AJ814" s="135"/>
      <c r="AK814" s="135"/>
      <c r="AL814" s="135"/>
      <c r="AM814" s="135"/>
      <c r="AN814" s="135"/>
      <c r="AO814" s="135"/>
      <c r="AP814" s="135"/>
      <c r="AQ814" s="135"/>
      <c r="AR814" s="135"/>
      <c r="AS814" s="135"/>
      <c r="AT814" s="135"/>
      <c r="AU814" s="135"/>
    </row>
    <row r="815" spans="1:47" ht="24.75" customHeight="1" x14ac:dyDescent="0.2">
      <c r="A815" s="163">
        <v>187</v>
      </c>
      <c r="B815" s="164" t="s">
        <v>1129</v>
      </c>
      <c r="C815" s="165"/>
      <c r="D815" s="166" t="s">
        <v>161</v>
      </c>
      <c r="E815" s="167"/>
      <c r="F815" s="167"/>
      <c r="G815" s="166"/>
      <c r="H815" s="166" t="s">
        <v>137</v>
      </c>
      <c r="I815" s="299" t="s">
        <v>1130</v>
      </c>
      <c r="J815" s="262" t="s">
        <v>1131</v>
      </c>
      <c r="K815" s="205">
        <f>70300*50%</f>
        <v>35150</v>
      </c>
      <c r="L815" s="171" t="s">
        <v>164</v>
      </c>
      <c r="M815" s="172" t="s">
        <v>1132</v>
      </c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  <c r="AF815" s="135"/>
      <c r="AG815" s="135"/>
      <c r="AH815" s="135"/>
      <c r="AI815" s="135"/>
      <c r="AJ815" s="135"/>
      <c r="AK815" s="135"/>
      <c r="AL815" s="135"/>
      <c r="AM815" s="135"/>
      <c r="AN815" s="135"/>
      <c r="AO815" s="135"/>
      <c r="AP815" s="135"/>
      <c r="AQ815" s="135"/>
      <c r="AR815" s="135"/>
      <c r="AS815" s="135"/>
      <c r="AT815" s="135"/>
      <c r="AU815" s="135"/>
    </row>
    <row r="816" spans="1:47" x14ac:dyDescent="0.2">
      <c r="A816" s="174"/>
      <c r="B816" s="175"/>
      <c r="C816" s="176"/>
      <c r="D816" s="177"/>
      <c r="E816" s="178"/>
      <c r="F816" s="178"/>
      <c r="G816" s="177"/>
      <c r="H816" s="177"/>
      <c r="I816" s="186" t="s">
        <v>1133</v>
      </c>
      <c r="J816" s="206" t="s">
        <v>441</v>
      </c>
      <c r="K816" s="207">
        <f>70300*25%</f>
        <v>17575</v>
      </c>
      <c r="L816" s="182"/>
      <c r="M816" s="183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  <c r="AF816" s="135"/>
      <c r="AG816" s="135"/>
      <c r="AH816" s="135"/>
      <c r="AI816" s="135"/>
      <c r="AJ816" s="135"/>
      <c r="AK816" s="135"/>
      <c r="AL816" s="135"/>
      <c r="AM816" s="135"/>
      <c r="AN816" s="135"/>
      <c r="AO816" s="135"/>
      <c r="AP816" s="135"/>
      <c r="AQ816" s="135"/>
      <c r="AR816" s="135"/>
      <c r="AS816" s="135"/>
      <c r="AT816" s="135"/>
      <c r="AU816" s="135"/>
    </row>
    <row r="817" spans="1:47" x14ac:dyDescent="0.2">
      <c r="A817" s="174"/>
      <c r="B817" s="175"/>
      <c r="C817" s="176"/>
      <c r="D817" s="177"/>
      <c r="E817" s="178"/>
      <c r="F817" s="178"/>
      <c r="G817" s="177"/>
      <c r="H817" s="177"/>
      <c r="I817" s="186" t="s">
        <v>1134</v>
      </c>
      <c r="J817" s="206" t="s">
        <v>441</v>
      </c>
      <c r="K817" s="207">
        <f>70300*25%</f>
        <v>17575</v>
      </c>
      <c r="L817" s="182"/>
      <c r="M817" s="183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  <c r="AF817" s="135"/>
      <c r="AG817" s="135"/>
      <c r="AH817" s="135"/>
      <c r="AI817" s="135"/>
      <c r="AJ817" s="135"/>
      <c r="AK817" s="135"/>
      <c r="AL817" s="135"/>
      <c r="AM817" s="135"/>
      <c r="AN817" s="135"/>
      <c r="AO817" s="135"/>
      <c r="AP817" s="135"/>
      <c r="AQ817" s="135"/>
      <c r="AR817" s="135"/>
      <c r="AS817" s="135"/>
      <c r="AT817" s="135"/>
      <c r="AU817" s="135"/>
    </row>
    <row r="818" spans="1:47" x14ac:dyDescent="0.2">
      <c r="A818" s="187"/>
      <c r="B818" s="188"/>
      <c r="C818" s="189"/>
      <c r="D818" s="190"/>
      <c r="E818" s="191"/>
      <c r="F818" s="191"/>
      <c r="G818" s="190"/>
      <c r="H818" s="190"/>
      <c r="I818" s="202"/>
      <c r="J818" s="203"/>
      <c r="K818" s="194">
        <f>SUM(K815:K817)</f>
        <v>70300</v>
      </c>
      <c r="L818" s="195"/>
      <c r="M818" s="196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  <c r="AF818" s="135"/>
      <c r="AG818" s="135"/>
      <c r="AH818" s="135"/>
      <c r="AI818" s="135"/>
      <c r="AJ818" s="135"/>
      <c r="AK818" s="135"/>
      <c r="AL818" s="135"/>
      <c r="AM818" s="135"/>
      <c r="AN818" s="135"/>
      <c r="AO818" s="135"/>
      <c r="AP818" s="135"/>
      <c r="AQ818" s="135"/>
      <c r="AR818" s="135"/>
      <c r="AS818" s="135"/>
      <c r="AT818" s="135"/>
      <c r="AU818" s="135"/>
    </row>
    <row r="819" spans="1:47" ht="24.75" customHeight="1" x14ac:dyDescent="0.2">
      <c r="A819" s="163">
        <v>188</v>
      </c>
      <c r="B819" s="164" t="s">
        <v>1135</v>
      </c>
      <c r="C819" s="165"/>
      <c r="D819" s="166" t="s">
        <v>161</v>
      </c>
      <c r="E819" s="167"/>
      <c r="F819" s="167"/>
      <c r="G819" s="166"/>
      <c r="H819" s="166" t="s">
        <v>137</v>
      </c>
      <c r="I819" s="299" t="s">
        <v>1136</v>
      </c>
      <c r="J819" s="262" t="s">
        <v>759</v>
      </c>
      <c r="K819" s="209">
        <f>70300*60%</f>
        <v>42180</v>
      </c>
      <c r="L819" s="172" t="s">
        <v>164</v>
      </c>
      <c r="M819" s="172" t="s">
        <v>1137</v>
      </c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  <c r="AF819" s="135"/>
      <c r="AG819" s="135"/>
      <c r="AH819" s="135"/>
      <c r="AI819" s="135"/>
      <c r="AJ819" s="135"/>
      <c r="AK819" s="135"/>
      <c r="AL819" s="135"/>
      <c r="AM819" s="135"/>
      <c r="AN819" s="135"/>
      <c r="AO819" s="135"/>
      <c r="AP819" s="135"/>
      <c r="AQ819" s="135"/>
      <c r="AR819" s="135"/>
      <c r="AS819" s="135"/>
      <c r="AT819" s="135"/>
      <c r="AU819" s="135"/>
    </row>
    <row r="820" spans="1:47" x14ac:dyDescent="0.2">
      <c r="A820" s="174"/>
      <c r="B820" s="175"/>
      <c r="C820" s="176"/>
      <c r="D820" s="177"/>
      <c r="E820" s="178"/>
      <c r="F820" s="178"/>
      <c r="G820" s="177"/>
      <c r="H820" s="177"/>
      <c r="I820" s="186" t="s">
        <v>1138</v>
      </c>
      <c r="J820" s="206" t="s">
        <v>441</v>
      </c>
      <c r="K820" s="213">
        <f>70300*20%</f>
        <v>14060</v>
      </c>
      <c r="L820" s="183"/>
      <c r="M820" s="183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  <c r="AF820" s="135"/>
      <c r="AG820" s="135"/>
      <c r="AH820" s="135"/>
      <c r="AI820" s="135"/>
      <c r="AJ820" s="135"/>
      <c r="AK820" s="135"/>
      <c r="AL820" s="135"/>
      <c r="AM820" s="135"/>
      <c r="AN820" s="135"/>
      <c r="AO820" s="135"/>
      <c r="AP820" s="135"/>
      <c r="AQ820" s="135"/>
      <c r="AR820" s="135"/>
      <c r="AS820" s="135"/>
      <c r="AT820" s="135"/>
      <c r="AU820" s="135"/>
    </row>
    <row r="821" spans="1:47" x14ac:dyDescent="0.2">
      <c r="A821" s="174"/>
      <c r="B821" s="175"/>
      <c r="C821" s="176"/>
      <c r="D821" s="177"/>
      <c r="E821" s="178"/>
      <c r="F821" s="178"/>
      <c r="G821" s="177"/>
      <c r="H821" s="177"/>
      <c r="I821" s="186" t="s">
        <v>1139</v>
      </c>
      <c r="J821" s="206" t="s">
        <v>441</v>
      </c>
      <c r="K821" s="213">
        <f>70300*20%</f>
        <v>14060</v>
      </c>
      <c r="L821" s="183"/>
      <c r="M821" s="183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  <c r="AF821" s="135"/>
      <c r="AG821" s="135"/>
      <c r="AH821" s="135"/>
      <c r="AI821" s="135"/>
      <c r="AJ821" s="135"/>
      <c r="AK821" s="135"/>
      <c r="AL821" s="135"/>
      <c r="AM821" s="135"/>
      <c r="AN821" s="135"/>
      <c r="AO821" s="135"/>
      <c r="AP821" s="135"/>
      <c r="AQ821" s="135"/>
      <c r="AR821" s="135"/>
      <c r="AS821" s="135"/>
      <c r="AT821" s="135"/>
      <c r="AU821" s="135"/>
    </row>
    <row r="822" spans="1:47" x14ac:dyDescent="0.2">
      <c r="A822" s="187"/>
      <c r="B822" s="188"/>
      <c r="C822" s="189"/>
      <c r="D822" s="190"/>
      <c r="E822" s="191"/>
      <c r="F822" s="191"/>
      <c r="G822" s="190"/>
      <c r="H822" s="190"/>
      <c r="I822" s="202"/>
      <c r="J822" s="203"/>
      <c r="K822" s="210">
        <f>SUM(K819:K821)</f>
        <v>70300</v>
      </c>
      <c r="L822" s="196"/>
      <c r="M822" s="196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  <c r="AF822" s="135"/>
      <c r="AG822" s="135"/>
      <c r="AH822" s="135"/>
      <c r="AI822" s="135"/>
      <c r="AJ822" s="135"/>
      <c r="AK822" s="135"/>
      <c r="AL822" s="135"/>
      <c r="AM822" s="135"/>
      <c r="AN822" s="135"/>
      <c r="AO822" s="135"/>
      <c r="AP822" s="135"/>
      <c r="AQ822" s="135"/>
      <c r="AR822" s="135"/>
      <c r="AS822" s="135"/>
      <c r="AT822" s="135"/>
      <c r="AU822" s="135"/>
    </row>
    <row r="823" spans="1:47" ht="24.75" customHeight="1" x14ac:dyDescent="0.2">
      <c r="A823" s="163">
        <v>189</v>
      </c>
      <c r="B823" s="164" t="s">
        <v>1140</v>
      </c>
      <c r="C823" s="165"/>
      <c r="D823" s="166" t="s">
        <v>161</v>
      </c>
      <c r="E823" s="167"/>
      <c r="F823" s="167"/>
      <c r="G823" s="166"/>
      <c r="H823" s="166" t="s">
        <v>108</v>
      </c>
      <c r="I823" s="299" t="s">
        <v>1141</v>
      </c>
      <c r="J823" s="262" t="s">
        <v>1125</v>
      </c>
      <c r="K823" s="205">
        <f>70300*60%</f>
        <v>42180</v>
      </c>
      <c r="L823" s="171" t="s">
        <v>164</v>
      </c>
      <c r="M823" s="172" t="s">
        <v>1142</v>
      </c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  <c r="AF823" s="135"/>
      <c r="AG823" s="135"/>
      <c r="AH823" s="135"/>
      <c r="AI823" s="135"/>
      <c r="AJ823" s="135"/>
      <c r="AK823" s="135"/>
      <c r="AL823" s="135"/>
      <c r="AM823" s="135"/>
      <c r="AN823" s="135"/>
      <c r="AO823" s="135"/>
      <c r="AP823" s="135"/>
      <c r="AQ823" s="135"/>
      <c r="AR823" s="135"/>
      <c r="AS823" s="135"/>
      <c r="AT823" s="135"/>
      <c r="AU823" s="135"/>
    </row>
    <row r="824" spans="1:47" x14ac:dyDescent="0.2">
      <c r="A824" s="174"/>
      <c r="B824" s="175"/>
      <c r="C824" s="176"/>
      <c r="D824" s="177"/>
      <c r="E824" s="178"/>
      <c r="F824" s="178"/>
      <c r="G824" s="177"/>
      <c r="H824" s="177"/>
      <c r="I824" s="186" t="s">
        <v>1143</v>
      </c>
      <c r="J824" s="206" t="s">
        <v>1056</v>
      </c>
      <c r="K824" s="207">
        <f>70300*15%</f>
        <v>10545</v>
      </c>
      <c r="L824" s="182"/>
      <c r="M824" s="183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  <c r="AF824" s="135"/>
      <c r="AG824" s="135"/>
      <c r="AH824" s="135"/>
      <c r="AI824" s="135"/>
      <c r="AJ824" s="135"/>
      <c r="AK824" s="135"/>
      <c r="AL824" s="135"/>
      <c r="AM824" s="135"/>
      <c r="AN824" s="135"/>
      <c r="AO824" s="135"/>
      <c r="AP824" s="135"/>
      <c r="AQ824" s="135"/>
      <c r="AR824" s="135"/>
      <c r="AS824" s="135"/>
      <c r="AT824" s="135"/>
      <c r="AU824" s="135"/>
    </row>
    <row r="825" spans="1:47" x14ac:dyDescent="0.2">
      <c r="A825" s="174"/>
      <c r="B825" s="175"/>
      <c r="C825" s="176"/>
      <c r="D825" s="177"/>
      <c r="E825" s="178"/>
      <c r="F825" s="178"/>
      <c r="G825" s="177"/>
      <c r="H825" s="177"/>
      <c r="I825" s="186" t="s">
        <v>1144</v>
      </c>
      <c r="J825" s="206" t="s">
        <v>441</v>
      </c>
      <c r="K825" s="207">
        <f>70300*15%</f>
        <v>10545</v>
      </c>
      <c r="L825" s="182"/>
      <c r="M825" s="183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  <c r="AF825" s="135"/>
      <c r="AG825" s="135"/>
      <c r="AH825" s="135"/>
      <c r="AI825" s="135"/>
      <c r="AJ825" s="135"/>
      <c r="AK825" s="135"/>
      <c r="AL825" s="135"/>
      <c r="AM825" s="135"/>
      <c r="AN825" s="135"/>
      <c r="AO825" s="135"/>
      <c r="AP825" s="135"/>
      <c r="AQ825" s="135"/>
      <c r="AR825" s="135"/>
      <c r="AS825" s="135"/>
      <c r="AT825" s="135"/>
      <c r="AU825" s="135"/>
    </row>
    <row r="826" spans="1:47" x14ac:dyDescent="0.2">
      <c r="A826" s="174"/>
      <c r="B826" s="175"/>
      <c r="C826" s="176"/>
      <c r="D826" s="177"/>
      <c r="E826" s="178"/>
      <c r="F826" s="178"/>
      <c r="G826" s="177"/>
      <c r="H826" s="177"/>
      <c r="I826" s="186" t="s">
        <v>1145</v>
      </c>
      <c r="J826" s="206" t="s">
        <v>441</v>
      </c>
      <c r="K826" s="207">
        <f>70300*10%</f>
        <v>7030</v>
      </c>
      <c r="L826" s="182"/>
      <c r="M826" s="183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  <c r="AF826" s="135"/>
      <c r="AG826" s="135"/>
      <c r="AH826" s="135"/>
      <c r="AI826" s="135"/>
      <c r="AJ826" s="135"/>
      <c r="AK826" s="135"/>
      <c r="AL826" s="135"/>
      <c r="AM826" s="135"/>
      <c r="AN826" s="135"/>
      <c r="AO826" s="135"/>
      <c r="AP826" s="135"/>
      <c r="AQ826" s="135"/>
      <c r="AR826" s="135"/>
      <c r="AS826" s="135"/>
      <c r="AT826" s="135"/>
      <c r="AU826" s="135"/>
    </row>
    <row r="827" spans="1:47" x14ac:dyDescent="0.2">
      <c r="A827" s="187"/>
      <c r="B827" s="188"/>
      <c r="C827" s="189"/>
      <c r="D827" s="190"/>
      <c r="E827" s="191"/>
      <c r="F827" s="191"/>
      <c r="G827" s="190"/>
      <c r="H827" s="190"/>
      <c r="I827" s="202"/>
      <c r="J827" s="203"/>
      <c r="K827" s="194">
        <f>SUM(K823:K826)</f>
        <v>70300</v>
      </c>
      <c r="L827" s="195"/>
      <c r="M827" s="196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  <c r="AF827" s="135"/>
      <c r="AG827" s="135"/>
      <c r="AH827" s="135"/>
      <c r="AI827" s="135"/>
      <c r="AJ827" s="135"/>
      <c r="AK827" s="135"/>
      <c r="AL827" s="135"/>
      <c r="AM827" s="135"/>
      <c r="AN827" s="135"/>
      <c r="AO827" s="135"/>
      <c r="AP827" s="135"/>
      <c r="AQ827" s="135"/>
      <c r="AR827" s="135"/>
      <c r="AS827" s="135"/>
      <c r="AT827" s="135"/>
      <c r="AU827" s="135"/>
    </row>
    <row r="828" spans="1:47" ht="24" customHeight="1" x14ac:dyDescent="0.2">
      <c r="A828" s="163">
        <v>190</v>
      </c>
      <c r="B828" s="164" t="s">
        <v>1146</v>
      </c>
      <c r="C828" s="165"/>
      <c r="D828" s="166" t="s">
        <v>161</v>
      </c>
      <c r="E828" s="167"/>
      <c r="F828" s="167"/>
      <c r="G828" s="166"/>
      <c r="H828" s="166"/>
      <c r="I828" s="299" t="s">
        <v>1147</v>
      </c>
      <c r="J828" s="262" t="s">
        <v>759</v>
      </c>
      <c r="K828" s="205">
        <f>251223*70%</f>
        <v>175856.09999999998</v>
      </c>
      <c r="L828" s="171" t="s">
        <v>164</v>
      </c>
      <c r="M828" s="172" t="s">
        <v>1148</v>
      </c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  <c r="AF828" s="135"/>
      <c r="AG828" s="135"/>
      <c r="AH828" s="135"/>
      <c r="AI828" s="135"/>
      <c r="AJ828" s="135"/>
      <c r="AK828" s="135"/>
      <c r="AL828" s="135"/>
      <c r="AM828" s="135"/>
      <c r="AN828" s="135"/>
      <c r="AO828" s="135"/>
      <c r="AP828" s="135"/>
      <c r="AQ828" s="135"/>
      <c r="AR828" s="135"/>
      <c r="AS828" s="135"/>
      <c r="AT828" s="135"/>
      <c r="AU828" s="135"/>
    </row>
    <row r="829" spans="1:47" x14ac:dyDescent="0.2">
      <c r="A829" s="174"/>
      <c r="B829" s="175"/>
      <c r="C829" s="176"/>
      <c r="D829" s="177"/>
      <c r="E829" s="178"/>
      <c r="F829" s="178"/>
      <c r="G829" s="177"/>
      <c r="H829" s="177"/>
      <c r="I829" s="186" t="s">
        <v>1149</v>
      </c>
      <c r="J829" s="206" t="s">
        <v>441</v>
      </c>
      <c r="K829" s="207">
        <f t="shared" ref="K829:K834" si="11">251223*5%</f>
        <v>12561.150000000001</v>
      </c>
      <c r="L829" s="182"/>
      <c r="M829" s="183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  <c r="AF829" s="135"/>
      <c r="AG829" s="135"/>
      <c r="AH829" s="135"/>
      <c r="AI829" s="135"/>
      <c r="AJ829" s="135"/>
      <c r="AK829" s="135"/>
      <c r="AL829" s="135"/>
      <c r="AM829" s="135"/>
      <c r="AN829" s="135"/>
      <c r="AO829" s="135"/>
      <c r="AP829" s="135"/>
      <c r="AQ829" s="135"/>
      <c r="AR829" s="135"/>
      <c r="AS829" s="135"/>
      <c r="AT829" s="135"/>
      <c r="AU829" s="135"/>
    </row>
    <row r="830" spans="1:47" x14ac:dyDescent="0.2">
      <c r="A830" s="174"/>
      <c r="B830" s="175"/>
      <c r="C830" s="176"/>
      <c r="D830" s="177"/>
      <c r="E830" s="178"/>
      <c r="F830" s="178"/>
      <c r="G830" s="177"/>
      <c r="H830" s="177"/>
      <c r="I830" s="186" t="s">
        <v>1150</v>
      </c>
      <c r="J830" s="206" t="s">
        <v>441</v>
      </c>
      <c r="K830" s="207">
        <f t="shared" si="11"/>
        <v>12561.150000000001</v>
      </c>
      <c r="L830" s="182"/>
      <c r="M830" s="183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  <c r="AF830" s="135"/>
      <c r="AG830" s="135"/>
      <c r="AH830" s="135"/>
      <c r="AI830" s="135"/>
      <c r="AJ830" s="135"/>
      <c r="AK830" s="135"/>
      <c r="AL830" s="135"/>
      <c r="AM830" s="135"/>
      <c r="AN830" s="135"/>
      <c r="AO830" s="135"/>
      <c r="AP830" s="135"/>
      <c r="AQ830" s="135"/>
      <c r="AR830" s="135"/>
      <c r="AS830" s="135"/>
      <c r="AT830" s="135"/>
      <c r="AU830" s="135"/>
    </row>
    <row r="831" spans="1:47" x14ac:dyDescent="0.2">
      <c r="A831" s="174"/>
      <c r="B831" s="175"/>
      <c r="C831" s="176"/>
      <c r="D831" s="177"/>
      <c r="E831" s="178"/>
      <c r="F831" s="178"/>
      <c r="G831" s="177"/>
      <c r="H831" s="177"/>
      <c r="I831" s="186" t="s">
        <v>1151</v>
      </c>
      <c r="J831" s="206" t="s">
        <v>441</v>
      </c>
      <c r="K831" s="207">
        <f t="shared" si="11"/>
        <v>12561.150000000001</v>
      </c>
      <c r="L831" s="182"/>
      <c r="M831" s="183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  <c r="AF831" s="135"/>
      <c r="AG831" s="135"/>
      <c r="AH831" s="135"/>
      <c r="AI831" s="135"/>
      <c r="AJ831" s="135"/>
      <c r="AK831" s="135"/>
      <c r="AL831" s="135"/>
      <c r="AM831" s="135"/>
      <c r="AN831" s="135"/>
      <c r="AO831" s="135"/>
      <c r="AP831" s="135"/>
      <c r="AQ831" s="135"/>
      <c r="AR831" s="135"/>
      <c r="AS831" s="135"/>
      <c r="AT831" s="135"/>
      <c r="AU831" s="135"/>
    </row>
    <row r="832" spans="1:47" x14ac:dyDescent="0.2">
      <c r="A832" s="174"/>
      <c r="B832" s="175"/>
      <c r="C832" s="176"/>
      <c r="D832" s="177"/>
      <c r="E832" s="178"/>
      <c r="F832" s="178"/>
      <c r="G832" s="177"/>
      <c r="H832" s="177"/>
      <c r="I832" s="186" t="s">
        <v>1152</v>
      </c>
      <c r="J832" s="206" t="s">
        <v>441</v>
      </c>
      <c r="K832" s="207">
        <f t="shared" si="11"/>
        <v>12561.150000000001</v>
      </c>
      <c r="L832" s="182"/>
      <c r="M832" s="183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  <c r="AF832" s="135"/>
      <c r="AG832" s="135"/>
      <c r="AH832" s="135"/>
      <c r="AI832" s="135"/>
      <c r="AJ832" s="135"/>
      <c r="AK832" s="135"/>
      <c r="AL832" s="135"/>
      <c r="AM832" s="135"/>
      <c r="AN832" s="135"/>
      <c r="AO832" s="135"/>
      <c r="AP832" s="135"/>
      <c r="AQ832" s="135"/>
      <c r="AR832" s="135"/>
      <c r="AS832" s="135"/>
      <c r="AT832" s="135"/>
      <c r="AU832" s="135"/>
    </row>
    <row r="833" spans="1:47" x14ac:dyDescent="0.2">
      <c r="A833" s="174"/>
      <c r="B833" s="175"/>
      <c r="C833" s="176"/>
      <c r="D833" s="177"/>
      <c r="E833" s="178"/>
      <c r="F833" s="178"/>
      <c r="G833" s="177"/>
      <c r="H833" s="177"/>
      <c r="I833" s="186" t="s">
        <v>1153</v>
      </c>
      <c r="J833" s="206" t="s">
        <v>290</v>
      </c>
      <c r="K833" s="207">
        <f t="shared" si="11"/>
        <v>12561.150000000001</v>
      </c>
      <c r="L833" s="182"/>
      <c r="M833" s="183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  <c r="AF833" s="135"/>
      <c r="AG833" s="135"/>
      <c r="AH833" s="135"/>
      <c r="AI833" s="135"/>
      <c r="AJ833" s="135"/>
      <c r="AK833" s="135"/>
      <c r="AL833" s="135"/>
      <c r="AM833" s="135"/>
      <c r="AN833" s="135"/>
      <c r="AO833" s="135"/>
      <c r="AP833" s="135"/>
      <c r="AQ833" s="135"/>
      <c r="AR833" s="135"/>
      <c r="AS833" s="135"/>
      <c r="AT833" s="135"/>
      <c r="AU833" s="135"/>
    </row>
    <row r="834" spans="1:47" x14ac:dyDescent="0.2">
      <c r="A834" s="174"/>
      <c r="B834" s="175"/>
      <c r="C834" s="176"/>
      <c r="D834" s="177"/>
      <c r="E834" s="178"/>
      <c r="F834" s="178"/>
      <c r="G834" s="177"/>
      <c r="H834" s="177"/>
      <c r="I834" s="186" t="s">
        <v>1154</v>
      </c>
      <c r="J834" s="206" t="s">
        <v>441</v>
      </c>
      <c r="K834" s="207">
        <f t="shared" si="11"/>
        <v>12561.150000000001</v>
      </c>
      <c r="L834" s="182"/>
      <c r="M834" s="183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  <c r="AF834" s="135"/>
      <c r="AG834" s="135"/>
      <c r="AH834" s="135"/>
      <c r="AI834" s="135"/>
      <c r="AJ834" s="135"/>
      <c r="AK834" s="135"/>
      <c r="AL834" s="135"/>
      <c r="AM834" s="135"/>
      <c r="AN834" s="135"/>
      <c r="AO834" s="135"/>
      <c r="AP834" s="135"/>
      <c r="AQ834" s="135"/>
      <c r="AR834" s="135"/>
      <c r="AS834" s="135"/>
      <c r="AT834" s="135"/>
      <c r="AU834" s="135"/>
    </row>
    <row r="835" spans="1:47" x14ac:dyDescent="0.2">
      <c r="A835" s="187"/>
      <c r="B835" s="188"/>
      <c r="C835" s="189"/>
      <c r="D835" s="190"/>
      <c r="E835" s="191"/>
      <c r="F835" s="191"/>
      <c r="G835" s="190"/>
      <c r="H835" s="190"/>
      <c r="I835" s="202"/>
      <c r="J835" s="203"/>
      <c r="K835" s="194">
        <f>SUM(K828:K834)</f>
        <v>251222.99999999994</v>
      </c>
      <c r="L835" s="195"/>
      <c r="M835" s="196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  <c r="AF835" s="135"/>
      <c r="AG835" s="135"/>
      <c r="AH835" s="135"/>
      <c r="AI835" s="135"/>
      <c r="AJ835" s="135"/>
      <c r="AK835" s="135"/>
      <c r="AL835" s="135"/>
      <c r="AM835" s="135"/>
      <c r="AN835" s="135"/>
      <c r="AO835" s="135"/>
      <c r="AP835" s="135"/>
      <c r="AQ835" s="135"/>
      <c r="AR835" s="135"/>
      <c r="AS835" s="135"/>
      <c r="AT835" s="135"/>
      <c r="AU835" s="135"/>
    </row>
    <row r="836" spans="1:47" ht="24" customHeight="1" x14ac:dyDescent="0.2">
      <c r="A836" s="163">
        <v>191</v>
      </c>
      <c r="B836" s="164" t="s">
        <v>1155</v>
      </c>
      <c r="C836" s="165"/>
      <c r="D836" s="166" t="s">
        <v>161</v>
      </c>
      <c r="E836" s="167"/>
      <c r="F836" s="167"/>
      <c r="G836" s="166"/>
      <c r="H836" s="166" t="s">
        <v>743</v>
      </c>
      <c r="I836" s="299" t="s">
        <v>1156</v>
      </c>
      <c r="J836" s="262" t="s">
        <v>759</v>
      </c>
      <c r="K836" s="205">
        <f>20800*70%</f>
        <v>14559.999999999998</v>
      </c>
      <c r="L836" s="171" t="s">
        <v>164</v>
      </c>
      <c r="M836" s="172" t="s">
        <v>1157</v>
      </c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  <c r="AF836" s="135"/>
      <c r="AG836" s="135"/>
      <c r="AH836" s="135"/>
      <c r="AI836" s="135"/>
      <c r="AJ836" s="135"/>
      <c r="AK836" s="135"/>
      <c r="AL836" s="135"/>
      <c r="AM836" s="135"/>
      <c r="AN836" s="135"/>
      <c r="AO836" s="135"/>
      <c r="AP836" s="135"/>
      <c r="AQ836" s="135"/>
      <c r="AR836" s="135"/>
      <c r="AS836" s="135"/>
      <c r="AT836" s="135"/>
      <c r="AU836" s="135"/>
    </row>
    <row r="837" spans="1:47" x14ac:dyDescent="0.2">
      <c r="A837" s="174"/>
      <c r="B837" s="175"/>
      <c r="C837" s="176"/>
      <c r="D837" s="177"/>
      <c r="E837" s="178"/>
      <c r="F837" s="178"/>
      <c r="G837" s="177"/>
      <c r="H837" s="177"/>
      <c r="I837" s="186" t="s">
        <v>1158</v>
      </c>
      <c r="J837" s="206" t="s">
        <v>398</v>
      </c>
      <c r="K837" s="207">
        <f>20800*10%</f>
        <v>2080</v>
      </c>
      <c r="L837" s="182"/>
      <c r="M837" s="183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  <c r="AF837" s="135"/>
      <c r="AG837" s="135"/>
      <c r="AH837" s="135"/>
      <c r="AI837" s="135"/>
      <c r="AJ837" s="135"/>
      <c r="AK837" s="135"/>
      <c r="AL837" s="135"/>
      <c r="AM837" s="135"/>
      <c r="AN837" s="135"/>
      <c r="AO837" s="135"/>
      <c r="AP837" s="135"/>
      <c r="AQ837" s="135"/>
      <c r="AR837" s="135"/>
      <c r="AS837" s="135"/>
      <c r="AT837" s="135"/>
      <c r="AU837" s="135"/>
    </row>
    <row r="838" spans="1:47" x14ac:dyDescent="0.2">
      <c r="A838" s="174"/>
      <c r="B838" s="175"/>
      <c r="C838" s="176"/>
      <c r="D838" s="177"/>
      <c r="E838" s="178"/>
      <c r="F838" s="178"/>
      <c r="G838" s="177"/>
      <c r="H838" s="177"/>
      <c r="I838" s="186" t="s">
        <v>1159</v>
      </c>
      <c r="J838" s="206" t="s">
        <v>441</v>
      </c>
      <c r="K838" s="207">
        <f>20800*10%</f>
        <v>2080</v>
      </c>
      <c r="L838" s="182"/>
      <c r="M838" s="183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  <c r="AF838" s="135"/>
      <c r="AG838" s="135"/>
      <c r="AH838" s="135"/>
      <c r="AI838" s="135"/>
      <c r="AJ838" s="135"/>
      <c r="AK838" s="135"/>
      <c r="AL838" s="135"/>
      <c r="AM838" s="135"/>
      <c r="AN838" s="135"/>
      <c r="AO838" s="135"/>
      <c r="AP838" s="135"/>
      <c r="AQ838" s="135"/>
      <c r="AR838" s="135"/>
      <c r="AS838" s="135"/>
      <c r="AT838" s="135"/>
      <c r="AU838" s="135"/>
    </row>
    <row r="839" spans="1:47" x14ac:dyDescent="0.2">
      <c r="A839" s="174"/>
      <c r="B839" s="175"/>
      <c r="C839" s="176"/>
      <c r="D839" s="177"/>
      <c r="E839" s="178"/>
      <c r="F839" s="178"/>
      <c r="G839" s="177"/>
      <c r="H839" s="177"/>
      <c r="I839" s="186" t="s">
        <v>1160</v>
      </c>
      <c r="J839" s="206" t="s">
        <v>453</v>
      </c>
      <c r="K839" s="207">
        <f>20800*5%</f>
        <v>1040</v>
      </c>
      <c r="L839" s="182"/>
      <c r="M839" s="183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  <c r="AF839" s="135"/>
      <c r="AG839" s="135"/>
      <c r="AH839" s="135"/>
      <c r="AI839" s="135"/>
      <c r="AJ839" s="135"/>
      <c r="AK839" s="135"/>
      <c r="AL839" s="135"/>
      <c r="AM839" s="135"/>
      <c r="AN839" s="135"/>
      <c r="AO839" s="135"/>
      <c r="AP839" s="135"/>
      <c r="AQ839" s="135"/>
      <c r="AR839" s="135"/>
      <c r="AS839" s="135"/>
      <c r="AT839" s="135"/>
      <c r="AU839" s="135"/>
    </row>
    <row r="840" spans="1:47" x14ac:dyDescent="0.2">
      <c r="A840" s="174"/>
      <c r="B840" s="175"/>
      <c r="C840" s="176"/>
      <c r="D840" s="177"/>
      <c r="E840" s="178"/>
      <c r="F840" s="178"/>
      <c r="G840" s="177"/>
      <c r="H840" s="177"/>
      <c r="I840" s="186" t="s">
        <v>490</v>
      </c>
      <c r="J840" s="206" t="s">
        <v>453</v>
      </c>
      <c r="K840" s="207">
        <f>20800*5%</f>
        <v>1040</v>
      </c>
      <c r="L840" s="182"/>
      <c r="M840" s="183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  <c r="AF840" s="135"/>
      <c r="AG840" s="135"/>
      <c r="AH840" s="135"/>
      <c r="AI840" s="135"/>
      <c r="AJ840" s="135"/>
      <c r="AK840" s="135"/>
      <c r="AL840" s="135"/>
      <c r="AM840" s="135"/>
      <c r="AN840" s="135"/>
      <c r="AO840" s="135"/>
      <c r="AP840" s="135"/>
      <c r="AQ840" s="135"/>
      <c r="AR840" s="135"/>
      <c r="AS840" s="135"/>
      <c r="AT840" s="135"/>
      <c r="AU840" s="135"/>
    </row>
    <row r="841" spans="1:47" x14ac:dyDescent="0.2">
      <c r="A841" s="187"/>
      <c r="B841" s="188"/>
      <c r="C841" s="189"/>
      <c r="D841" s="190"/>
      <c r="E841" s="191"/>
      <c r="F841" s="191"/>
      <c r="G841" s="190"/>
      <c r="H841" s="190"/>
      <c r="I841" s="202"/>
      <c r="J841" s="203"/>
      <c r="K841" s="194">
        <f>SUM(K836:K840)</f>
        <v>20800</v>
      </c>
      <c r="L841" s="195"/>
      <c r="M841" s="196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  <c r="AF841" s="135"/>
      <c r="AG841" s="135"/>
      <c r="AH841" s="135"/>
      <c r="AI841" s="135"/>
      <c r="AJ841" s="135"/>
      <c r="AK841" s="135"/>
      <c r="AL841" s="135"/>
      <c r="AM841" s="135"/>
      <c r="AN841" s="135"/>
      <c r="AO841" s="135"/>
      <c r="AP841" s="135"/>
      <c r="AQ841" s="135"/>
      <c r="AR841" s="135"/>
      <c r="AS841" s="135"/>
      <c r="AT841" s="135"/>
      <c r="AU841" s="135"/>
    </row>
    <row r="842" spans="1:47" ht="25.5" customHeight="1" x14ac:dyDescent="0.2">
      <c r="A842" s="163">
        <v>192</v>
      </c>
      <c r="B842" s="164" t="s">
        <v>1161</v>
      </c>
      <c r="C842" s="165"/>
      <c r="D842" s="166" t="s">
        <v>161</v>
      </c>
      <c r="E842" s="167"/>
      <c r="F842" s="167"/>
      <c r="G842" s="166"/>
      <c r="H842" s="166"/>
      <c r="I842" s="299" t="s">
        <v>1162</v>
      </c>
      <c r="J842" s="262" t="s">
        <v>759</v>
      </c>
      <c r="K842" s="212">
        <f>80500*70%</f>
        <v>56350</v>
      </c>
      <c r="L842" s="172" t="s">
        <v>164</v>
      </c>
      <c r="M842" s="172" t="s">
        <v>1163</v>
      </c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  <c r="AF842" s="135"/>
      <c r="AG842" s="135"/>
      <c r="AH842" s="135"/>
      <c r="AI842" s="135"/>
      <c r="AJ842" s="135"/>
      <c r="AK842" s="135"/>
      <c r="AL842" s="135"/>
      <c r="AM842" s="135"/>
      <c r="AN842" s="135"/>
      <c r="AO842" s="135"/>
      <c r="AP842" s="135"/>
      <c r="AQ842" s="135"/>
      <c r="AR842" s="135"/>
      <c r="AS842" s="135"/>
      <c r="AT842" s="135"/>
      <c r="AU842" s="135"/>
    </row>
    <row r="843" spans="1:47" x14ac:dyDescent="0.2">
      <c r="A843" s="174"/>
      <c r="B843" s="175"/>
      <c r="C843" s="176"/>
      <c r="D843" s="177"/>
      <c r="E843" s="178"/>
      <c r="F843" s="178"/>
      <c r="G843" s="177"/>
      <c r="H843" s="177"/>
      <c r="I843" s="186" t="s">
        <v>1164</v>
      </c>
      <c r="J843" s="206" t="s">
        <v>441</v>
      </c>
      <c r="K843" s="200">
        <f>80500*15%</f>
        <v>12075</v>
      </c>
      <c r="L843" s="183"/>
      <c r="M843" s="183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  <c r="AF843" s="135"/>
      <c r="AG843" s="135"/>
      <c r="AH843" s="135"/>
      <c r="AI843" s="135"/>
      <c r="AJ843" s="135"/>
      <c r="AK843" s="135"/>
      <c r="AL843" s="135"/>
      <c r="AM843" s="135"/>
      <c r="AN843" s="135"/>
      <c r="AO843" s="135"/>
      <c r="AP843" s="135"/>
      <c r="AQ843" s="135"/>
      <c r="AR843" s="135"/>
      <c r="AS843" s="135"/>
      <c r="AT843" s="135"/>
      <c r="AU843" s="135"/>
    </row>
    <row r="844" spans="1:47" x14ac:dyDescent="0.2">
      <c r="A844" s="174"/>
      <c r="B844" s="175"/>
      <c r="C844" s="176"/>
      <c r="D844" s="177"/>
      <c r="E844" s="178"/>
      <c r="F844" s="178"/>
      <c r="G844" s="177"/>
      <c r="H844" s="177"/>
      <c r="I844" s="186" t="s">
        <v>1165</v>
      </c>
      <c r="J844" s="206" t="s">
        <v>398</v>
      </c>
      <c r="K844" s="200">
        <f>80500*15%</f>
        <v>12075</v>
      </c>
      <c r="L844" s="183"/>
      <c r="M844" s="183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  <c r="AF844" s="135"/>
      <c r="AG844" s="135"/>
      <c r="AH844" s="135"/>
      <c r="AI844" s="135"/>
      <c r="AJ844" s="135"/>
      <c r="AK844" s="135"/>
      <c r="AL844" s="135"/>
      <c r="AM844" s="135"/>
      <c r="AN844" s="135"/>
      <c r="AO844" s="135"/>
      <c r="AP844" s="135"/>
      <c r="AQ844" s="135"/>
      <c r="AR844" s="135"/>
      <c r="AS844" s="135"/>
      <c r="AT844" s="135"/>
      <c r="AU844" s="135"/>
    </row>
    <row r="845" spans="1:47" x14ac:dyDescent="0.2">
      <c r="A845" s="187"/>
      <c r="B845" s="188"/>
      <c r="C845" s="189"/>
      <c r="D845" s="190"/>
      <c r="E845" s="191"/>
      <c r="F845" s="191"/>
      <c r="G845" s="190"/>
      <c r="H845" s="190"/>
      <c r="I845" s="202"/>
      <c r="J845" s="203"/>
      <c r="K845" s="210">
        <f>SUM(K842:K844)</f>
        <v>80500</v>
      </c>
      <c r="L845" s="196"/>
      <c r="M845" s="196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  <c r="AF845" s="135"/>
      <c r="AG845" s="135"/>
      <c r="AH845" s="135"/>
      <c r="AI845" s="135"/>
      <c r="AJ845" s="135"/>
      <c r="AK845" s="135"/>
      <c r="AL845" s="135"/>
      <c r="AM845" s="135"/>
      <c r="AN845" s="135"/>
      <c r="AO845" s="135"/>
      <c r="AP845" s="135"/>
      <c r="AQ845" s="135"/>
      <c r="AR845" s="135"/>
      <c r="AS845" s="135"/>
      <c r="AT845" s="135"/>
      <c r="AU845" s="135"/>
    </row>
    <row r="846" spans="1:47" ht="22.5" customHeight="1" x14ac:dyDescent="0.2">
      <c r="A846" s="163">
        <v>193</v>
      </c>
      <c r="B846" s="164" t="s">
        <v>1166</v>
      </c>
      <c r="C846" s="165"/>
      <c r="D846" s="166" t="s">
        <v>161</v>
      </c>
      <c r="E846" s="167"/>
      <c r="F846" s="167"/>
      <c r="G846" s="166"/>
      <c r="H846" s="166" t="s">
        <v>137</v>
      </c>
      <c r="I846" s="299" t="s">
        <v>1156</v>
      </c>
      <c r="J846" s="262" t="s">
        <v>759</v>
      </c>
      <c r="K846" s="212">
        <f>501000*70%</f>
        <v>350700</v>
      </c>
      <c r="L846" s="172" t="s">
        <v>164</v>
      </c>
      <c r="M846" s="172" t="s">
        <v>1167</v>
      </c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  <c r="AF846" s="135"/>
      <c r="AG846" s="135"/>
      <c r="AH846" s="135"/>
      <c r="AI846" s="135"/>
      <c r="AJ846" s="135"/>
      <c r="AK846" s="135"/>
      <c r="AL846" s="135"/>
      <c r="AM846" s="135"/>
      <c r="AN846" s="135"/>
      <c r="AO846" s="135"/>
      <c r="AP846" s="135"/>
      <c r="AQ846" s="135"/>
      <c r="AR846" s="135"/>
      <c r="AS846" s="135"/>
      <c r="AT846" s="135"/>
      <c r="AU846" s="135"/>
    </row>
    <row r="847" spans="1:47" x14ac:dyDescent="0.2">
      <c r="A847" s="174"/>
      <c r="B847" s="175"/>
      <c r="C847" s="176"/>
      <c r="D847" s="177"/>
      <c r="E847" s="178"/>
      <c r="F847" s="178"/>
      <c r="G847" s="177"/>
      <c r="H847" s="177"/>
      <c r="I847" s="186" t="s">
        <v>1165</v>
      </c>
      <c r="J847" s="206" t="s">
        <v>398</v>
      </c>
      <c r="K847" s="200">
        <f>501000*15%</f>
        <v>75150</v>
      </c>
      <c r="L847" s="183"/>
      <c r="M847" s="183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  <c r="AF847" s="135"/>
      <c r="AG847" s="135"/>
      <c r="AH847" s="135"/>
      <c r="AI847" s="135"/>
      <c r="AJ847" s="135"/>
      <c r="AK847" s="135"/>
      <c r="AL847" s="135"/>
      <c r="AM847" s="135"/>
      <c r="AN847" s="135"/>
      <c r="AO847" s="135"/>
      <c r="AP847" s="135"/>
      <c r="AQ847" s="135"/>
      <c r="AR847" s="135"/>
      <c r="AS847" s="135"/>
      <c r="AT847" s="135"/>
      <c r="AU847" s="135"/>
    </row>
    <row r="848" spans="1:47" x14ac:dyDescent="0.2">
      <c r="A848" s="174"/>
      <c r="B848" s="175"/>
      <c r="C848" s="176"/>
      <c r="D848" s="177"/>
      <c r="E848" s="178"/>
      <c r="F848" s="178"/>
      <c r="G848" s="177"/>
      <c r="H848" s="177"/>
      <c r="I848" s="186" t="s">
        <v>1168</v>
      </c>
      <c r="J848" s="206" t="s">
        <v>441</v>
      </c>
      <c r="K848" s="200">
        <f>501000*15%</f>
        <v>75150</v>
      </c>
      <c r="L848" s="183"/>
      <c r="M848" s="183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  <c r="AF848" s="135"/>
      <c r="AG848" s="135"/>
      <c r="AH848" s="135"/>
      <c r="AI848" s="135"/>
      <c r="AJ848" s="135"/>
      <c r="AK848" s="135"/>
      <c r="AL848" s="135"/>
      <c r="AM848" s="135"/>
      <c r="AN848" s="135"/>
      <c r="AO848" s="135"/>
      <c r="AP848" s="135"/>
      <c r="AQ848" s="135"/>
      <c r="AR848" s="135"/>
      <c r="AS848" s="135"/>
      <c r="AT848" s="135"/>
      <c r="AU848" s="135"/>
    </row>
    <row r="849" spans="1:47" x14ac:dyDescent="0.2">
      <c r="A849" s="187"/>
      <c r="B849" s="188"/>
      <c r="C849" s="189"/>
      <c r="D849" s="190"/>
      <c r="E849" s="191"/>
      <c r="F849" s="191"/>
      <c r="G849" s="190"/>
      <c r="H849" s="190"/>
      <c r="I849" s="202"/>
      <c r="J849" s="203"/>
      <c r="K849" s="210">
        <f>SUM(K846:K848)</f>
        <v>501000</v>
      </c>
      <c r="L849" s="196"/>
      <c r="M849" s="196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  <c r="AF849" s="135"/>
      <c r="AG849" s="135"/>
      <c r="AH849" s="135"/>
      <c r="AI849" s="135"/>
      <c r="AJ849" s="135"/>
      <c r="AK849" s="135"/>
      <c r="AL849" s="135"/>
      <c r="AM849" s="135"/>
      <c r="AN849" s="135"/>
      <c r="AO849" s="135"/>
      <c r="AP849" s="135"/>
      <c r="AQ849" s="135"/>
      <c r="AR849" s="135"/>
      <c r="AS849" s="135"/>
      <c r="AT849" s="135"/>
      <c r="AU849" s="135"/>
    </row>
    <row r="850" spans="1:47" ht="24" customHeight="1" x14ac:dyDescent="0.2">
      <c r="A850" s="163">
        <v>194</v>
      </c>
      <c r="B850" s="164" t="s">
        <v>1169</v>
      </c>
      <c r="C850" s="165"/>
      <c r="D850" s="166" t="s">
        <v>161</v>
      </c>
      <c r="E850" s="167"/>
      <c r="F850" s="167"/>
      <c r="G850" s="166"/>
      <c r="H850" s="166" t="s">
        <v>903</v>
      </c>
      <c r="I850" s="299" t="s">
        <v>1170</v>
      </c>
      <c r="J850" s="262" t="s">
        <v>759</v>
      </c>
      <c r="K850" s="205">
        <f>179400*50%</f>
        <v>89700</v>
      </c>
      <c r="L850" s="171" t="s">
        <v>164</v>
      </c>
      <c r="M850" s="172" t="s">
        <v>1171</v>
      </c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  <c r="AF850" s="135"/>
      <c r="AG850" s="135"/>
      <c r="AH850" s="135"/>
      <c r="AI850" s="135"/>
      <c r="AJ850" s="135"/>
      <c r="AK850" s="135"/>
      <c r="AL850" s="135"/>
      <c r="AM850" s="135"/>
      <c r="AN850" s="135"/>
      <c r="AO850" s="135"/>
      <c r="AP850" s="135"/>
      <c r="AQ850" s="135"/>
      <c r="AR850" s="135"/>
      <c r="AS850" s="135"/>
      <c r="AT850" s="135"/>
      <c r="AU850" s="135"/>
    </row>
    <row r="851" spans="1:47" ht="21" customHeight="1" x14ac:dyDescent="0.2">
      <c r="A851" s="174"/>
      <c r="B851" s="175"/>
      <c r="C851" s="176"/>
      <c r="D851" s="177"/>
      <c r="E851" s="178"/>
      <c r="F851" s="178"/>
      <c r="G851" s="177"/>
      <c r="H851" s="177"/>
      <c r="I851" s="186" t="s">
        <v>1172</v>
      </c>
      <c r="J851" s="206" t="s">
        <v>441</v>
      </c>
      <c r="K851" s="207">
        <f>179400*10%</f>
        <v>17940</v>
      </c>
      <c r="L851" s="182"/>
      <c r="M851" s="183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  <c r="AF851" s="135"/>
      <c r="AG851" s="135"/>
      <c r="AH851" s="135"/>
      <c r="AI851" s="135"/>
      <c r="AJ851" s="135"/>
      <c r="AK851" s="135"/>
      <c r="AL851" s="135"/>
      <c r="AM851" s="135"/>
      <c r="AN851" s="135"/>
      <c r="AO851" s="135"/>
      <c r="AP851" s="135"/>
      <c r="AQ851" s="135"/>
      <c r="AR851" s="135"/>
      <c r="AS851" s="135"/>
      <c r="AT851" s="135"/>
      <c r="AU851" s="135"/>
    </row>
    <row r="852" spans="1:47" x14ac:dyDescent="0.2">
      <c r="A852" s="174"/>
      <c r="B852" s="175"/>
      <c r="C852" s="176"/>
      <c r="D852" s="177"/>
      <c r="E852" s="178"/>
      <c r="F852" s="178"/>
      <c r="G852" s="177"/>
      <c r="H852" s="177"/>
      <c r="I852" s="186" t="s">
        <v>1173</v>
      </c>
      <c r="J852" s="206" t="s">
        <v>441</v>
      </c>
      <c r="K852" s="207">
        <f>179400*10%</f>
        <v>17940</v>
      </c>
      <c r="L852" s="182"/>
      <c r="M852" s="183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  <c r="AF852" s="135"/>
      <c r="AG852" s="135"/>
      <c r="AH852" s="135"/>
      <c r="AI852" s="135"/>
      <c r="AJ852" s="135"/>
      <c r="AK852" s="135"/>
      <c r="AL852" s="135"/>
      <c r="AM852" s="135"/>
      <c r="AN852" s="135"/>
      <c r="AO852" s="135"/>
      <c r="AP852" s="135"/>
      <c r="AQ852" s="135"/>
      <c r="AR852" s="135"/>
      <c r="AS852" s="135"/>
      <c r="AT852" s="135"/>
      <c r="AU852" s="135"/>
    </row>
    <row r="853" spans="1:47" x14ac:dyDescent="0.2">
      <c r="A853" s="174"/>
      <c r="B853" s="175"/>
      <c r="C853" s="176"/>
      <c r="D853" s="177"/>
      <c r="E853" s="178"/>
      <c r="F853" s="178"/>
      <c r="G853" s="177"/>
      <c r="H853" s="177"/>
      <c r="I853" s="186" t="s">
        <v>1174</v>
      </c>
      <c r="J853" s="206" t="s">
        <v>441</v>
      </c>
      <c r="K853" s="207">
        <f>179400*5%</f>
        <v>8970</v>
      </c>
      <c r="L853" s="182"/>
      <c r="M853" s="183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  <c r="AF853" s="135"/>
      <c r="AG853" s="135"/>
      <c r="AH853" s="135"/>
      <c r="AI853" s="135"/>
      <c r="AJ853" s="135"/>
      <c r="AK853" s="135"/>
      <c r="AL853" s="135"/>
      <c r="AM853" s="135"/>
      <c r="AN853" s="135"/>
      <c r="AO853" s="135"/>
      <c r="AP853" s="135"/>
      <c r="AQ853" s="135"/>
      <c r="AR853" s="135"/>
      <c r="AS853" s="135"/>
      <c r="AT853" s="135"/>
      <c r="AU853" s="135"/>
    </row>
    <row r="854" spans="1:47" x14ac:dyDescent="0.2">
      <c r="A854" s="174"/>
      <c r="B854" s="175"/>
      <c r="C854" s="176"/>
      <c r="D854" s="177"/>
      <c r="E854" s="178"/>
      <c r="F854" s="178"/>
      <c r="G854" s="177"/>
      <c r="H854" s="177"/>
      <c r="I854" s="186" t="s">
        <v>1175</v>
      </c>
      <c r="J854" s="206" t="s">
        <v>441</v>
      </c>
      <c r="K854" s="207">
        <f>179400*5%</f>
        <v>8970</v>
      </c>
      <c r="L854" s="182"/>
      <c r="M854" s="183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  <c r="AF854" s="135"/>
      <c r="AG854" s="135"/>
      <c r="AH854" s="135"/>
      <c r="AI854" s="135"/>
      <c r="AJ854" s="135"/>
      <c r="AK854" s="135"/>
      <c r="AL854" s="135"/>
      <c r="AM854" s="135"/>
      <c r="AN854" s="135"/>
      <c r="AO854" s="135"/>
      <c r="AP854" s="135"/>
      <c r="AQ854" s="135"/>
      <c r="AR854" s="135"/>
      <c r="AS854" s="135"/>
      <c r="AT854" s="135"/>
      <c r="AU854" s="135"/>
    </row>
    <row r="855" spans="1:47" x14ac:dyDescent="0.2">
      <c r="A855" s="174"/>
      <c r="B855" s="175"/>
      <c r="C855" s="176"/>
      <c r="D855" s="177"/>
      <c r="E855" s="178"/>
      <c r="F855" s="178"/>
      <c r="G855" s="177"/>
      <c r="H855" s="177"/>
      <c r="I855" s="186" t="s">
        <v>1176</v>
      </c>
      <c r="J855" s="206" t="s">
        <v>441</v>
      </c>
      <c r="K855" s="207">
        <f>179400*10%</f>
        <v>17940</v>
      </c>
      <c r="L855" s="182"/>
      <c r="M855" s="183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  <c r="AF855" s="135"/>
      <c r="AG855" s="135"/>
      <c r="AH855" s="135"/>
      <c r="AI855" s="135"/>
      <c r="AJ855" s="135"/>
      <c r="AK855" s="135"/>
      <c r="AL855" s="135"/>
      <c r="AM855" s="135"/>
      <c r="AN855" s="135"/>
      <c r="AO855" s="135"/>
      <c r="AP855" s="135"/>
      <c r="AQ855" s="135"/>
      <c r="AR855" s="135"/>
      <c r="AS855" s="135"/>
      <c r="AT855" s="135"/>
      <c r="AU855" s="135"/>
    </row>
    <row r="856" spans="1:47" x14ac:dyDescent="0.2">
      <c r="A856" s="174"/>
      <c r="B856" s="175"/>
      <c r="C856" s="176"/>
      <c r="D856" s="177"/>
      <c r="E856" s="178"/>
      <c r="F856" s="178"/>
      <c r="G856" s="177"/>
      <c r="H856" s="177"/>
      <c r="I856" s="186" t="s">
        <v>1177</v>
      </c>
      <c r="J856" s="206" t="s">
        <v>441</v>
      </c>
      <c r="K856" s="207">
        <f>179400*5%</f>
        <v>8970</v>
      </c>
      <c r="L856" s="182"/>
      <c r="M856" s="183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  <c r="AF856" s="135"/>
      <c r="AG856" s="135"/>
      <c r="AH856" s="135"/>
      <c r="AI856" s="135"/>
      <c r="AJ856" s="135"/>
      <c r="AK856" s="135"/>
      <c r="AL856" s="135"/>
      <c r="AM856" s="135"/>
      <c r="AN856" s="135"/>
      <c r="AO856" s="135"/>
      <c r="AP856" s="135"/>
      <c r="AQ856" s="135"/>
      <c r="AR856" s="135"/>
      <c r="AS856" s="135"/>
      <c r="AT856" s="135"/>
      <c r="AU856" s="135"/>
    </row>
    <row r="857" spans="1:47" x14ac:dyDescent="0.2">
      <c r="A857" s="174"/>
      <c r="B857" s="175"/>
      <c r="C857" s="176"/>
      <c r="D857" s="177"/>
      <c r="E857" s="178"/>
      <c r="F857" s="178"/>
      <c r="G857" s="177"/>
      <c r="H857" s="177"/>
      <c r="I857" s="186" t="s">
        <v>1178</v>
      </c>
      <c r="J857" s="206" t="s">
        <v>441</v>
      </c>
      <c r="K857" s="207">
        <f>179400*5%</f>
        <v>8970</v>
      </c>
      <c r="L857" s="182"/>
      <c r="M857" s="183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  <c r="AF857" s="135"/>
      <c r="AG857" s="135"/>
      <c r="AH857" s="135"/>
      <c r="AI857" s="135"/>
      <c r="AJ857" s="135"/>
      <c r="AK857" s="135"/>
      <c r="AL857" s="135"/>
      <c r="AM857" s="135"/>
      <c r="AN857" s="135"/>
      <c r="AO857" s="135"/>
      <c r="AP857" s="135"/>
      <c r="AQ857" s="135"/>
      <c r="AR857" s="135"/>
      <c r="AS857" s="135"/>
      <c r="AT857" s="135"/>
      <c r="AU857" s="135"/>
    </row>
    <row r="858" spans="1:47" x14ac:dyDescent="0.2">
      <c r="A858" s="187"/>
      <c r="B858" s="188"/>
      <c r="C858" s="189"/>
      <c r="D858" s="190"/>
      <c r="E858" s="191"/>
      <c r="F858" s="191"/>
      <c r="G858" s="190"/>
      <c r="H858" s="190"/>
      <c r="I858" s="202"/>
      <c r="J858" s="203"/>
      <c r="K858" s="194">
        <f>SUM(K850:K857)</f>
        <v>179400</v>
      </c>
      <c r="L858" s="195"/>
      <c r="M858" s="196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  <c r="AF858" s="135"/>
      <c r="AG858" s="135"/>
      <c r="AH858" s="135"/>
      <c r="AI858" s="135"/>
      <c r="AJ858" s="135"/>
      <c r="AK858" s="135"/>
      <c r="AL858" s="135"/>
      <c r="AM858" s="135"/>
      <c r="AN858" s="135"/>
      <c r="AO858" s="135"/>
      <c r="AP858" s="135"/>
      <c r="AQ858" s="135"/>
      <c r="AR858" s="135"/>
      <c r="AS858" s="135"/>
      <c r="AT858" s="135"/>
      <c r="AU858" s="135"/>
    </row>
    <row r="859" spans="1:47" ht="25.5" customHeight="1" x14ac:dyDescent="0.2">
      <c r="A859" s="163">
        <v>195</v>
      </c>
      <c r="B859" s="164" t="s">
        <v>1179</v>
      </c>
      <c r="C859" s="165"/>
      <c r="D859" s="166" t="s">
        <v>161</v>
      </c>
      <c r="E859" s="167"/>
      <c r="F859" s="167"/>
      <c r="G859" s="166"/>
      <c r="H859" s="166"/>
      <c r="I859" s="299" t="s">
        <v>1180</v>
      </c>
      <c r="J859" s="262" t="s">
        <v>759</v>
      </c>
      <c r="K859" s="212">
        <f>194900*65%</f>
        <v>126685</v>
      </c>
      <c r="L859" s="172" t="s">
        <v>164</v>
      </c>
      <c r="M859" s="172" t="s">
        <v>1181</v>
      </c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  <c r="AF859" s="135"/>
      <c r="AG859" s="135"/>
      <c r="AH859" s="135"/>
      <c r="AI859" s="135"/>
      <c r="AJ859" s="135"/>
      <c r="AK859" s="135"/>
      <c r="AL859" s="135"/>
      <c r="AM859" s="135"/>
      <c r="AN859" s="135"/>
      <c r="AO859" s="135"/>
      <c r="AP859" s="135"/>
      <c r="AQ859" s="135"/>
      <c r="AR859" s="135"/>
      <c r="AS859" s="135"/>
      <c r="AT859" s="135"/>
      <c r="AU859" s="135"/>
    </row>
    <row r="860" spans="1:47" x14ac:dyDescent="0.2">
      <c r="A860" s="174"/>
      <c r="B860" s="175"/>
      <c r="C860" s="176"/>
      <c r="D860" s="177"/>
      <c r="E860" s="178"/>
      <c r="F860" s="178"/>
      <c r="G860" s="177"/>
      <c r="H860" s="177"/>
      <c r="I860" s="186" t="s">
        <v>1182</v>
      </c>
      <c r="J860" s="206" t="s">
        <v>441</v>
      </c>
      <c r="K860" s="200">
        <f t="shared" ref="K860:K866" si="12">194900*5%</f>
        <v>9745</v>
      </c>
      <c r="L860" s="183"/>
      <c r="M860" s="183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  <c r="AF860" s="135"/>
      <c r="AG860" s="135"/>
      <c r="AH860" s="135"/>
      <c r="AI860" s="135"/>
      <c r="AJ860" s="135"/>
      <c r="AK860" s="135"/>
      <c r="AL860" s="135"/>
      <c r="AM860" s="135"/>
      <c r="AN860" s="135"/>
      <c r="AO860" s="135"/>
      <c r="AP860" s="135"/>
      <c r="AQ860" s="135"/>
      <c r="AR860" s="135"/>
      <c r="AS860" s="135"/>
      <c r="AT860" s="135"/>
      <c r="AU860" s="135"/>
    </row>
    <row r="861" spans="1:47" x14ac:dyDescent="0.2">
      <c r="A861" s="174"/>
      <c r="B861" s="175"/>
      <c r="C861" s="176"/>
      <c r="D861" s="177"/>
      <c r="E861" s="178"/>
      <c r="F861" s="178"/>
      <c r="G861" s="177"/>
      <c r="H861" s="177"/>
      <c r="I861" s="186" t="s">
        <v>1183</v>
      </c>
      <c r="J861" s="206" t="s">
        <v>916</v>
      </c>
      <c r="K861" s="200">
        <f t="shared" si="12"/>
        <v>9745</v>
      </c>
      <c r="L861" s="183"/>
      <c r="M861" s="183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  <c r="AF861" s="135"/>
      <c r="AG861" s="135"/>
      <c r="AH861" s="135"/>
      <c r="AI861" s="135"/>
      <c r="AJ861" s="135"/>
      <c r="AK861" s="135"/>
      <c r="AL861" s="135"/>
      <c r="AM861" s="135"/>
      <c r="AN861" s="135"/>
      <c r="AO861" s="135"/>
      <c r="AP861" s="135"/>
      <c r="AQ861" s="135"/>
      <c r="AR861" s="135"/>
      <c r="AS861" s="135"/>
      <c r="AT861" s="135"/>
      <c r="AU861" s="135"/>
    </row>
    <row r="862" spans="1:47" x14ac:dyDescent="0.2">
      <c r="A862" s="174"/>
      <c r="B862" s="175"/>
      <c r="C862" s="176"/>
      <c r="D862" s="177"/>
      <c r="E862" s="178"/>
      <c r="F862" s="178"/>
      <c r="G862" s="177"/>
      <c r="H862" s="177"/>
      <c r="I862" s="186" t="s">
        <v>1184</v>
      </c>
      <c r="J862" s="206" t="s">
        <v>441</v>
      </c>
      <c r="K862" s="200">
        <f t="shared" si="12"/>
        <v>9745</v>
      </c>
      <c r="L862" s="183"/>
      <c r="M862" s="183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  <c r="AF862" s="135"/>
      <c r="AG862" s="135"/>
      <c r="AH862" s="135"/>
      <c r="AI862" s="135"/>
      <c r="AJ862" s="135"/>
      <c r="AK862" s="135"/>
      <c r="AL862" s="135"/>
      <c r="AM862" s="135"/>
      <c r="AN862" s="135"/>
      <c r="AO862" s="135"/>
      <c r="AP862" s="135"/>
      <c r="AQ862" s="135"/>
      <c r="AR862" s="135"/>
      <c r="AS862" s="135"/>
      <c r="AT862" s="135"/>
      <c r="AU862" s="135"/>
    </row>
    <row r="863" spans="1:47" x14ac:dyDescent="0.2">
      <c r="A863" s="174"/>
      <c r="B863" s="175"/>
      <c r="C863" s="176"/>
      <c r="D863" s="177"/>
      <c r="E863" s="178"/>
      <c r="F863" s="178"/>
      <c r="G863" s="177"/>
      <c r="H863" s="177"/>
      <c r="I863" s="186" t="s">
        <v>1185</v>
      </c>
      <c r="J863" s="206" t="s">
        <v>398</v>
      </c>
      <c r="K863" s="200">
        <f t="shared" si="12"/>
        <v>9745</v>
      </c>
      <c r="L863" s="183"/>
      <c r="M863" s="183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  <c r="AF863" s="135"/>
      <c r="AG863" s="135"/>
      <c r="AH863" s="135"/>
      <c r="AI863" s="135"/>
      <c r="AJ863" s="135"/>
      <c r="AK863" s="135"/>
      <c r="AL863" s="135"/>
      <c r="AM863" s="135"/>
      <c r="AN863" s="135"/>
      <c r="AO863" s="135"/>
      <c r="AP863" s="135"/>
      <c r="AQ863" s="135"/>
      <c r="AR863" s="135"/>
      <c r="AS863" s="135"/>
      <c r="AT863" s="135"/>
      <c r="AU863" s="135"/>
    </row>
    <row r="864" spans="1:47" x14ac:dyDescent="0.2">
      <c r="A864" s="174"/>
      <c r="B864" s="175"/>
      <c r="C864" s="176"/>
      <c r="D864" s="177"/>
      <c r="E864" s="178"/>
      <c r="F864" s="178"/>
      <c r="G864" s="177"/>
      <c r="H864" s="177"/>
      <c r="I864" s="186" t="s">
        <v>540</v>
      </c>
      <c r="J864" s="206" t="s">
        <v>460</v>
      </c>
      <c r="K864" s="200">
        <f t="shared" si="12"/>
        <v>9745</v>
      </c>
      <c r="L864" s="183"/>
      <c r="M864" s="183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  <c r="AF864" s="135"/>
      <c r="AG864" s="135"/>
      <c r="AH864" s="135"/>
      <c r="AI864" s="135"/>
      <c r="AJ864" s="135"/>
      <c r="AK864" s="135"/>
      <c r="AL864" s="135"/>
      <c r="AM864" s="135"/>
      <c r="AN864" s="135"/>
      <c r="AO864" s="135"/>
      <c r="AP864" s="135"/>
      <c r="AQ864" s="135"/>
      <c r="AR864" s="135"/>
      <c r="AS864" s="135"/>
      <c r="AT864" s="135"/>
      <c r="AU864" s="135"/>
    </row>
    <row r="865" spans="1:47" x14ac:dyDescent="0.2">
      <c r="A865" s="174"/>
      <c r="B865" s="175"/>
      <c r="C865" s="176"/>
      <c r="D865" s="177"/>
      <c r="E865" s="178"/>
      <c r="F865" s="178"/>
      <c r="G865" s="177"/>
      <c r="H865" s="177"/>
      <c r="I865" s="186" t="s">
        <v>1186</v>
      </c>
      <c r="J865" s="206" t="s">
        <v>441</v>
      </c>
      <c r="K865" s="200">
        <f t="shared" si="12"/>
        <v>9745</v>
      </c>
      <c r="L865" s="183"/>
      <c r="M865" s="183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  <c r="AF865" s="135"/>
      <c r="AG865" s="135"/>
      <c r="AH865" s="135"/>
      <c r="AI865" s="135"/>
      <c r="AJ865" s="135"/>
      <c r="AK865" s="135"/>
      <c r="AL865" s="135"/>
      <c r="AM865" s="135"/>
      <c r="AN865" s="135"/>
      <c r="AO865" s="135"/>
      <c r="AP865" s="135"/>
      <c r="AQ865" s="135"/>
      <c r="AR865" s="135"/>
      <c r="AS865" s="135"/>
      <c r="AT865" s="135"/>
      <c r="AU865" s="135"/>
    </row>
    <row r="866" spans="1:47" x14ac:dyDescent="0.2">
      <c r="A866" s="174"/>
      <c r="B866" s="175"/>
      <c r="C866" s="176"/>
      <c r="D866" s="177"/>
      <c r="E866" s="178"/>
      <c r="F866" s="178"/>
      <c r="G866" s="177"/>
      <c r="H866" s="177"/>
      <c r="I866" s="186" t="s">
        <v>1187</v>
      </c>
      <c r="J866" s="206" t="s">
        <v>460</v>
      </c>
      <c r="K866" s="200">
        <f t="shared" si="12"/>
        <v>9745</v>
      </c>
      <c r="L866" s="183"/>
      <c r="M866" s="183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  <c r="AF866" s="135"/>
      <c r="AG866" s="135"/>
      <c r="AH866" s="135"/>
      <c r="AI866" s="135"/>
      <c r="AJ866" s="135"/>
      <c r="AK866" s="135"/>
      <c r="AL866" s="135"/>
      <c r="AM866" s="135"/>
      <c r="AN866" s="135"/>
      <c r="AO866" s="135"/>
      <c r="AP866" s="135"/>
      <c r="AQ866" s="135"/>
      <c r="AR866" s="135"/>
      <c r="AS866" s="135"/>
      <c r="AT866" s="135"/>
      <c r="AU866" s="135"/>
    </row>
    <row r="867" spans="1:47" x14ac:dyDescent="0.2">
      <c r="A867" s="187"/>
      <c r="B867" s="188"/>
      <c r="C867" s="189"/>
      <c r="D867" s="190"/>
      <c r="E867" s="191"/>
      <c r="F867" s="191"/>
      <c r="G867" s="190"/>
      <c r="H867" s="190"/>
      <c r="I867" s="179"/>
      <c r="J867" s="223"/>
      <c r="K867" s="199">
        <f>SUM(K859:K866)</f>
        <v>194900</v>
      </c>
      <c r="L867" s="196"/>
      <c r="M867" s="196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  <c r="AF867" s="135"/>
      <c r="AG867" s="135"/>
      <c r="AH867" s="135"/>
      <c r="AI867" s="135"/>
      <c r="AJ867" s="135"/>
      <c r="AK867" s="135"/>
      <c r="AL867" s="135"/>
      <c r="AM867" s="135"/>
      <c r="AN867" s="135"/>
      <c r="AO867" s="135"/>
      <c r="AP867" s="135"/>
      <c r="AQ867" s="135"/>
      <c r="AR867" s="135"/>
      <c r="AS867" s="135"/>
      <c r="AT867" s="135"/>
      <c r="AU867" s="135"/>
    </row>
    <row r="868" spans="1:47" ht="23.25" customHeight="1" x14ac:dyDescent="0.2">
      <c r="A868" s="163">
        <v>196</v>
      </c>
      <c r="B868" s="164" t="s">
        <v>1188</v>
      </c>
      <c r="C868" s="165"/>
      <c r="D868" s="166" t="s">
        <v>161</v>
      </c>
      <c r="E868" s="167"/>
      <c r="F868" s="167"/>
      <c r="G868" s="166"/>
      <c r="H868" s="166" t="s">
        <v>162</v>
      </c>
      <c r="I868" s="217" t="s">
        <v>1189</v>
      </c>
      <c r="J868" s="220" t="s">
        <v>759</v>
      </c>
      <c r="K868" s="278">
        <f>120000*60%</f>
        <v>72000</v>
      </c>
      <c r="L868" s="172" t="s">
        <v>164</v>
      </c>
      <c r="M868" s="172" t="s">
        <v>1190</v>
      </c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  <c r="AF868" s="135"/>
      <c r="AG868" s="135"/>
      <c r="AH868" s="135"/>
      <c r="AI868" s="135"/>
      <c r="AJ868" s="135"/>
      <c r="AK868" s="135"/>
      <c r="AL868" s="135"/>
      <c r="AM868" s="135"/>
      <c r="AN868" s="135"/>
      <c r="AO868" s="135"/>
      <c r="AP868" s="135"/>
      <c r="AQ868" s="135"/>
      <c r="AR868" s="135"/>
      <c r="AS868" s="135"/>
      <c r="AT868" s="135"/>
      <c r="AU868" s="135"/>
    </row>
    <row r="869" spans="1:47" x14ac:dyDescent="0.2">
      <c r="A869" s="174"/>
      <c r="B869" s="175"/>
      <c r="C869" s="176"/>
      <c r="D869" s="177"/>
      <c r="E869" s="178"/>
      <c r="F869" s="178"/>
      <c r="G869" s="177"/>
      <c r="H869" s="177"/>
      <c r="I869" s="186" t="s">
        <v>1191</v>
      </c>
      <c r="J869" s="206" t="s">
        <v>441</v>
      </c>
      <c r="K869" s="213">
        <f>120000*40%</f>
        <v>48000</v>
      </c>
      <c r="L869" s="183"/>
      <c r="M869" s="183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  <c r="AF869" s="135"/>
      <c r="AG869" s="135"/>
      <c r="AH869" s="135"/>
      <c r="AI869" s="135"/>
      <c r="AJ869" s="135"/>
      <c r="AK869" s="135"/>
      <c r="AL869" s="135"/>
      <c r="AM869" s="135"/>
      <c r="AN869" s="135"/>
      <c r="AO869" s="135"/>
      <c r="AP869" s="135"/>
      <c r="AQ869" s="135"/>
      <c r="AR869" s="135"/>
      <c r="AS869" s="135"/>
      <c r="AT869" s="135"/>
      <c r="AU869" s="135"/>
    </row>
    <row r="870" spans="1:47" x14ac:dyDescent="0.2">
      <c r="A870" s="187"/>
      <c r="B870" s="188"/>
      <c r="C870" s="189"/>
      <c r="D870" s="190"/>
      <c r="E870" s="191"/>
      <c r="F870" s="191"/>
      <c r="G870" s="190"/>
      <c r="H870" s="190"/>
      <c r="I870" s="202"/>
      <c r="J870" s="203"/>
      <c r="K870" s="319">
        <f>SUM(K868:K869)</f>
        <v>120000</v>
      </c>
      <c r="L870" s="196"/>
      <c r="M870" s="196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  <c r="AF870" s="135"/>
      <c r="AG870" s="135"/>
      <c r="AH870" s="135"/>
      <c r="AI870" s="135"/>
      <c r="AJ870" s="135"/>
      <c r="AK870" s="135"/>
      <c r="AL870" s="135"/>
      <c r="AM870" s="135"/>
      <c r="AN870" s="135"/>
      <c r="AO870" s="135"/>
      <c r="AP870" s="135"/>
      <c r="AQ870" s="135"/>
      <c r="AR870" s="135"/>
      <c r="AS870" s="135"/>
      <c r="AT870" s="135"/>
      <c r="AU870" s="135"/>
    </row>
    <row r="871" spans="1:47" ht="22.5" customHeight="1" x14ac:dyDescent="0.2">
      <c r="A871" s="163">
        <v>197</v>
      </c>
      <c r="B871" s="164" t="s">
        <v>1192</v>
      </c>
      <c r="C871" s="165"/>
      <c r="D871" s="166" t="s">
        <v>161</v>
      </c>
      <c r="E871" s="167"/>
      <c r="F871" s="167"/>
      <c r="G871" s="166"/>
      <c r="H871" s="166"/>
      <c r="I871" s="217" t="s">
        <v>1189</v>
      </c>
      <c r="J871" s="220" t="s">
        <v>759</v>
      </c>
      <c r="K871" s="353">
        <f>809800*60%</f>
        <v>485880</v>
      </c>
      <c r="L871" s="171" t="s">
        <v>164</v>
      </c>
      <c r="M871" s="172" t="s">
        <v>1193</v>
      </c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  <c r="AF871" s="135"/>
      <c r="AG871" s="135"/>
      <c r="AH871" s="135"/>
      <c r="AI871" s="135"/>
      <c r="AJ871" s="135"/>
      <c r="AK871" s="135"/>
      <c r="AL871" s="135"/>
      <c r="AM871" s="135"/>
      <c r="AN871" s="135"/>
      <c r="AO871" s="135"/>
      <c r="AP871" s="135"/>
      <c r="AQ871" s="135"/>
      <c r="AR871" s="135"/>
      <c r="AS871" s="135"/>
      <c r="AT871" s="135"/>
      <c r="AU871" s="135"/>
    </row>
    <row r="872" spans="1:47" x14ac:dyDescent="0.2">
      <c r="A872" s="174"/>
      <c r="B872" s="175"/>
      <c r="C872" s="176"/>
      <c r="D872" s="177"/>
      <c r="E872" s="178"/>
      <c r="F872" s="178"/>
      <c r="G872" s="177"/>
      <c r="H872" s="177"/>
      <c r="I872" s="186" t="s">
        <v>1191</v>
      </c>
      <c r="J872" s="206" t="s">
        <v>441</v>
      </c>
      <c r="K872" s="207">
        <f>809800*40%</f>
        <v>323920</v>
      </c>
      <c r="L872" s="182"/>
      <c r="M872" s="183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  <c r="AF872" s="135"/>
      <c r="AG872" s="135"/>
      <c r="AH872" s="135"/>
      <c r="AI872" s="135"/>
      <c r="AJ872" s="135"/>
      <c r="AK872" s="135"/>
      <c r="AL872" s="135"/>
      <c r="AM872" s="135"/>
      <c r="AN872" s="135"/>
      <c r="AO872" s="135"/>
      <c r="AP872" s="135"/>
      <c r="AQ872" s="135"/>
      <c r="AR872" s="135"/>
      <c r="AS872" s="135"/>
      <c r="AT872" s="135"/>
      <c r="AU872" s="135"/>
    </row>
    <row r="873" spans="1:47" x14ac:dyDescent="0.2">
      <c r="A873" s="187"/>
      <c r="B873" s="188"/>
      <c r="C873" s="189"/>
      <c r="D873" s="190"/>
      <c r="E873" s="191"/>
      <c r="F873" s="191"/>
      <c r="G873" s="190"/>
      <c r="H873" s="190"/>
      <c r="I873" s="202"/>
      <c r="J873" s="203"/>
      <c r="K873" s="194">
        <f>SUM(K871:K872)</f>
        <v>809800</v>
      </c>
      <c r="L873" s="195"/>
      <c r="M873" s="196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  <c r="AF873" s="135"/>
      <c r="AG873" s="135"/>
      <c r="AH873" s="135"/>
      <c r="AI873" s="135"/>
      <c r="AJ873" s="135"/>
      <c r="AK873" s="135"/>
      <c r="AL873" s="135"/>
      <c r="AM873" s="135"/>
      <c r="AN873" s="135"/>
      <c r="AO873" s="135"/>
      <c r="AP873" s="135"/>
      <c r="AQ873" s="135"/>
      <c r="AR873" s="135"/>
      <c r="AS873" s="135"/>
      <c r="AT873" s="135"/>
      <c r="AU873" s="135"/>
    </row>
    <row r="874" spans="1:47" ht="18.75" customHeight="1" x14ac:dyDescent="0.2">
      <c r="A874" s="163">
        <v>198</v>
      </c>
      <c r="B874" s="164" t="s">
        <v>1194</v>
      </c>
      <c r="C874" s="165"/>
      <c r="D874" s="166" t="s">
        <v>161</v>
      </c>
      <c r="E874" s="167"/>
      <c r="F874" s="167"/>
      <c r="G874" s="166"/>
      <c r="H874" s="166" t="s">
        <v>162</v>
      </c>
      <c r="I874" s="299" t="s">
        <v>1195</v>
      </c>
      <c r="J874" s="262" t="s">
        <v>759</v>
      </c>
      <c r="K874" s="205">
        <f>949800*60%</f>
        <v>569880</v>
      </c>
      <c r="L874" s="171" t="s">
        <v>164</v>
      </c>
      <c r="M874" s="172" t="s">
        <v>1196</v>
      </c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  <c r="AF874" s="135"/>
      <c r="AG874" s="135"/>
      <c r="AH874" s="135"/>
      <c r="AI874" s="135"/>
      <c r="AJ874" s="135"/>
      <c r="AK874" s="135"/>
      <c r="AL874" s="135"/>
      <c r="AM874" s="135"/>
      <c r="AN874" s="135"/>
      <c r="AO874" s="135"/>
      <c r="AP874" s="135"/>
      <c r="AQ874" s="135"/>
      <c r="AR874" s="135"/>
      <c r="AS874" s="135"/>
      <c r="AT874" s="135"/>
      <c r="AU874" s="135"/>
    </row>
    <row r="875" spans="1:47" x14ac:dyDescent="0.2">
      <c r="A875" s="174"/>
      <c r="B875" s="175"/>
      <c r="C875" s="176"/>
      <c r="D875" s="177"/>
      <c r="E875" s="178"/>
      <c r="F875" s="178"/>
      <c r="G875" s="177"/>
      <c r="H875" s="177"/>
      <c r="I875" s="186" t="s">
        <v>1197</v>
      </c>
      <c r="J875" s="206" t="s">
        <v>441</v>
      </c>
      <c r="K875" s="207">
        <f>949800*40%</f>
        <v>379920</v>
      </c>
      <c r="L875" s="182"/>
      <c r="M875" s="183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  <c r="AF875" s="135"/>
      <c r="AG875" s="135"/>
      <c r="AH875" s="135"/>
      <c r="AI875" s="135"/>
      <c r="AJ875" s="135"/>
      <c r="AK875" s="135"/>
      <c r="AL875" s="135"/>
      <c r="AM875" s="135"/>
      <c r="AN875" s="135"/>
      <c r="AO875" s="135"/>
      <c r="AP875" s="135"/>
      <c r="AQ875" s="135"/>
      <c r="AR875" s="135"/>
      <c r="AS875" s="135"/>
      <c r="AT875" s="135"/>
      <c r="AU875" s="135"/>
    </row>
    <row r="876" spans="1:47" x14ac:dyDescent="0.2">
      <c r="A876" s="187"/>
      <c r="B876" s="188"/>
      <c r="C876" s="189"/>
      <c r="D876" s="190"/>
      <c r="E876" s="191"/>
      <c r="F876" s="191"/>
      <c r="G876" s="190"/>
      <c r="H876" s="190"/>
      <c r="I876" s="202"/>
      <c r="J876" s="203"/>
      <c r="K876" s="194">
        <f>SUM(K874:K875)</f>
        <v>949800</v>
      </c>
      <c r="L876" s="195"/>
      <c r="M876" s="196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  <c r="AF876" s="135"/>
      <c r="AG876" s="135"/>
      <c r="AH876" s="135"/>
      <c r="AI876" s="135"/>
      <c r="AJ876" s="135"/>
      <c r="AK876" s="135"/>
      <c r="AL876" s="135"/>
      <c r="AM876" s="135"/>
      <c r="AN876" s="135"/>
      <c r="AO876" s="135"/>
      <c r="AP876" s="135"/>
      <c r="AQ876" s="135"/>
      <c r="AR876" s="135"/>
      <c r="AS876" s="135"/>
      <c r="AT876" s="135"/>
      <c r="AU876" s="135"/>
    </row>
    <row r="877" spans="1:47" ht="48.75" customHeight="1" x14ac:dyDescent="0.2">
      <c r="A877" s="250">
        <v>199</v>
      </c>
      <c r="B877" s="164" t="s">
        <v>1198</v>
      </c>
      <c r="C877" s="165"/>
      <c r="D877" s="251" t="s">
        <v>161</v>
      </c>
      <c r="E877" s="252"/>
      <c r="F877" s="252"/>
      <c r="G877" s="251"/>
      <c r="H877" s="251" t="s">
        <v>162</v>
      </c>
      <c r="I877" s="264" t="s">
        <v>1199</v>
      </c>
      <c r="J877" s="253" t="s">
        <v>759</v>
      </c>
      <c r="K877" s="212">
        <v>10900</v>
      </c>
      <c r="L877" s="247" t="s">
        <v>164</v>
      </c>
      <c r="M877" s="247" t="s">
        <v>1200</v>
      </c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  <c r="AF877" s="135"/>
      <c r="AG877" s="135"/>
      <c r="AH877" s="135"/>
      <c r="AI877" s="135"/>
      <c r="AJ877" s="135"/>
      <c r="AK877" s="135"/>
      <c r="AL877" s="135"/>
      <c r="AM877" s="135"/>
      <c r="AN877" s="135"/>
      <c r="AO877" s="135"/>
      <c r="AP877" s="135"/>
      <c r="AQ877" s="135"/>
      <c r="AR877" s="135"/>
      <c r="AS877" s="135"/>
      <c r="AT877" s="135"/>
      <c r="AU877" s="135"/>
    </row>
    <row r="878" spans="1:47" ht="50.25" customHeight="1" x14ac:dyDescent="0.2">
      <c r="A878" s="250">
        <v>200</v>
      </c>
      <c r="B878" s="164" t="s">
        <v>1201</v>
      </c>
      <c r="C878" s="165"/>
      <c r="D878" s="251" t="s">
        <v>161</v>
      </c>
      <c r="E878" s="252"/>
      <c r="F878" s="252"/>
      <c r="G878" s="251"/>
      <c r="H878" s="251" t="s">
        <v>162</v>
      </c>
      <c r="I878" s="264" t="s">
        <v>1199</v>
      </c>
      <c r="J878" s="265" t="s">
        <v>759</v>
      </c>
      <c r="K878" s="205">
        <v>100000</v>
      </c>
      <c r="L878" s="260" t="s">
        <v>164</v>
      </c>
      <c r="M878" s="247" t="s">
        <v>1202</v>
      </c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  <c r="AF878" s="135"/>
      <c r="AG878" s="135"/>
      <c r="AH878" s="135"/>
      <c r="AI878" s="135"/>
      <c r="AJ878" s="135"/>
      <c r="AK878" s="135"/>
      <c r="AL878" s="135"/>
      <c r="AM878" s="135"/>
      <c r="AN878" s="135"/>
      <c r="AO878" s="135"/>
      <c r="AP878" s="135"/>
      <c r="AQ878" s="135"/>
      <c r="AR878" s="135"/>
      <c r="AS878" s="135"/>
      <c r="AT878" s="135"/>
      <c r="AU878" s="135"/>
    </row>
    <row r="879" spans="1:47" ht="24" customHeight="1" x14ac:dyDescent="0.2">
      <c r="A879" s="163">
        <v>201</v>
      </c>
      <c r="B879" s="164" t="s">
        <v>1203</v>
      </c>
      <c r="C879" s="165"/>
      <c r="D879" s="166" t="s">
        <v>161</v>
      </c>
      <c r="E879" s="167"/>
      <c r="F879" s="167"/>
      <c r="G879" s="166"/>
      <c r="H879" s="166" t="s">
        <v>162</v>
      </c>
      <c r="I879" s="299" t="s">
        <v>1204</v>
      </c>
      <c r="J879" s="262" t="s">
        <v>1131</v>
      </c>
      <c r="K879" s="212">
        <f>100000*60%</f>
        <v>60000</v>
      </c>
      <c r="L879" s="172" t="s">
        <v>164</v>
      </c>
      <c r="M879" s="172" t="s">
        <v>1205</v>
      </c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  <c r="AF879" s="135"/>
      <c r="AG879" s="135"/>
      <c r="AH879" s="135"/>
      <c r="AI879" s="135"/>
      <c r="AJ879" s="135"/>
      <c r="AK879" s="135"/>
      <c r="AL879" s="135"/>
      <c r="AM879" s="135"/>
      <c r="AN879" s="135"/>
      <c r="AO879" s="135"/>
      <c r="AP879" s="135"/>
      <c r="AQ879" s="135"/>
      <c r="AR879" s="135"/>
      <c r="AS879" s="135"/>
      <c r="AT879" s="135"/>
      <c r="AU879" s="135"/>
    </row>
    <row r="880" spans="1:47" ht="48" x14ac:dyDescent="0.2">
      <c r="A880" s="174"/>
      <c r="B880" s="175"/>
      <c r="C880" s="176"/>
      <c r="D880" s="177"/>
      <c r="E880" s="178"/>
      <c r="F880" s="178"/>
      <c r="G880" s="177"/>
      <c r="H880" s="177"/>
      <c r="I880" s="186" t="s">
        <v>1206</v>
      </c>
      <c r="J880" s="206" t="s">
        <v>1056</v>
      </c>
      <c r="K880" s="200">
        <f>100000*40%</f>
        <v>40000</v>
      </c>
      <c r="L880" s="183"/>
      <c r="M880" s="183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  <c r="AF880" s="135"/>
      <c r="AG880" s="135"/>
      <c r="AH880" s="135"/>
      <c r="AI880" s="135"/>
      <c r="AJ880" s="135"/>
      <c r="AK880" s="135"/>
      <c r="AL880" s="135"/>
      <c r="AM880" s="135"/>
      <c r="AN880" s="135"/>
      <c r="AO880" s="135"/>
      <c r="AP880" s="135"/>
      <c r="AQ880" s="135"/>
      <c r="AR880" s="135"/>
      <c r="AS880" s="135"/>
      <c r="AT880" s="135"/>
      <c r="AU880" s="135"/>
    </row>
    <row r="881" spans="1:47" x14ac:dyDescent="0.2">
      <c r="A881" s="187"/>
      <c r="B881" s="188"/>
      <c r="C881" s="189"/>
      <c r="D881" s="190"/>
      <c r="E881" s="191"/>
      <c r="F881" s="191"/>
      <c r="G881" s="190"/>
      <c r="H881" s="190"/>
      <c r="I881" s="202"/>
      <c r="J881" s="203"/>
      <c r="K881" s="210">
        <f>SUM(K879:K880)</f>
        <v>100000</v>
      </c>
      <c r="L881" s="196"/>
      <c r="M881" s="196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  <c r="AF881" s="135"/>
      <c r="AG881" s="135"/>
      <c r="AH881" s="135"/>
      <c r="AI881" s="135"/>
      <c r="AJ881" s="135"/>
      <c r="AK881" s="135"/>
      <c r="AL881" s="135"/>
      <c r="AM881" s="135"/>
      <c r="AN881" s="135"/>
      <c r="AO881" s="135"/>
      <c r="AP881" s="135"/>
      <c r="AQ881" s="135"/>
      <c r="AR881" s="135"/>
      <c r="AS881" s="135"/>
      <c r="AT881" s="135"/>
      <c r="AU881" s="135"/>
    </row>
    <row r="882" spans="1:47" ht="24" customHeight="1" x14ac:dyDescent="0.2">
      <c r="A882" s="163">
        <v>202</v>
      </c>
      <c r="B882" s="164" t="s">
        <v>1207</v>
      </c>
      <c r="C882" s="165"/>
      <c r="D882" s="166" t="s">
        <v>161</v>
      </c>
      <c r="E882" s="167"/>
      <c r="F882" s="167"/>
      <c r="G882" s="166"/>
      <c r="H882" s="166" t="s">
        <v>162</v>
      </c>
      <c r="I882" s="299" t="s">
        <v>1204</v>
      </c>
      <c r="J882" s="262" t="s">
        <v>759</v>
      </c>
      <c r="K882" s="205">
        <f>1100200*60%</f>
        <v>660120</v>
      </c>
      <c r="L882" s="171" t="s">
        <v>164</v>
      </c>
      <c r="M882" s="172" t="s">
        <v>1208</v>
      </c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  <c r="AF882" s="135"/>
      <c r="AG882" s="135"/>
      <c r="AH882" s="135"/>
      <c r="AI882" s="135"/>
      <c r="AJ882" s="135"/>
      <c r="AK882" s="135"/>
      <c r="AL882" s="135"/>
      <c r="AM882" s="135"/>
      <c r="AN882" s="135"/>
      <c r="AO882" s="135"/>
      <c r="AP882" s="135"/>
      <c r="AQ882" s="135"/>
      <c r="AR882" s="135"/>
      <c r="AS882" s="135"/>
      <c r="AT882" s="135"/>
      <c r="AU882" s="135"/>
    </row>
    <row r="883" spans="1:47" ht="48" x14ac:dyDescent="0.2">
      <c r="A883" s="174"/>
      <c r="B883" s="175"/>
      <c r="C883" s="176"/>
      <c r="D883" s="177"/>
      <c r="E883" s="178"/>
      <c r="F883" s="178"/>
      <c r="G883" s="177"/>
      <c r="H883" s="177"/>
      <c r="I883" s="186" t="s">
        <v>1206</v>
      </c>
      <c r="J883" s="206" t="s">
        <v>441</v>
      </c>
      <c r="K883" s="207">
        <f>1100200*40%</f>
        <v>440080</v>
      </c>
      <c r="L883" s="182"/>
      <c r="M883" s="183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  <c r="AF883" s="135"/>
      <c r="AG883" s="135"/>
      <c r="AH883" s="135"/>
      <c r="AI883" s="135"/>
      <c r="AJ883" s="135"/>
      <c r="AK883" s="135"/>
      <c r="AL883" s="135"/>
      <c r="AM883" s="135"/>
      <c r="AN883" s="135"/>
      <c r="AO883" s="135"/>
      <c r="AP883" s="135"/>
      <c r="AQ883" s="135"/>
      <c r="AR883" s="135"/>
      <c r="AS883" s="135"/>
      <c r="AT883" s="135"/>
      <c r="AU883" s="135"/>
    </row>
    <row r="884" spans="1:47" x14ac:dyDescent="0.2">
      <c r="A884" s="187"/>
      <c r="B884" s="188"/>
      <c r="C884" s="189"/>
      <c r="D884" s="190"/>
      <c r="E884" s="191"/>
      <c r="F884" s="191"/>
      <c r="G884" s="190"/>
      <c r="H884" s="190"/>
      <c r="I884" s="202"/>
      <c r="J884" s="203"/>
      <c r="K884" s="194">
        <f>SUM(K882:K883)</f>
        <v>1100200</v>
      </c>
      <c r="L884" s="195"/>
      <c r="M884" s="196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  <c r="AF884" s="135"/>
      <c r="AG884" s="135"/>
      <c r="AH884" s="135"/>
      <c r="AI884" s="135"/>
      <c r="AJ884" s="135"/>
      <c r="AK884" s="135"/>
      <c r="AL884" s="135"/>
      <c r="AM884" s="135"/>
      <c r="AN884" s="135"/>
      <c r="AO884" s="135"/>
      <c r="AP884" s="135"/>
      <c r="AQ884" s="135"/>
      <c r="AR884" s="135"/>
      <c r="AS884" s="135"/>
      <c r="AT884" s="135"/>
      <c r="AU884" s="135"/>
    </row>
    <row r="885" spans="1:47" ht="25.5" customHeight="1" x14ac:dyDescent="0.2">
      <c r="A885" s="163">
        <v>203</v>
      </c>
      <c r="B885" s="164" t="s">
        <v>1209</v>
      </c>
      <c r="C885" s="165"/>
      <c r="D885" s="166" t="s">
        <v>161</v>
      </c>
      <c r="E885" s="167"/>
      <c r="F885" s="167"/>
      <c r="G885" s="166"/>
      <c r="H885" s="166" t="s">
        <v>162</v>
      </c>
      <c r="I885" s="299" t="s">
        <v>1210</v>
      </c>
      <c r="J885" s="262" t="s">
        <v>759</v>
      </c>
      <c r="K885" s="205">
        <f>100000*60%</f>
        <v>60000</v>
      </c>
      <c r="L885" s="171" t="s">
        <v>164</v>
      </c>
      <c r="M885" s="172" t="s">
        <v>1211</v>
      </c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  <c r="AF885" s="135"/>
      <c r="AG885" s="135"/>
      <c r="AH885" s="135"/>
      <c r="AI885" s="135"/>
      <c r="AJ885" s="135"/>
      <c r="AK885" s="135"/>
      <c r="AL885" s="135"/>
      <c r="AM885" s="135"/>
      <c r="AN885" s="135"/>
      <c r="AO885" s="135"/>
      <c r="AP885" s="135"/>
      <c r="AQ885" s="135"/>
      <c r="AR885" s="135"/>
      <c r="AS885" s="135"/>
      <c r="AT885" s="135"/>
      <c r="AU885" s="135"/>
    </row>
    <row r="886" spans="1:47" x14ac:dyDescent="0.2">
      <c r="A886" s="174"/>
      <c r="B886" s="175"/>
      <c r="C886" s="176"/>
      <c r="D886" s="177"/>
      <c r="E886" s="178"/>
      <c r="F886" s="178"/>
      <c r="G886" s="177"/>
      <c r="H886" s="177"/>
      <c r="I886" s="186" t="s">
        <v>1212</v>
      </c>
      <c r="J886" s="206" t="s">
        <v>441</v>
      </c>
      <c r="K886" s="207">
        <f>100000*40%</f>
        <v>40000</v>
      </c>
      <c r="L886" s="182"/>
      <c r="M886" s="183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  <c r="AF886" s="135"/>
      <c r="AG886" s="135"/>
      <c r="AH886" s="135"/>
      <c r="AI886" s="135"/>
      <c r="AJ886" s="135"/>
      <c r="AK886" s="135"/>
      <c r="AL886" s="135"/>
      <c r="AM886" s="135"/>
      <c r="AN886" s="135"/>
      <c r="AO886" s="135"/>
      <c r="AP886" s="135"/>
      <c r="AQ886" s="135"/>
      <c r="AR886" s="135"/>
      <c r="AS886" s="135"/>
      <c r="AT886" s="135"/>
      <c r="AU886" s="135"/>
    </row>
    <row r="887" spans="1:47" x14ac:dyDescent="0.2">
      <c r="A887" s="187"/>
      <c r="B887" s="188"/>
      <c r="C887" s="189"/>
      <c r="D887" s="190"/>
      <c r="E887" s="191"/>
      <c r="F887" s="191"/>
      <c r="G887" s="190"/>
      <c r="H887" s="190"/>
      <c r="I887" s="202"/>
      <c r="J887" s="203"/>
      <c r="K887" s="194">
        <f>SUM(K885:K886)</f>
        <v>100000</v>
      </c>
      <c r="L887" s="195"/>
      <c r="M887" s="196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  <c r="AF887" s="135"/>
      <c r="AG887" s="135"/>
      <c r="AH887" s="135"/>
      <c r="AI887" s="135"/>
      <c r="AJ887" s="135"/>
      <c r="AK887" s="135"/>
      <c r="AL887" s="135"/>
      <c r="AM887" s="135"/>
      <c r="AN887" s="135"/>
      <c r="AO887" s="135"/>
      <c r="AP887" s="135"/>
      <c r="AQ887" s="135"/>
      <c r="AR887" s="135"/>
      <c r="AS887" s="135"/>
      <c r="AT887" s="135"/>
      <c r="AU887" s="135"/>
    </row>
    <row r="888" spans="1:47" ht="25.5" customHeight="1" x14ac:dyDescent="0.2">
      <c r="A888" s="163">
        <v>204</v>
      </c>
      <c r="B888" s="164" t="s">
        <v>1213</v>
      </c>
      <c r="C888" s="165"/>
      <c r="D888" s="166" t="s">
        <v>161</v>
      </c>
      <c r="E888" s="167"/>
      <c r="F888" s="167"/>
      <c r="G888" s="166"/>
      <c r="H888" s="166" t="s">
        <v>162</v>
      </c>
      <c r="I888" s="299" t="s">
        <v>1210</v>
      </c>
      <c r="J888" s="262" t="s">
        <v>759</v>
      </c>
      <c r="K888" s="212">
        <f>1237200*60%</f>
        <v>742320</v>
      </c>
      <c r="L888" s="172" t="s">
        <v>164</v>
      </c>
      <c r="M888" s="172" t="s">
        <v>1214</v>
      </c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  <c r="AF888" s="135"/>
      <c r="AG888" s="135"/>
      <c r="AH888" s="135"/>
      <c r="AI888" s="135"/>
      <c r="AJ888" s="135"/>
      <c r="AK888" s="135"/>
      <c r="AL888" s="135"/>
      <c r="AM888" s="135"/>
      <c r="AN888" s="135"/>
      <c r="AO888" s="135"/>
      <c r="AP888" s="135"/>
      <c r="AQ888" s="135"/>
      <c r="AR888" s="135"/>
      <c r="AS888" s="135"/>
      <c r="AT888" s="135"/>
      <c r="AU888" s="135"/>
    </row>
    <row r="889" spans="1:47" x14ac:dyDescent="0.2">
      <c r="A889" s="174"/>
      <c r="B889" s="175"/>
      <c r="C889" s="176"/>
      <c r="D889" s="177"/>
      <c r="E889" s="178"/>
      <c r="F889" s="178"/>
      <c r="G889" s="177"/>
      <c r="H889" s="177"/>
      <c r="I889" s="186" t="s">
        <v>1212</v>
      </c>
      <c r="J889" s="206" t="s">
        <v>441</v>
      </c>
      <c r="K889" s="200">
        <f>1237200*40%</f>
        <v>494880</v>
      </c>
      <c r="L889" s="183"/>
      <c r="M889" s="183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  <c r="AF889" s="135"/>
      <c r="AG889" s="135"/>
      <c r="AH889" s="135"/>
      <c r="AI889" s="135"/>
      <c r="AJ889" s="135"/>
      <c r="AK889" s="135"/>
      <c r="AL889" s="135"/>
      <c r="AM889" s="135"/>
      <c r="AN889" s="135"/>
      <c r="AO889" s="135"/>
      <c r="AP889" s="135"/>
      <c r="AQ889" s="135"/>
      <c r="AR889" s="135"/>
      <c r="AS889" s="135"/>
      <c r="AT889" s="135"/>
      <c r="AU889" s="135"/>
    </row>
    <row r="890" spans="1:47" x14ac:dyDescent="0.2">
      <c r="A890" s="187"/>
      <c r="B890" s="188"/>
      <c r="C890" s="189"/>
      <c r="D890" s="190"/>
      <c r="E890" s="191"/>
      <c r="F890" s="191"/>
      <c r="G890" s="190"/>
      <c r="H890" s="190"/>
      <c r="I890" s="202"/>
      <c r="J890" s="203"/>
      <c r="K890" s="210">
        <f>SUM(K888:K889)</f>
        <v>1237200</v>
      </c>
      <c r="L890" s="196"/>
      <c r="M890" s="196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  <c r="AF890" s="135"/>
      <c r="AG890" s="135"/>
      <c r="AH890" s="135"/>
      <c r="AI890" s="135"/>
      <c r="AJ890" s="135"/>
      <c r="AK890" s="135"/>
      <c r="AL890" s="135"/>
      <c r="AM890" s="135"/>
      <c r="AN890" s="135"/>
      <c r="AO890" s="135"/>
      <c r="AP890" s="135"/>
      <c r="AQ890" s="135"/>
      <c r="AR890" s="135"/>
      <c r="AS890" s="135"/>
      <c r="AT890" s="135"/>
      <c r="AU890" s="135"/>
    </row>
    <row r="891" spans="1:47" ht="24" customHeight="1" x14ac:dyDescent="0.2">
      <c r="A891" s="163">
        <v>205</v>
      </c>
      <c r="B891" s="164" t="s">
        <v>1215</v>
      </c>
      <c r="C891" s="165"/>
      <c r="D891" s="166" t="s">
        <v>107</v>
      </c>
      <c r="E891" s="167"/>
      <c r="F891" s="167"/>
      <c r="G891" s="166"/>
      <c r="H891" s="166"/>
      <c r="I891" s="299" t="s">
        <v>1216</v>
      </c>
      <c r="J891" s="262" t="s">
        <v>768</v>
      </c>
      <c r="K891" s="205">
        <f>3500*50%</f>
        <v>1750</v>
      </c>
      <c r="L891" s="171" t="s">
        <v>111</v>
      </c>
      <c r="M891" s="172" t="s">
        <v>1217</v>
      </c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  <c r="AF891" s="135"/>
      <c r="AG891" s="135"/>
      <c r="AH891" s="135"/>
      <c r="AI891" s="135"/>
      <c r="AJ891" s="135"/>
      <c r="AK891" s="135"/>
      <c r="AL891" s="135"/>
      <c r="AM891" s="135"/>
      <c r="AN891" s="135"/>
      <c r="AO891" s="135"/>
      <c r="AP891" s="135"/>
      <c r="AQ891" s="135"/>
      <c r="AR891" s="135"/>
      <c r="AS891" s="135"/>
      <c r="AT891" s="135"/>
      <c r="AU891" s="135"/>
    </row>
    <row r="892" spans="1:47" x14ac:dyDescent="0.2">
      <c r="A892" s="174"/>
      <c r="B892" s="175"/>
      <c r="C892" s="176"/>
      <c r="D892" s="177"/>
      <c r="E892" s="178"/>
      <c r="F892" s="178"/>
      <c r="G892" s="177"/>
      <c r="H892" s="177"/>
      <c r="I892" s="186" t="s">
        <v>1218</v>
      </c>
      <c r="J892" s="206" t="s">
        <v>781</v>
      </c>
      <c r="K892" s="207">
        <f>3500*10%</f>
        <v>350</v>
      </c>
      <c r="L892" s="182"/>
      <c r="M892" s="183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  <c r="AF892" s="135"/>
      <c r="AG892" s="135"/>
      <c r="AH892" s="135"/>
      <c r="AI892" s="135"/>
      <c r="AJ892" s="135"/>
      <c r="AK892" s="135"/>
      <c r="AL892" s="135"/>
      <c r="AM892" s="135"/>
      <c r="AN892" s="135"/>
      <c r="AO892" s="135"/>
      <c r="AP892" s="135"/>
      <c r="AQ892" s="135"/>
      <c r="AR892" s="135"/>
      <c r="AS892" s="135"/>
      <c r="AT892" s="135"/>
      <c r="AU892" s="135"/>
    </row>
    <row r="893" spans="1:47" x14ac:dyDescent="0.2">
      <c r="A893" s="174"/>
      <c r="B893" s="175"/>
      <c r="C893" s="176"/>
      <c r="D893" s="177"/>
      <c r="E893" s="178"/>
      <c r="F893" s="178"/>
      <c r="G893" s="177"/>
      <c r="H893" s="177"/>
      <c r="I893" s="186" t="s">
        <v>1219</v>
      </c>
      <c r="J893" s="206" t="s">
        <v>781</v>
      </c>
      <c r="K893" s="207">
        <f>3500*10%</f>
        <v>350</v>
      </c>
      <c r="L893" s="182"/>
      <c r="M893" s="183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  <c r="AF893" s="135"/>
      <c r="AG893" s="135"/>
      <c r="AH893" s="135"/>
      <c r="AI893" s="135"/>
      <c r="AJ893" s="135"/>
      <c r="AK893" s="135"/>
      <c r="AL893" s="135"/>
      <c r="AM893" s="135"/>
      <c r="AN893" s="135"/>
      <c r="AO893" s="135"/>
      <c r="AP893" s="135"/>
      <c r="AQ893" s="135"/>
      <c r="AR893" s="135"/>
      <c r="AS893" s="135"/>
      <c r="AT893" s="135"/>
      <c r="AU893" s="135"/>
    </row>
    <row r="894" spans="1:47" x14ac:dyDescent="0.2">
      <c r="A894" s="174"/>
      <c r="B894" s="175"/>
      <c r="C894" s="176"/>
      <c r="D894" s="177"/>
      <c r="E894" s="178"/>
      <c r="F894" s="178"/>
      <c r="G894" s="177"/>
      <c r="H894" s="177"/>
      <c r="I894" s="186" t="s">
        <v>1220</v>
      </c>
      <c r="J894" s="206" t="s">
        <v>781</v>
      </c>
      <c r="K894" s="207">
        <f>3500*10%</f>
        <v>350</v>
      </c>
      <c r="L894" s="182"/>
      <c r="M894" s="183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  <c r="AF894" s="135"/>
      <c r="AG894" s="135"/>
      <c r="AH894" s="135"/>
      <c r="AI894" s="135"/>
      <c r="AJ894" s="135"/>
      <c r="AK894" s="135"/>
      <c r="AL894" s="135"/>
      <c r="AM894" s="135"/>
      <c r="AN894" s="135"/>
      <c r="AO894" s="135"/>
      <c r="AP894" s="135"/>
      <c r="AQ894" s="135"/>
      <c r="AR894" s="135"/>
      <c r="AS894" s="135"/>
      <c r="AT894" s="135"/>
      <c r="AU894" s="135"/>
    </row>
    <row r="895" spans="1:47" x14ac:dyDescent="0.2">
      <c r="A895" s="174"/>
      <c r="B895" s="175"/>
      <c r="C895" s="176"/>
      <c r="D895" s="177"/>
      <c r="E895" s="178"/>
      <c r="F895" s="178"/>
      <c r="G895" s="177"/>
      <c r="H895" s="177"/>
      <c r="I895" s="186" t="s">
        <v>1221</v>
      </c>
      <c r="J895" s="206" t="s">
        <v>781</v>
      </c>
      <c r="K895" s="207">
        <f>3500*10%</f>
        <v>350</v>
      </c>
      <c r="L895" s="182"/>
      <c r="M895" s="183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  <c r="AF895" s="135"/>
      <c r="AG895" s="135"/>
      <c r="AH895" s="135"/>
      <c r="AI895" s="135"/>
      <c r="AJ895" s="135"/>
      <c r="AK895" s="135"/>
      <c r="AL895" s="135"/>
      <c r="AM895" s="135"/>
      <c r="AN895" s="135"/>
      <c r="AO895" s="135"/>
      <c r="AP895" s="135"/>
      <c r="AQ895" s="135"/>
      <c r="AR895" s="135"/>
      <c r="AS895" s="135"/>
      <c r="AT895" s="135"/>
      <c r="AU895" s="135"/>
    </row>
    <row r="896" spans="1:47" x14ac:dyDescent="0.2">
      <c r="A896" s="174"/>
      <c r="B896" s="175"/>
      <c r="C896" s="176"/>
      <c r="D896" s="177"/>
      <c r="E896" s="178"/>
      <c r="F896" s="178"/>
      <c r="G896" s="177"/>
      <c r="H896" s="177"/>
      <c r="I896" s="186" t="s">
        <v>1222</v>
      </c>
      <c r="J896" s="206" t="s">
        <v>781</v>
      </c>
      <c r="K896" s="207">
        <f>3500*10%</f>
        <v>350</v>
      </c>
      <c r="L896" s="182"/>
      <c r="M896" s="183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  <c r="AF896" s="135"/>
      <c r="AG896" s="135"/>
      <c r="AH896" s="135"/>
      <c r="AI896" s="135"/>
      <c r="AJ896" s="135"/>
      <c r="AK896" s="135"/>
      <c r="AL896" s="135"/>
      <c r="AM896" s="135"/>
      <c r="AN896" s="135"/>
      <c r="AO896" s="135"/>
      <c r="AP896" s="135"/>
      <c r="AQ896" s="135"/>
      <c r="AR896" s="135"/>
      <c r="AS896" s="135"/>
      <c r="AT896" s="135"/>
      <c r="AU896" s="135"/>
    </row>
    <row r="897" spans="1:47" x14ac:dyDescent="0.2">
      <c r="A897" s="187"/>
      <c r="B897" s="188"/>
      <c r="C897" s="189"/>
      <c r="D897" s="190"/>
      <c r="E897" s="191"/>
      <c r="F897" s="191"/>
      <c r="G897" s="190"/>
      <c r="H897" s="190"/>
      <c r="I897" s="202"/>
      <c r="J897" s="203"/>
      <c r="K897" s="194">
        <f>SUM(K891:K896)</f>
        <v>3500</v>
      </c>
      <c r="L897" s="195"/>
      <c r="M897" s="196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  <c r="AF897" s="135"/>
      <c r="AG897" s="135"/>
      <c r="AH897" s="135"/>
      <c r="AI897" s="135"/>
      <c r="AJ897" s="135"/>
      <c r="AK897" s="135"/>
      <c r="AL897" s="135"/>
      <c r="AM897" s="135"/>
      <c r="AN897" s="135"/>
      <c r="AO897" s="135"/>
      <c r="AP897" s="135"/>
      <c r="AQ897" s="135"/>
      <c r="AR897" s="135"/>
      <c r="AS897" s="135"/>
      <c r="AT897" s="135"/>
      <c r="AU897" s="135"/>
    </row>
    <row r="898" spans="1:47" ht="24" customHeight="1" x14ac:dyDescent="0.2">
      <c r="A898" s="163">
        <v>206</v>
      </c>
      <c r="B898" s="164" t="s">
        <v>1223</v>
      </c>
      <c r="C898" s="165"/>
      <c r="D898" s="166" t="s">
        <v>107</v>
      </c>
      <c r="E898" s="167"/>
      <c r="F898" s="167"/>
      <c r="G898" s="166"/>
      <c r="H898" s="166"/>
      <c r="I898" s="299" t="s">
        <v>1224</v>
      </c>
      <c r="J898" s="262" t="s">
        <v>768</v>
      </c>
      <c r="K898" s="205">
        <f>3500*70%</f>
        <v>2450</v>
      </c>
      <c r="L898" s="171" t="s">
        <v>111</v>
      </c>
      <c r="M898" s="172" t="s">
        <v>1225</v>
      </c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  <c r="AF898" s="135"/>
      <c r="AG898" s="135"/>
      <c r="AH898" s="135"/>
      <c r="AI898" s="135"/>
      <c r="AJ898" s="135"/>
      <c r="AK898" s="135"/>
      <c r="AL898" s="135"/>
      <c r="AM898" s="135"/>
      <c r="AN898" s="135"/>
      <c r="AO898" s="135"/>
      <c r="AP898" s="135"/>
      <c r="AQ898" s="135"/>
      <c r="AR898" s="135"/>
      <c r="AS898" s="135"/>
      <c r="AT898" s="135"/>
      <c r="AU898" s="135"/>
    </row>
    <row r="899" spans="1:47" x14ac:dyDescent="0.2">
      <c r="A899" s="174"/>
      <c r="B899" s="175"/>
      <c r="C899" s="176"/>
      <c r="D899" s="177"/>
      <c r="E899" s="178"/>
      <c r="F899" s="178"/>
      <c r="G899" s="177"/>
      <c r="H899" s="177"/>
      <c r="I899" s="186" t="s">
        <v>1221</v>
      </c>
      <c r="J899" s="206" t="s">
        <v>781</v>
      </c>
      <c r="K899" s="207">
        <f>3500*10%</f>
        <v>350</v>
      </c>
      <c r="L899" s="182"/>
      <c r="M899" s="183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  <c r="AF899" s="135"/>
      <c r="AG899" s="135"/>
      <c r="AH899" s="135"/>
      <c r="AI899" s="135"/>
      <c r="AJ899" s="135"/>
      <c r="AK899" s="135"/>
      <c r="AL899" s="135"/>
      <c r="AM899" s="135"/>
      <c r="AN899" s="135"/>
      <c r="AO899" s="135"/>
      <c r="AP899" s="135"/>
      <c r="AQ899" s="135"/>
      <c r="AR899" s="135"/>
      <c r="AS899" s="135"/>
      <c r="AT899" s="135"/>
      <c r="AU899" s="135"/>
    </row>
    <row r="900" spans="1:47" x14ac:dyDescent="0.2">
      <c r="A900" s="174"/>
      <c r="B900" s="175"/>
      <c r="C900" s="176"/>
      <c r="D900" s="177"/>
      <c r="E900" s="178"/>
      <c r="F900" s="178"/>
      <c r="G900" s="177"/>
      <c r="H900" s="177"/>
      <c r="I900" s="186" t="s">
        <v>1226</v>
      </c>
      <c r="J900" s="206" t="s">
        <v>781</v>
      </c>
      <c r="K900" s="207">
        <f>3500*10%</f>
        <v>350</v>
      </c>
      <c r="L900" s="182"/>
      <c r="M900" s="183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  <c r="AF900" s="135"/>
      <c r="AG900" s="135"/>
      <c r="AH900" s="135"/>
      <c r="AI900" s="135"/>
      <c r="AJ900" s="135"/>
      <c r="AK900" s="135"/>
      <c r="AL900" s="135"/>
      <c r="AM900" s="135"/>
      <c r="AN900" s="135"/>
      <c r="AO900" s="135"/>
      <c r="AP900" s="135"/>
      <c r="AQ900" s="135"/>
      <c r="AR900" s="135"/>
      <c r="AS900" s="135"/>
      <c r="AT900" s="135"/>
      <c r="AU900" s="135"/>
    </row>
    <row r="901" spans="1:47" x14ac:dyDescent="0.2">
      <c r="A901" s="174"/>
      <c r="B901" s="175"/>
      <c r="C901" s="176"/>
      <c r="D901" s="177"/>
      <c r="E901" s="178"/>
      <c r="F901" s="178"/>
      <c r="G901" s="177"/>
      <c r="H901" s="177"/>
      <c r="I901" s="186" t="s">
        <v>1227</v>
      </c>
      <c r="J901" s="206" t="s">
        <v>781</v>
      </c>
      <c r="K901" s="207">
        <f>3500*10%</f>
        <v>350</v>
      </c>
      <c r="L901" s="182"/>
      <c r="M901" s="183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  <c r="AF901" s="135"/>
      <c r="AG901" s="135"/>
      <c r="AH901" s="135"/>
      <c r="AI901" s="135"/>
      <c r="AJ901" s="135"/>
      <c r="AK901" s="135"/>
      <c r="AL901" s="135"/>
      <c r="AM901" s="135"/>
      <c r="AN901" s="135"/>
      <c r="AO901" s="135"/>
      <c r="AP901" s="135"/>
      <c r="AQ901" s="135"/>
      <c r="AR901" s="135"/>
      <c r="AS901" s="135"/>
      <c r="AT901" s="135"/>
      <c r="AU901" s="135"/>
    </row>
    <row r="902" spans="1:47" x14ac:dyDescent="0.2">
      <c r="A902" s="187"/>
      <c r="B902" s="188"/>
      <c r="C902" s="189"/>
      <c r="D902" s="190"/>
      <c r="E902" s="191"/>
      <c r="F902" s="191"/>
      <c r="G902" s="190"/>
      <c r="H902" s="190"/>
      <c r="I902" s="202"/>
      <c r="J902" s="203"/>
      <c r="K902" s="194">
        <f>SUM(K898:K901)</f>
        <v>3500</v>
      </c>
      <c r="L902" s="195"/>
      <c r="M902" s="196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  <c r="AF902" s="135"/>
      <c r="AG902" s="135"/>
      <c r="AH902" s="135"/>
      <c r="AI902" s="135"/>
      <c r="AJ902" s="135"/>
      <c r="AK902" s="135"/>
      <c r="AL902" s="135"/>
      <c r="AM902" s="135"/>
      <c r="AN902" s="135"/>
      <c r="AO902" s="135"/>
      <c r="AP902" s="135"/>
      <c r="AQ902" s="135"/>
      <c r="AR902" s="135"/>
      <c r="AS902" s="135"/>
      <c r="AT902" s="135"/>
      <c r="AU902" s="135"/>
    </row>
    <row r="903" spans="1:47" ht="24.75" customHeight="1" x14ac:dyDescent="0.2">
      <c r="A903" s="163">
        <v>207</v>
      </c>
      <c r="B903" s="164" t="s">
        <v>1228</v>
      </c>
      <c r="C903" s="165"/>
      <c r="D903" s="166" t="s">
        <v>107</v>
      </c>
      <c r="E903" s="167"/>
      <c r="F903" s="167"/>
      <c r="G903" s="166"/>
      <c r="H903" s="166"/>
      <c r="I903" s="299" t="s">
        <v>1229</v>
      </c>
      <c r="J903" s="262" t="s">
        <v>768</v>
      </c>
      <c r="K903" s="205">
        <f>4000*40%</f>
        <v>1600</v>
      </c>
      <c r="L903" s="171" t="s">
        <v>111</v>
      </c>
      <c r="M903" s="172" t="s">
        <v>1230</v>
      </c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  <c r="AF903" s="135"/>
      <c r="AG903" s="135"/>
      <c r="AH903" s="135"/>
      <c r="AI903" s="135"/>
      <c r="AJ903" s="135"/>
      <c r="AK903" s="135"/>
      <c r="AL903" s="135"/>
      <c r="AM903" s="135"/>
      <c r="AN903" s="135"/>
      <c r="AO903" s="135"/>
      <c r="AP903" s="135"/>
      <c r="AQ903" s="135"/>
      <c r="AR903" s="135"/>
      <c r="AS903" s="135"/>
      <c r="AT903" s="135"/>
      <c r="AU903" s="135"/>
    </row>
    <row r="904" spans="1:47" x14ac:dyDescent="0.2">
      <c r="A904" s="174"/>
      <c r="B904" s="175"/>
      <c r="C904" s="176"/>
      <c r="D904" s="177"/>
      <c r="E904" s="178"/>
      <c r="F904" s="178"/>
      <c r="G904" s="177"/>
      <c r="H904" s="177"/>
      <c r="I904" s="186" t="s">
        <v>1231</v>
      </c>
      <c r="J904" s="206" t="s">
        <v>781</v>
      </c>
      <c r="K904" s="207">
        <f>4000*15%</f>
        <v>600</v>
      </c>
      <c r="L904" s="182"/>
      <c r="M904" s="183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  <c r="AF904" s="135"/>
      <c r="AG904" s="135"/>
      <c r="AH904" s="135"/>
      <c r="AI904" s="135"/>
      <c r="AJ904" s="135"/>
      <c r="AK904" s="135"/>
      <c r="AL904" s="135"/>
      <c r="AM904" s="135"/>
      <c r="AN904" s="135"/>
      <c r="AO904" s="135"/>
      <c r="AP904" s="135"/>
      <c r="AQ904" s="135"/>
      <c r="AR904" s="135"/>
      <c r="AS904" s="135"/>
      <c r="AT904" s="135"/>
      <c r="AU904" s="135"/>
    </row>
    <row r="905" spans="1:47" x14ac:dyDescent="0.2">
      <c r="A905" s="174"/>
      <c r="B905" s="175"/>
      <c r="C905" s="176"/>
      <c r="D905" s="177"/>
      <c r="E905" s="178"/>
      <c r="F905" s="178"/>
      <c r="G905" s="177"/>
      <c r="H905" s="177"/>
      <c r="I905" s="186" t="s">
        <v>1232</v>
      </c>
      <c r="J905" s="206" t="s">
        <v>781</v>
      </c>
      <c r="K905" s="207">
        <f>4000*10%</f>
        <v>400</v>
      </c>
      <c r="L905" s="182"/>
      <c r="M905" s="183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  <c r="AF905" s="135"/>
      <c r="AG905" s="135"/>
      <c r="AH905" s="135"/>
      <c r="AI905" s="135"/>
      <c r="AJ905" s="135"/>
      <c r="AK905" s="135"/>
      <c r="AL905" s="135"/>
      <c r="AM905" s="135"/>
      <c r="AN905" s="135"/>
      <c r="AO905" s="135"/>
      <c r="AP905" s="135"/>
      <c r="AQ905" s="135"/>
      <c r="AR905" s="135"/>
      <c r="AS905" s="135"/>
      <c r="AT905" s="135"/>
      <c r="AU905" s="135"/>
    </row>
    <row r="906" spans="1:47" x14ac:dyDescent="0.2">
      <c r="A906" s="174"/>
      <c r="B906" s="175"/>
      <c r="C906" s="176"/>
      <c r="D906" s="177"/>
      <c r="E906" s="178"/>
      <c r="F906" s="178"/>
      <c r="G906" s="177"/>
      <c r="H906" s="177"/>
      <c r="I906" s="186" t="s">
        <v>1233</v>
      </c>
      <c r="J906" s="206" t="s">
        <v>781</v>
      </c>
      <c r="K906" s="207">
        <f>4000*10%</f>
        <v>400</v>
      </c>
      <c r="L906" s="182"/>
      <c r="M906" s="183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  <c r="AF906" s="135"/>
      <c r="AG906" s="135"/>
      <c r="AH906" s="135"/>
      <c r="AI906" s="135"/>
      <c r="AJ906" s="135"/>
      <c r="AK906" s="135"/>
      <c r="AL906" s="135"/>
      <c r="AM906" s="135"/>
      <c r="AN906" s="135"/>
      <c r="AO906" s="135"/>
      <c r="AP906" s="135"/>
      <c r="AQ906" s="135"/>
      <c r="AR906" s="135"/>
      <c r="AS906" s="135"/>
      <c r="AT906" s="135"/>
      <c r="AU906" s="135"/>
    </row>
    <row r="907" spans="1:47" x14ac:dyDescent="0.2">
      <c r="A907" s="174"/>
      <c r="B907" s="175"/>
      <c r="C907" s="176"/>
      <c r="D907" s="177"/>
      <c r="E907" s="178"/>
      <c r="F907" s="178"/>
      <c r="G907" s="177"/>
      <c r="H907" s="177"/>
      <c r="I907" s="186" t="s">
        <v>1234</v>
      </c>
      <c r="J907" s="206" t="s">
        <v>781</v>
      </c>
      <c r="K907" s="207">
        <f>4000*10%</f>
        <v>400</v>
      </c>
      <c r="L907" s="182"/>
      <c r="M907" s="183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  <c r="AF907" s="135"/>
      <c r="AG907" s="135"/>
      <c r="AH907" s="135"/>
      <c r="AI907" s="135"/>
      <c r="AJ907" s="135"/>
      <c r="AK907" s="135"/>
      <c r="AL907" s="135"/>
      <c r="AM907" s="135"/>
      <c r="AN907" s="135"/>
      <c r="AO907" s="135"/>
      <c r="AP907" s="135"/>
      <c r="AQ907" s="135"/>
      <c r="AR907" s="135"/>
      <c r="AS907" s="135"/>
      <c r="AT907" s="135"/>
      <c r="AU907" s="135"/>
    </row>
    <row r="908" spans="1:47" x14ac:dyDescent="0.2">
      <c r="A908" s="174"/>
      <c r="B908" s="175"/>
      <c r="C908" s="176"/>
      <c r="D908" s="177"/>
      <c r="E908" s="178"/>
      <c r="F908" s="178"/>
      <c r="G908" s="177"/>
      <c r="H908" s="177"/>
      <c r="I908" s="186" t="s">
        <v>1235</v>
      </c>
      <c r="J908" s="206" t="s">
        <v>781</v>
      </c>
      <c r="K908" s="207">
        <f>4000*5%</f>
        <v>200</v>
      </c>
      <c r="L908" s="182"/>
      <c r="M908" s="183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  <c r="AF908" s="135"/>
      <c r="AG908" s="135"/>
      <c r="AH908" s="135"/>
      <c r="AI908" s="135"/>
      <c r="AJ908" s="135"/>
      <c r="AK908" s="135"/>
      <c r="AL908" s="135"/>
      <c r="AM908" s="135"/>
      <c r="AN908" s="135"/>
      <c r="AO908" s="135"/>
      <c r="AP908" s="135"/>
      <c r="AQ908" s="135"/>
      <c r="AR908" s="135"/>
      <c r="AS908" s="135"/>
      <c r="AT908" s="135"/>
      <c r="AU908" s="135"/>
    </row>
    <row r="909" spans="1:47" x14ac:dyDescent="0.2">
      <c r="A909" s="174"/>
      <c r="B909" s="175"/>
      <c r="C909" s="176"/>
      <c r="D909" s="177"/>
      <c r="E909" s="178"/>
      <c r="F909" s="178"/>
      <c r="G909" s="177"/>
      <c r="H909" s="177"/>
      <c r="I909" s="186" t="s">
        <v>1236</v>
      </c>
      <c r="J909" s="206" t="s">
        <v>781</v>
      </c>
      <c r="K909" s="207">
        <f>4000*5%</f>
        <v>200</v>
      </c>
      <c r="L909" s="182"/>
      <c r="M909" s="183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  <c r="AF909" s="135"/>
      <c r="AG909" s="135"/>
      <c r="AH909" s="135"/>
      <c r="AI909" s="135"/>
      <c r="AJ909" s="135"/>
      <c r="AK909" s="135"/>
      <c r="AL909" s="135"/>
      <c r="AM909" s="135"/>
      <c r="AN909" s="135"/>
      <c r="AO909" s="135"/>
      <c r="AP909" s="135"/>
      <c r="AQ909" s="135"/>
      <c r="AR909" s="135"/>
      <c r="AS909" s="135"/>
      <c r="AT909" s="135"/>
      <c r="AU909" s="135"/>
    </row>
    <row r="910" spans="1:47" x14ac:dyDescent="0.2">
      <c r="A910" s="174"/>
      <c r="B910" s="175"/>
      <c r="C910" s="176"/>
      <c r="D910" s="177"/>
      <c r="E910" s="178"/>
      <c r="F910" s="178"/>
      <c r="G910" s="177"/>
      <c r="H910" s="177"/>
      <c r="I910" s="186" t="s">
        <v>1237</v>
      </c>
      <c r="J910" s="206" t="s">
        <v>781</v>
      </c>
      <c r="K910" s="207">
        <f>4000*5%</f>
        <v>200</v>
      </c>
      <c r="L910" s="182"/>
      <c r="M910" s="183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  <c r="AF910" s="135"/>
      <c r="AG910" s="135"/>
      <c r="AH910" s="135"/>
      <c r="AI910" s="135"/>
      <c r="AJ910" s="135"/>
      <c r="AK910" s="135"/>
      <c r="AL910" s="135"/>
      <c r="AM910" s="135"/>
      <c r="AN910" s="135"/>
      <c r="AO910" s="135"/>
      <c r="AP910" s="135"/>
      <c r="AQ910" s="135"/>
      <c r="AR910" s="135"/>
      <c r="AS910" s="135"/>
      <c r="AT910" s="135"/>
      <c r="AU910" s="135"/>
    </row>
    <row r="911" spans="1:47" x14ac:dyDescent="0.2">
      <c r="A911" s="187"/>
      <c r="B911" s="188"/>
      <c r="C911" s="189"/>
      <c r="D911" s="190"/>
      <c r="E911" s="191"/>
      <c r="F911" s="191"/>
      <c r="G911" s="190"/>
      <c r="H911" s="190"/>
      <c r="I911" s="202"/>
      <c r="J911" s="203"/>
      <c r="K911" s="194">
        <f>SUM(K903:K910)</f>
        <v>4000</v>
      </c>
      <c r="L911" s="195"/>
      <c r="M911" s="196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  <c r="AF911" s="135"/>
      <c r="AG911" s="135"/>
      <c r="AH911" s="135"/>
      <c r="AI911" s="135"/>
      <c r="AJ911" s="135"/>
      <c r="AK911" s="135"/>
      <c r="AL911" s="135"/>
      <c r="AM911" s="135"/>
      <c r="AN911" s="135"/>
      <c r="AO911" s="135"/>
      <c r="AP911" s="135"/>
      <c r="AQ911" s="135"/>
      <c r="AR911" s="135"/>
      <c r="AS911" s="135"/>
      <c r="AT911" s="135"/>
      <c r="AU911" s="135"/>
    </row>
    <row r="912" spans="1:47" ht="23.25" customHeight="1" x14ac:dyDescent="0.2">
      <c r="A912" s="163">
        <v>208</v>
      </c>
      <c r="B912" s="164" t="s">
        <v>1238</v>
      </c>
      <c r="C912" s="165"/>
      <c r="D912" s="166" t="s">
        <v>107</v>
      </c>
      <c r="E912" s="167"/>
      <c r="F912" s="167"/>
      <c r="G912" s="166"/>
      <c r="H912" s="166" t="s">
        <v>137</v>
      </c>
      <c r="I912" s="299" t="s">
        <v>1239</v>
      </c>
      <c r="J912" s="262" t="s">
        <v>768</v>
      </c>
      <c r="K912" s="205">
        <f>3500*20%</f>
        <v>700</v>
      </c>
      <c r="L912" s="171" t="s">
        <v>111</v>
      </c>
      <c r="M912" s="172" t="s">
        <v>1240</v>
      </c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  <c r="AF912" s="135"/>
      <c r="AG912" s="135"/>
      <c r="AH912" s="135"/>
      <c r="AI912" s="135"/>
      <c r="AJ912" s="135"/>
      <c r="AK912" s="135"/>
      <c r="AL912" s="135"/>
      <c r="AM912" s="135"/>
      <c r="AN912" s="135"/>
      <c r="AO912" s="135"/>
      <c r="AP912" s="135"/>
      <c r="AQ912" s="135"/>
      <c r="AR912" s="135"/>
      <c r="AS912" s="135"/>
      <c r="AT912" s="135"/>
      <c r="AU912" s="135"/>
    </row>
    <row r="913" spans="1:47" x14ac:dyDescent="0.2">
      <c r="A913" s="174"/>
      <c r="B913" s="175"/>
      <c r="C913" s="176"/>
      <c r="D913" s="177"/>
      <c r="E913" s="178"/>
      <c r="F913" s="178"/>
      <c r="G913" s="177"/>
      <c r="H913" s="177"/>
      <c r="I913" s="186" t="s">
        <v>1241</v>
      </c>
      <c r="J913" s="206" t="s">
        <v>781</v>
      </c>
      <c r="K913" s="207">
        <f>3500*20%</f>
        <v>700</v>
      </c>
      <c r="L913" s="182"/>
      <c r="M913" s="183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  <c r="AF913" s="135"/>
      <c r="AG913" s="135"/>
      <c r="AH913" s="135"/>
      <c r="AI913" s="135"/>
      <c r="AJ913" s="135"/>
      <c r="AK913" s="135"/>
      <c r="AL913" s="135"/>
      <c r="AM913" s="135"/>
      <c r="AN913" s="135"/>
      <c r="AO913" s="135"/>
      <c r="AP913" s="135"/>
      <c r="AQ913" s="135"/>
      <c r="AR913" s="135"/>
      <c r="AS913" s="135"/>
      <c r="AT913" s="135"/>
      <c r="AU913" s="135"/>
    </row>
    <row r="914" spans="1:47" x14ac:dyDescent="0.2">
      <c r="A914" s="174"/>
      <c r="B914" s="175"/>
      <c r="C914" s="176"/>
      <c r="D914" s="177"/>
      <c r="E914" s="178"/>
      <c r="F914" s="178"/>
      <c r="G914" s="177"/>
      <c r="H914" s="177"/>
      <c r="I914" s="186" t="s">
        <v>1242</v>
      </c>
      <c r="J914" s="206" t="s">
        <v>781</v>
      </c>
      <c r="K914" s="207">
        <f>3500*60%</f>
        <v>2100</v>
      </c>
      <c r="L914" s="182"/>
      <c r="M914" s="183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  <c r="AF914" s="135"/>
      <c r="AG914" s="135"/>
      <c r="AH914" s="135"/>
      <c r="AI914" s="135"/>
      <c r="AJ914" s="135"/>
      <c r="AK914" s="135"/>
      <c r="AL914" s="135"/>
      <c r="AM914" s="135"/>
      <c r="AN914" s="135"/>
      <c r="AO914" s="135"/>
      <c r="AP914" s="135"/>
      <c r="AQ914" s="135"/>
      <c r="AR914" s="135"/>
      <c r="AS914" s="135"/>
      <c r="AT914" s="135"/>
      <c r="AU914" s="135"/>
    </row>
    <row r="915" spans="1:47" x14ac:dyDescent="0.2">
      <c r="A915" s="187"/>
      <c r="B915" s="188"/>
      <c r="C915" s="189"/>
      <c r="D915" s="190"/>
      <c r="E915" s="191"/>
      <c r="F915" s="191"/>
      <c r="G915" s="190"/>
      <c r="H915" s="190"/>
      <c r="I915" s="202"/>
      <c r="J915" s="203"/>
      <c r="K915" s="194">
        <f>SUM(K912:K914)</f>
        <v>3500</v>
      </c>
      <c r="L915" s="195"/>
      <c r="M915" s="196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  <c r="AF915" s="135"/>
      <c r="AG915" s="135"/>
      <c r="AH915" s="135"/>
      <c r="AI915" s="135"/>
      <c r="AJ915" s="135"/>
      <c r="AK915" s="135"/>
      <c r="AL915" s="135"/>
      <c r="AM915" s="135"/>
      <c r="AN915" s="135"/>
      <c r="AO915" s="135"/>
      <c r="AP915" s="135"/>
      <c r="AQ915" s="135"/>
      <c r="AR915" s="135"/>
      <c r="AS915" s="135"/>
      <c r="AT915" s="135"/>
      <c r="AU915" s="135"/>
    </row>
    <row r="916" spans="1:47" ht="22.5" customHeight="1" x14ac:dyDescent="0.2">
      <c r="A916" s="163">
        <v>209</v>
      </c>
      <c r="B916" s="164" t="s">
        <v>1243</v>
      </c>
      <c r="C916" s="165"/>
      <c r="D916" s="166" t="s">
        <v>107</v>
      </c>
      <c r="E916" s="167"/>
      <c r="F916" s="167"/>
      <c r="G916" s="166"/>
      <c r="H916" s="166" t="s">
        <v>162</v>
      </c>
      <c r="I916" s="299" t="s">
        <v>1244</v>
      </c>
      <c r="J916" s="262" t="s">
        <v>768</v>
      </c>
      <c r="K916" s="205">
        <f>4100*80%</f>
        <v>3280</v>
      </c>
      <c r="L916" s="171" t="s">
        <v>111</v>
      </c>
      <c r="M916" s="172" t="s">
        <v>1245</v>
      </c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  <c r="AF916" s="135"/>
      <c r="AG916" s="135"/>
      <c r="AH916" s="135"/>
      <c r="AI916" s="135"/>
      <c r="AJ916" s="135"/>
      <c r="AK916" s="135"/>
      <c r="AL916" s="135"/>
      <c r="AM916" s="135"/>
      <c r="AN916" s="135"/>
      <c r="AO916" s="135"/>
      <c r="AP916" s="135"/>
      <c r="AQ916" s="135"/>
      <c r="AR916" s="135"/>
      <c r="AS916" s="135"/>
      <c r="AT916" s="135"/>
      <c r="AU916" s="135"/>
    </row>
    <row r="917" spans="1:47" x14ac:dyDescent="0.2">
      <c r="A917" s="174"/>
      <c r="B917" s="175"/>
      <c r="C917" s="176"/>
      <c r="D917" s="177"/>
      <c r="E917" s="178"/>
      <c r="F917" s="178"/>
      <c r="G917" s="177"/>
      <c r="H917" s="177"/>
      <c r="I917" s="186" t="s">
        <v>1246</v>
      </c>
      <c r="J917" s="206" t="s">
        <v>781</v>
      </c>
      <c r="K917" s="207">
        <f>4100*20%</f>
        <v>820</v>
      </c>
      <c r="L917" s="182"/>
      <c r="M917" s="183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  <c r="AF917" s="135"/>
      <c r="AG917" s="135"/>
      <c r="AH917" s="135"/>
      <c r="AI917" s="135"/>
      <c r="AJ917" s="135"/>
      <c r="AK917" s="135"/>
      <c r="AL917" s="135"/>
      <c r="AM917" s="135"/>
      <c r="AN917" s="135"/>
      <c r="AO917" s="135"/>
      <c r="AP917" s="135"/>
      <c r="AQ917" s="135"/>
      <c r="AR917" s="135"/>
      <c r="AS917" s="135"/>
      <c r="AT917" s="135"/>
      <c r="AU917" s="135"/>
    </row>
    <row r="918" spans="1:47" x14ac:dyDescent="0.2">
      <c r="A918" s="187"/>
      <c r="B918" s="188"/>
      <c r="C918" s="189"/>
      <c r="D918" s="190"/>
      <c r="E918" s="191"/>
      <c r="F918" s="191"/>
      <c r="G918" s="190"/>
      <c r="H918" s="190"/>
      <c r="I918" s="202"/>
      <c r="J918" s="203"/>
      <c r="K918" s="194">
        <f>SUM(K916:K917)</f>
        <v>4100</v>
      </c>
      <c r="L918" s="195"/>
      <c r="M918" s="196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  <c r="AF918" s="135"/>
      <c r="AG918" s="135"/>
      <c r="AH918" s="135"/>
      <c r="AI918" s="135"/>
      <c r="AJ918" s="135"/>
      <c r="AK918" s="135"/>
      <c r="AL918" s="135"/>
      <c r="AM918" s="135"/>
      <c r="AN918" s="135"/>
      <c r="AO918" s="135"/>
      <c r="AP918" s="135"/>
      <c r="AQ918" s="135"/>
      <c r="AR918" s="135"/>
      <c r="AS918" s="135"/>
      <c r="AT918" s="135"/>
      <c r="AU918" s="135"/>
    </row>
    <row r="919" spans="1:47" ht="21" customHeight="1" x14ac:dyDescent="0.2">
      <c r="A919" s="163">
        <v>210</v>
      </c>
      <c r="B919" s="164" t="s">
        <v>1247</v>
      </c>
      <c r="C919" s="165"/>
      <c r="D919" s="166" t="s">
        <v>107</v>
      </c>
      <c r="E919" s="167"/>
      <c r="F919" s="167"/>
      <c r="G919" s="166"/>
      <c r="H919" s="166" t="s">
        <v>108</v>
      </c>
      <c r="I919" s="299" t="s">
        <v>1248</v>
      </c>
      <c r="J919" s="262" t="s">
        <v>768</v>
      </c>
      <c r="K919" s="205">
        <f>4000*10%</f>
        <v>400</v>
      </c>
      <c r="L919" s="171" t="s">
        <v>111</v>
      </c>
      <c r="M919" s="172" t="s">
        <v>1249</v>
      </c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  <c r="AF919" s="135"/>
      <c r="AG919" s="135"/>
      <c r="AH919" s="135"/>
      <c r="AI919" s="135"/>
      <c r="AJ919" s="135"/>
      <c r="AK919" s="135"/>
      <c r="AL919" s="135"/>
      <c r="AM919" s="135"/>
      <c r="AN919" s="135"/>
      <c r="AO919" s="135"/>
      <c r="AP919" s="135"/>
      <c r="AQ919" s="135"/>
      <c r="AR919" s="135"/>
      <c r="AS919" s="135"/>
      <c r="AT919" s="135"/>
      <c r="AU919" s="135"/>
    </row>
    <row r="920" spans="1:47" x14ac:dyDescent="0.2">
      <c r="A920" s="174"/>
      <c r="B920" s="175"/>
      <c r="C920" s="176"/>
      <c r="D920" s="177"/>
      <c r="E920" s="178"/>
      <c r="F920" s="178"/>
      <c r="G920" s="177"/>
      <c r="H920" s="177"/>
      <c r="I920" s="186" t="s">
        <v>1250</v>
      </c>
      <c r="J920" s="206" t="s">
        <v>781</v>
      </c>
      <c r="K920" s="207">
        <f>4000*70%</f>
        <v>2800</v>
      </c>
      <c r="L920" s="182"/>
      <c r="M920" s="183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  <c r="AF920" s="135"/>
      <c r="AG920" s="135"/>
      <c r="AH920" s="135"/>
      <c r="AI920" s="135"/>
      <c r="AJ920" s="135"/>
      <c r="AK920" s="135"/>
      <c r="AL920" s="135"/>
      <c r="AM920" s="135"/>
      <c r="AN920" s="135"/>
      <c r="AO920" s="135"/>
      <c r="AP920" s="135"/>
      <c r="AQ920" s="135"/>
      <c r="AR920" s="135"/>
      <c r="AS920" s="135"/>
      <c r="AT920" s="135"/>
      <c r="AU920" s="135"/>
    </row>
    <row r="921" spans="1:47" x14ac:dyDescent="0.2">
      <c r="A921" s="174"/>
      <c r="B921" s="175"/>
      <c r="C921" s="176"/>
      <c r="D921" s="177"/>
      <c r="E921" s="178"/>
      <c r="F921" s="178"/>
      <c r="G921" s="177"/>
      <c r="H921" s="177"/>
      <c r="I921" s="186" t="s">
        <v>1221</v>
      </c>
      <c r="J921" s="206" t="s">
        <v>781</v>
      </c>
      <c r="K921" s="207">
        <f>4000*10%</f>
        <v>400</v>
      </c>
      <c r="L921" s="182"/>
      <c r="M921" s="183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  <c r="AF921" s="135"/>
      <c r="AG921" s="135"/>
      <c r="AH921" s="135"/>
      <c r="AI921" s="135"/>
      <c r="AJ921" s="135"/>
      <c r="AK921" s="135"/>
      <c r="AL921" s="135"/>
      <c r="AM921" s="135"/>
      <c r="AN921" s="135"/>
      <c r="AO921" s="135"/>
      <c r="AP921" s="135"/>
      <c r="AQ921" s="135"/>
      <c r="AR921" s="135"/>
      <c r="AS921" s="135"/>
      <c r="AT921" s="135"/>
      <c r="AU921" s="135"/>
    </row>
    <row r="922" spans="1:47" x14ac:dyDescent="0.2">
      <c r="A922" s="174"/>
      <c r="B922" s="175"/>
      <c r="C922" s="176"/>
      <c r="D922" s="177"/>
      <c r="E922" s="178"/>
      <c r="F922" s="178"/>
      <c r="G922" s="177"/>
      <c r="H922" s="177"/>
      <c r="I922" s="186" t="s">
        <v>1222</v>
      </c>
      <c r="J922" s="206" t="s">
        <v>781</v>
      </c>
      <c r="K922" s="207">
        <f>4000*10%</f>
        <v>400</v>
      </c>
      <c r="L922" s="182"/>
      <c r="M922" s="183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  <c r="AF922" s="135"/>
      <c r="AG922" s="135"/>
      <c r="AH922" s="135"/>
      <c r="AI922" s="135"/>
      <c r="AJ922" s="135"/>
      <c r="AK922" s="135"/>
      <c r="AL922" s="135"/>
      <c r="AM922" s="135"/>
      <c r="AN922" s="135"/>
      <c r="AO922" s="135"/>
      <c r="AP922" s="135"/>
      <c r="AQ922" s="135"/>
      <c r="AR922" s="135"/>
      <c r="AS922" s="135"/>
      <c r="AT922" s="135"/>
      <c r="AU922" s="135"/>
    </row>
    <row r="923" spans="1:47" x14ac:dyDescent="0.2">
      <c r="A923" s="187"/>
      <c r="B923" s="188"/>
      <c r="C923" s="189"/>
      <c r="D923" s="190"/>
      <c r="E923" s="191"/>
      <c r="F923" s="191"/>
      <c r="G923" s="190"/>
      <c r="H923" s="190"/>
      <c r="I923" s="202"/>
      <c r="J923" s="203"/>
      <c r="K923" s="194">
        <f>SUM(K919:K922)</f>
        <v>4000</v>
      </c>
      <c r="L923" s="195"/>
      <c r="M923" s="196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  <c r="AF923" s="135"/>
      <c r="AG923" s="135"/>
      <c r="AH923" s="135"/>
      <c r="AI923" s="135"/>
      <c r="AJ923" s="135"/>
      <c r="AK923" s="135"/>
      <c r="AL923" s="135"/>
      <c r="AM923" s="135"/>
      <c r="AN923" s="135"/>
      <c r="AO923" s="135"/>
      <c r="AP923" s="135"/>
      <c r="AQ923" s="135"/>
      <c r="AR923" s="135"/>
      <c r="AS923" s="135"/>
      <c r="AT923" s="135"/>
      <c r="AU923" s="135"/>
    </row>
    <row r="924" spans="1:47" ht="24.75" customHeight="1" x14ac:dyDescent="0.2">
      <c r="A924" s="163">
        <v>211</v>
      </c>
      <c r="B924" s="164" t="s">
        <v>1251</v>
      </c>
      <c r="C924" s="165"/>
      <c r="D924" s="166" t="s">
        <v>107</v>
      </c>
      <c r="E924" s="167"/>
      <c r="F924" s="167"/>
      <c r="G924" s="166"/>
      <c r="H924" s="166"/>
      <c r="I924" s="299" t="s">
        <v>1252</v>
      </c>
      <c r="J924" s="262" t="s">
        <v>768</v>
      </c>
      <c r="K924" s="205">
        <f>4000*80%</f>
        <v>3200</v>
      </c>
      <c r="L924" s="171" t="s">
        <v>111</v>
      </c>
      <c r="M924" s="172" t="s">
        <v>1253</v>
      </c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  <c r="AF924" s="135"/>
      <c r="AG924" s="135"/>
      <c r="AH924" s="135"/>
      <c r="AI924" s="135"/>
      <c r="AJ924" s="135"/>
      <c r="AK924" s="135"/>
      <c r="AL924" s="135"/>
      <c r="AM924" s="135"/>
      <c r="AN924" s="135"/>
      <c r="AO924" s="135"/>
      <c r="AP924" s="135"/>
      <c r="AQ924" s="135"/>
      <c r="AR924" s="135"/>
      <c r="AS924" s="135"/>
      <c r="AT924" s="135"/>
      <c r="AU924" s="135"/>
    </row>
    <row r="925" spans="1:47" x14ac:dyDescent="0.2">
      <c r="A925" s="174"/>
      <c r="B925" s="175"/>
      <c r="C925" s="176"/>
      <c r="D925" s="177"/>
      <c r="E925" s="178"/>
      <c r="F925" s="178"/>
      <c r="G925" s="177"/>
      <c r="H925" s="177"/>
      <c r="I925" s="186" t="s">
        <v>1254</v>
      </c>
      <c r="J925" s="206" t="s">
        <v>781</v>
      </c>
      <c r="K925" s="207">
        <f>4000*5%</f>
        <v>200</v>
      </c>
      <c r="L925" s="182"/>
      <c r="M925" s="183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  <c r="AF925" s="135"/>
      <c r="AG925" s="135"/>
      <c r="AH925" s="135"/>
      <c r="AI925" s="135"/>
      <c r="AJ925" s="135"/>
      <c r="AK925" s="135"/>
      <c r="AL925" s="135"/>
      <c r="AM925" s="135"/>
      <c r="AN925" s="135"/>
      <c r="AO925" s="135"/>
      <c r="AP925" s="135"/>
      <c r="AQ925" s="135"/>
      <c r="AR925" s="135"/>
      <c r="AS925" s="135"/>
      <c r="AT925" s="135"/>
      <c r="AU925" s="135"/>
    </row>
    <row r="926" spans="1:47" x14ac:dyDescent="0.2">
      <c r="A926" s="174"/>
      <c r="B926" s="175"/>
      <c r="C926" s="176"/>
      <c r="D926" s="177"/>
      <c r="E926" s="178"/>
      <c r="F926" s="178"/>
      <c r="G926" s="177"/>
      <c r="H926" s="177"/>
      <c r="I926" s="186" t="s">
        <v>1255</v>
      </c>
      <c r="J926" s="206" t="s">
        <v>781</v>
      </c>
      <c r="K926" s="207">
        <f>4000*5%</f>
        <v>200</v>
      </c>
      <c r="L926" s="182"/>
      <c r="M926" s="183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  <c r="AF926" s="135"/>
      <c r="AG926" s="135"/>
      <c r="AH926" s="135"/>
      <c r="AI926" s="135"/>
      <c r="AJ926" s="135"/>
      <c r="AK926" s="135"/>
      <c r="AL926" s="135"/>
      <c r="AM926" s="135"/>
      <c r="AN926" s="135"/>
      <c r="AO926" s="135"/>
      <c r="AP926" s="135"/>
      <c r="AQ926" s="135"/>
      <c r="AR926" s="135"/>
      <c r="AS926" s="135"/>
      <c r="AT926" s="135"/>
      <c r="AU926" s="135"/>
    </row>
    <row r="927" spans="1:47" x14ac:dyDescent="0.2">
      <c r="A927" s="174"/>
      <c r="B927" s="175"/>
      <c r="C927" s="176"/>
      <c r="D927" s="177"/>
      <c r="E927" s="178"/>
      <c r="F927" s="178"/>
      <c r="G927" s="177"/>
      <c r="H927" s="177"/>
      <c r="I927" s="186" t="s">
        <v>1256</v>
      </c>
      <c r="J927" s="206" t="s">
        <v>781</v>
      </c>
      <c r="K927" s="207">
        <f>4000*5%</f>
        <v>200</v>
      </c>
      <c r="L927" s="182"/>
      <c r="M927" s="183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  <c r="AF927" s="135"/>
      <c r="AG927" s="135"/>
      <c r="AH927" s="135"/>
      <c r="AI927" s="135"/>
      <c r="AJ927" s="135"/>
      <c r="AK927" s="135"/>
      <c r="AL927" s="135"/>
      <c r="AM927" s="135"/>
      <c r="AN927" s="135"/>
      <c r="AO927" s="135"/>
      <c r="AP927" s="135"/>
      <c r="AQ927" s="135"/>
      <c r="AR927" s="135"/>
      <c r="AS927" s="135"/>
      <c r="AT927" s="135"/>
      <c r="AU927" s="135"/>
    </row>
    <row r="928" spans="1:47" x14ac:dyDescent="0.2">
      <c r="A928" s="174"/>
      <c r="B928" s="175"/>
      <c r="C928" s="176"/>
      <c r="D928" s="177"/>
      <c r="E928" s="178"/>
      <c r="F928" s="178"/>
      <c r="G928" s="177"/>
      <c r="H928" s="177"/>
      <c r="I928" s="186" t="s">
        <v>1257</v>
      </c>
      <c r="J928" s="206" t="s">
        <v>1258</v>
      </c>
      <c r="K928" s="207">
        <f>4000*5%</f>
        <v>200</v>
      </c>
      <c r="L928" s="182"/>
      <c r="M928" s="183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  <c r="AF928" s="135"/>
      <c r="AG928" s="135"/>
      <c r="AH928" s="135"/>
      <c r="AI928" s="135"/>
      <c r="AJ928" s="135"/>
      <c r="AK928" s="135"/>
      <c r="AL928" s="135"/>
      <c r="AM928" s="135"/>
      <c r="AN928" s="135"/>
      <c r="AO928" s="135"/>
      <c r="AP928" s="135"/>
      <c r="AQ928" s="135"/>
      <c r="AR928" s="135"/>
      <c r="AS928" s="135"/>
      <c r="AT928" s="135"/>
      <c r="AU928" s="135"/>
    </row>
    <row r="929" spans="1:47" x14ac:dyDescent="0.2">
      <c r="A929" s="187"/>
      <c r="B929" s="188"/>
      <c r="C929" s="189"/>
      <c r="D929" s="190"/>
      <c r="E929" s="191"/>
      <c r="F929" s="191"/>
      <c r="G929" s="190"/>
      <c r="H929" s="190"/>
      <c r="I929" s="202"/>
      <c r="J929" s="203"/>
      <c r="K929" s="194">
        <f>SUM(K924:K928)</f>
        <v>4000</v>
      </c>
      <c r="L929" s="195"/>
      <c r="M929" s="196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  <c r="AF929" s="135"/>
      <c r="AG929" s="135"/>
      <c r="AH929" s="135"/>
      <c r="AI929" s="135"/>
      <c r="AJ929" s="135"/>
      <c r="AK929" s="135"/>
      <c r="AL929" s="135"/>
      <c r="AM929" s="135"/>
      <c r="AN929" s="135"/>
      <c r="AO929" s="135"/>
      <c r="AP929" s="135"/>
      <c r="AQ929" s="135"/>
      <c r="AR929" s="135"/>
      <c r="AS929" s="135"/>
      <c r="AT929" s="135"/>
      <c r="AU929" s="135"/>
    </row>
    <row r="930" spans="1:47" ht="20.25" customHeight="1" x14ac:dyDescent="0.2">
      <c r="A930" s="163">
        <v>212</v>
      </c>
      <c r="B930" s="164" t="s">
        <v>1259</v>
      </c>
      <c r="C930" s="165"/>
      <c r="D930" s="166" t="s">
        <v>107</v>
      </c>
      <c r="E930" s="167"/>
      <c r="F930" s="167"/>
      <c r="G930" s="166"/>
      <c r="H930" s="166"/>
      <c r="I930" s="299" t="s">
        <v>1260</v>
      </c>
      <c r="J930" s="262" t="s">
        <v>768</v>
      </c>
      <c r="K930" s="205">
        <f>3700*60%</f>
        <v>2220</v>
      </c>
      <c r="L930" s="171" t="s">
        <v>111</v>
      </c>
      <c r="M930" s="172" t="s">
        <v>1261</v>
      </c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  <c r="AF930" s="135"/>
      <c r="AG930" s="135"/>
      <c r="AH930" s="135"/>
      <c r="AI930" s="135"/>
      <c r="AJ930" s="135"/>
      <c r="AK930" s="135"/>
      <c r="AL930" s="135"/>
      <c r="AM930" s="135"/>
      <c r="AN930" s="135"/>
      <c r="AO930" s="135"/>
      <c r="AP930" s="135"/>
      <c r="AQ930" s="135"/>
      <c r="AR930" s="135"/>
      <c r="AS930" s="135"/>
      <c r="AT930" s="135"/>
      <c r="AU930" s="135"/>
    </row>
    <row r="931" spans="1:47" x14ac:dyDescent="0.2">
      <c r="A931" s="174"/>
      <c r="B931" s="175"/>
      <c r="C931" s="176"/>
      <c r="D931" s="177"/>
      <c r="E931" s="178"/>
      <c r="F931" s="178"/>
      <c r="G931" s="177"/>
      <c r="H931" s="177"/>
      <c r="I931" s="186" t="s">
        <v>1262</v>
      </c>
      <c r="J931" s="206" t="s">
        <v>781</v>
      </c>
      <c r="K931" s="207">
        <f>3700*10%</f>
        <v>370</v>
      </c>
      <c r="L931" s="182"/>
      <c r="M931" s="183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  <c r="AF931" s="135"/>
      <c r="AG931" s="135"/>
      <c r="AH931" s="135"/>
      <c r="AI931" s="135"/>
      <c r="AJ931" s="135"/>
      <c r="AK931" s="135"/>
      <c r="AL931" s="135"/>
      <c r="AM931" s="135"/>
      <c r="AN931" s="135"/>
      <c r="AO931" s="135"/>
      <c r="AP931" s="135"/>
      <c r="AQ931" s="135"/>
      <c r="AR931" s="135"/>
      <c r="AS931" s="135"/>
      <c r="AT931" s="135"/>
      <c r="AU931" s="135"/>
    </row>
    <row r="932" spans="1:47" x14ac:dyDescent="0.2">
      <c r="A932" s="174"/>
      <c r="B932" s="175"/>
      <c r="C932" s="176"/>
      <c r="D932" s="177"/>
      <c r="E932" s="178"/>
      <c r="F932" s="178"/>
      <c r="G932" s="177"/>
      <c r="H932" s="177"/>
      <c r="I932" s="186" t="s">
        <v>1263</v>
      </c>
      <c r="J932" s="206" t="s">
        <v>781</v>
      </c>
      <c r="K932" s="207">
        <f>3700*10%</f>
        <v>370</v>
      </c>
      <c r="L932" s="182"/>
      <c r="M932" s="183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  <c r="AF932" s="135"/>
      <c r="AG932" s="135"/>
      <c r="AH932" s="135"/>
      <c r="AI932" s="135"/>
      <c r="AJ932" s="135"/>
      <c r="AK932" s="135"/>
      <c r="AL932" s="135"/>
      <c r="AM932" s="135"/>
      <c r="AN932" s="135"/>
      <c r="AO932" s="135"/>
      <c r="AP932" s="135"/>
      <c r="AQ932" s="135"/>
      <c r="AR932" s="135"/>
      <c r="AS932" s="135"/>
      <c r="AT932" s="135"/>
      <c r="AU932" s="135"/>
    </row>
    <row r="933" spans="1:47" x14ac:dyDescent="0.2">
      <c r="A933" s="174"/>
      <c r="B933" s="175"/>
      <c r="C933" s="176"/>
      <c r="D933" s="177"/>
      <c r="E933" s="178"/>
      <c r="F933" s="178"/>
      <c r="G933" s="177"/>
      <c r="H933" s="177"/>
      <c r="I933" s="186" t="s">
        <v>1222</v>
      </c>
      <c r="J933" s="206" t="s">
        <v>781</v>
      </c>
      <c r="K933" s="207">
        <f>3700*10%</f>
        <v>370</v>
      </c>
      <c r="L933" s="182"/>
      <c r="M933" s="183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  <c r="AF933" s="135"/>
      <c r="AG933" s="135"/>
      <c r="AH933" s="135"/>
      <c r="AI933" s="135"/>
      <c r="AJ933" s="135"/>
      <c r="AK933" s="135"/>
      <c r="AL933" s="135"/>
      <c r="AM933" s="135"/>
      <c r="AN933" s="135"/>
      <c r="AO933" s="135"/>
      <c r="AP933" s="135"/>
      <c r="AQ933" s="135"/>
      <c r="AR933" s="135"/>
      <c r="AS933" s="135"/>
      <c r="AT933" s="135"/>
      <c r="AU933" s="135"/>
    </row>
    <row r="934" spans="1:47" x14ac:dyDescent="0.2">
      <c r="A934" s="174"/>
      <c r="B934" s="175"/>
      <c r="C934" s="176"/>
      <c r="D934" s="177"/>
      <c r="E934" s="178"/>
      <c r="F934" s="178"/>
      <c r="G934" s="177"/>
      <c r="H934" s="177"/>
      <c r="I934" s="186" t="s">
        <v>1264</v>
      </c>
      <c r="J934" s="206" t="s">
        <v>781</v>
      </c>
      <c r="K934" s="207">
        <f>3700*10%</f>
        <v>370</v>
      </c>
      <c r="L934" s="182"/>
      <c r="M934" s="183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  <c r="AF934" s="135"/>
      <c r="AG934" s="135"/>
      <c r="AH934" s="135"/>
      <c r="AI934" s="135"/>
      <c r="AJ934" s="135"/>
      <c r="AK934" s="135"/>
      <c r="AL934" s="135"/>
      <c r="AM934" s="135"/>
      <c r="AN934" s="135"/>
      <c r="AO934" s="135"/>
      <c r="AP934" s="135"/>
      <c r="AQ934" s="135"/>
      <c r="AR934" s="135"/>
      <c r="AS934" s="135"/>
      <c r="AT934" s="135"/>
      <c r="AU934" s="135"/>
    </row>
    <row r="935" spans="1:47" x14ac:dyDescent="0.2">
      <c r="A935" s="187"/>
      <c r="B935" s="188"/>
      <c r="C935" s="189"/>
      <c r="D935" s="190"/>
      <c r="E935" s="191"/>
      <c r="F935" s="191"/>
      <c r="G935" s="190"/>
      <c r="H935" s="190"/>
      <c r="I935" s="202"/>
      <c r="J935" s="203"/>
      <c r="K935" s="194">
        <f>SUM(K930:K934)</f>
        <v>3700</v>
      </c>
      <c r="L935" s="195"/>
      <c r="M935" s="196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  <c r="AF935" s="135"/>
      <c r="AG935" s="135"/>
      <c r="AH935" s="135"/>
      <c r="AI935" s="135"/>
      <c r="AJ935" s="135"/>
      <c r="AK935" s="135"/>
      <c r="AL935" s="135"/>
      <c r="AM935" s="135"/>
      <c r="AN935" s="135"/>
      <c r="AO935" s="135"/>
      <c r="AP935" s="135"/>
      <c r="AQ935" s="135"/>
      <c r="AR935" s="135"/>
      <c r="AS935" s="135"/>
      <c r="AT935" s="135"/>
      <c r="AU935" s="135"/>
    </row>
    <row r="936" spans="1:47" ht="25.5" customHeight="1" x14ac:dyDescent="0.2">
      <c r="A936" s="163">
        <v>213</v>
      </c>
      <c r="B936" s="164" t="s">
        <v>1265</v>
      </c>
      <c r="C936" s="165"/>
      <c r="D936" s="166" t="s">
        <v>107</v>
      </c>
      <c r="E936" s="167"/>
      <c r="F936" s="167"/>
      <c r="G936" s="166"/>
      <c r="H936" s="166"/>
      <c r="I936" s="299" t="s">
        <v>1266</v>
      </c>
      <c r="J936" s="262" t="s">
        <v>768</v>
      </c>
      <c r="K936" s="205">
        <f>3500*75%</f>
        <v>2625</v>
      </c>
      <c r="L936" s="171" t="s">
        <v>111</v>
      </c>
      <c r="M936" s="172" t="s">
        <v>1267</v>
      </c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  <c r="AF936" s="135"/>
      <c r="AG936" s="135"/>
      <c r="AH936" s="135"/>
      <c r="AI936" s="135"/>
      <c r="AJ936" s="135"/>
      <c r="AK936" s="135"/>
      <c r="AL936" s="135"/>
      <c r="AM936" s="135"/>
      <c r="AN936" s="135"/>
      <c r="AO936" s="135"/>
      <c r="AP936" s="135"/>
      <c r="AQ936" s="135"/>
      <c r="AR936" s="135"/>
      <c r="AS936" s="135"/>
      <c r="AT936" s="135"/>
      <c r="AU936" s="135"/>
    </row>
    <row r="937" spans="1:47" x14ac:dyDescent="0.2">
      <c r="A937" s="174"/>
      <c r="B937" s="175"/>
      <c r="C937" s="176"/>
      <c r="D937" s="177"/>
      <c r="E937" s="178"/>
      <c r="F937" s="178"/>
      <c r="G937" s="177"/>
      <c r="H937" s="177"/>
      <c r="I937" s="186" t="s">
        <v>1268</v>
      </c>
      <c r="J937" s="206" t="s">
        <v>781</v>
      </c>
      <c r="K937" s="207">
        <f>3500*5%</f>
        <v>175</v>
      </c>
      <c r="L937" s="182"/>
      <c r="M937" s="183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  <c r="AF937" s="135"/>
      <c r="AG937" s="135"/>
      <c r="AH937" s="135"/>
      <c r="AI937" s="135"/>
      <c r="AJ937" s="135"/>
      <c r="AK937" s="135"/>
      <c r="AL937" s="135"/>
      <c r="AM937" s="135"/>
      <c r="AN937" s="135"/>
      <c r="AO937" s="135"/>
      <c r="AP937" s="135"/>
      <c r="AQ937" s="135"/>
      <c r="AR937" s="135"/>
      <c r="AS937" s="135"/>
      <c r="AT937" s="135"/>
      <c r="AU937" s="135"/>
    </row>
    <row r="938" spans="1:47" x14ac:dyDescent="0.2">
      <c r="A938" s="174"/>
      <c r="B938" s="175"/>
      <c r="C938" s="176"/>
      <c r="D938" s="177"/>
      <c r="E938" s="178"/>
      <c r="F938" s="178"/>
      <c r="G938" s="177"/>
      <c r="H938" s="177"/>
      <c r="I938" s="186" t="s">
        <v>1269</v>
      </c>
      <c r="J938" s="206" t="s">
        <v>781</v>
      </c>
      <c r="K938" s="207">
        <f>3500*5%</f>
        <v>175</v>
      </c>
      <c r="L938" s="182"/>
      <c r="M938" s="183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  <c r="AF938" s="135"/>
      <c r="AG938" s="135"/>
      <c r="AH938" s="135"/>
      <c r="AI938" s="135"/>
      <c r="AJ938" s="135"/>
      <c r="AK938" s="135"/>
      <c r="AL938" s="135"/>
      <c r="AM938" s="135"/>
      <c r="AN938" s="135"/>
      <c r="AO938" s="135"/>
      <c r="AP938" s="135"/>
      <c r="AQ938" s="135"/>
      <c r="AR938" s="135"/>
      <c r="AS938" s="135"/>
      <c r="AT938" s="135"/>
      <c r="AU938" s="135"/>
    </row>
    <row r="939" spans="1:47" x14ac:dyDescent="0.2">
      <c r="A939" s="174"/>
      <c r="B939" s="175"/>
      <c r="C939" s="176"/>
      <c r="D939" s="177"/>
      <c r="E939" s="178"/>
      <c r="F939" s="178"/>
      <c r="G939" s="177"/>
      <c r="H939" s="177"/>
      <c r="I939" s="186" t="s">
        <v>1270</v>
      </c>
      <c r="J939" s="206" t="s">
        <v>781</v>
      </c>
      <c r="K939" s="207">
        <f>3500*5%</f>
        <v>175</v>
      </c>
      <c r="L939" s="182"/>
      <c r="M939" s="183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  <c r="AF939" s="135"/>
      <c r="AG939" s="135"/>
      <c r="AH939" s="135"/>
      <c r="AI939" s="135"/>
      <c r="AJ939" s="135"/>
      <c r="AK939" s="135"/>
      <c r="AL939" s="135"/>
      <c r="AM939" s="135"/>
      <c r="AN939" s="135"/>
      <c r="AO939" s="135"/>
      <c r="AP939" s="135"/>
      <c r="AQ939" s="135"/>
      <c r="AR939" s="135"/>
      <c r="AS939" s="135"/>
      <c r="AT939" s="135"/>
      <c r="AU939" s="135"/>
    </row>
    <row r="940" spans="1:47" x14ac:dyDescent="0.2">
      <c r="A940" s="174"/>
      <c r="B940" s="175"/>
      <c r="C940" s="176"/>
      <c r="D940" s="177"/>
      <c r="E940" s="178"/>
      <c r="F940" s="178"/>
      <c r="G940" s="177"/>
      <c r="H940" s="177"/>
      <c r="I940" s="186" t="s">
        <v>1271</v>
      </c>
      <c r="J940" s="206" t="s">
        <v>781</v>
      </c>
      <c r="K940" s="207">
        <f>3500*5%</f>
        <v>175</v>
      </c>
      <c r="L940" s="182"/>
      <c r="M940" s="183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  <c r="AF940" s="135"/>
      <c r="AG940" s="135"/>
      <c r="AH940" s="135"/>
      <c r="AI940" s="135"/>
      <c r="AJ940" s="135"/>
      <c r="AK940" s="135"/>
      <c r="AL940" s="135"/>
      <c r="AM940" s="135"/>
      <c r="AN940" s="135"/>
      <c r="AO940" s="135"/>
      <c r="AP940" s="135"/>
      <c r="AQ940" s="135"/>
      <c r="AR940" s="135"/>
      <c r="AS940" s="135"/>
      <c r="AT940" s="135"/>
      <c r="AU940" s="135"/>
    </row>
    <row r="941" spans="1:47" x14ac:dyDescent="0.2">
      <c r="A941" s="174"/>
      <c r="B941" s="175"/>
      <c r="C941" s="176"/>
      <c r="D941" s="177"/>
      <c r="E941" s="178"/>
      <c r="F941" s="178"/>
      <c r="G941" s="177"/>
      <c r="H941" s="177"/>
      <c r="I941" s="186" t="s">
        <v>1272</v>
      </c>
      <c r="J941" s="206" t="s">
        <v>781</v>
      </c>
      <c r="K941" s="207">
        <f>3500*5%</f>
        <v>175</v>
      </c>
      <c r="L941" s="182"/>
      <c r="M941" s="183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  <c r="AF941" s="135"/>
      <c r="AG941" s="135"/>
      <c r="AH941" s="135"/>
      <c r="AI941" s="135"/>
      <c r="AJ941" s="135"/>
      <c r="AK941" s="135"/>
      <c r="AL941" s="135"/>
      <c r="AM941" s="135"/>
      <c r="AN941" s="135"/>
      <c r="AO941" s="135"/>
      <c r="AP941" s="135"/>
      <c r="AQ941" s="135"/>
      <c r="AR941" s="135"/>
      <c r="AS941" s="135"/>
      <c r="AT941" s="135"/>
      <c r="AU941" s="135"/>
    </row>
    <row r="942" spans="1:47" x14ac:dyDescent="0.2">
      <c r="A942" s="187"/>
      <c r="B942" s="188"/>
      <c r="C942" s="189"/>
      <c r="D942" s="190"/>
      <c r="E942" s="191"/>
      <c r="F942" s="191"/>
      <c r="G942" s="190"/>
      <c r="H942" s="190"/>
      <c r="I942" s="202"/>
      <c r="J942" s="203"/>
      <c r="K942" s="194">
        <f>SUM(K936:K941)</f>
        <v>3500</v>
      </c>
      <c r="L942" s="195"/>
      <c r="M942" s="196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  <c r="AF942" s="135"/>
      <c r="AG942" s="135"/>
      <c r="AH942" s="135"/>
      <c r="AI942" s="135"/>
      <c r="AJ942" s="135"/>
      <c r="AK942" s="135"/>
      <c r="AL942" s="135"/>
      <c r="AM942" s="135"/>
      <c r="AN942" s="135"/>
      <c r="AO942" s="135"/>
      <c r="AP942" s="135"/>
      <c r="AQ942" s="135"/>
      <c r="AR942" s="135"/>
      <c r="AS942" s="135"/>
      <c r="AT942" s="135"/>
      <c r="AU942" s="135"/>
    </row>
    <row r="943" spans="1:47" ht="22.5" customHeight="1" x14ac:dyDescent="0.2">
      <c r="A943" s="163">
        <v>214</v>
      </c>
      <c r="B943" s="164" t="s">
        <v>1273</v>
      </c>
      <c r="C943" s="165"/>
      <c r="D943" s="166" t="s">
        <v>107</v>
      </c>
      <c r="E943" s="167"/>
      <c r="F943" s="167"/>
      <c r="G943" s="166"/>
      <c r="H943" s="166" t="s">
        <v>108</v>
      </c>
      <c r="I943" s="299" t="s">
        <v>1274</v>
      </c>
      <c r="J943" s="262" t="s">
        <v>768</v>
      </c>
      <c r="K943" s="205">
        <f>3500*10%</f>
        <v>350</v>
      </c>
      <c r="L943" s="171" t="s">
        <v>111</v>
      </c>
      <c r="M943" s="172" t="s">
        <v>1275</v>
      </c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  <c r="AF943" s="135"/>
      <c r="AG943" s="135"/>
      <c r="AH943" s="135"/>
      <c r="AI943" s="135"/>
      <c r="AJ943" s="135"/>
      <c r="AK943" s="135"/>
      <c r="AL943" s="135"/>
      <c r="AM943" s="135"/>
      <c r="AN943" s="135"/>
      <c r="AO943" s="135"/>
      <c r="AP943" s="135"/>
      <c r="AQ943" s="135"/>
      <c r="AR943" s="135"/>
      <c r="AS943" s="135"/>
      <c r="AT943" s="135"/>
      <c r="AU943" s="135"/>
    </row>
    <row r="944" spans="1:47" x14ac:dyDescent="0.2">
      <c r="A944" s="174"/>
      <c r="B944" s="175"/>
      <c r="C944" s="176"/>
      <c r="D944" s="177"/>
      <c r="E944" s="178"/>
      <c r="F944" s="178"/>
      <c r="G944" s="177"/>
      <c r="H944" s="177"/>
      <c r="I944" s="186" t="s">
        <v>1276</v>
      </c>
      <c r="J944" s="206" t="s">
        <v>781</v>
      </c>
      <c r="K944" s="207">
        <f>3500*60%</f>
        <v>2100</v>
      </c>
      <c r="L944" s="182"/>
      <c r="M944" s="183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  <c r="AF944" s="135"/>
      <c r="AG944" s="135"/>
      <c r="AH944" s="135"/>
      <c r="AI944" s="135"/>
      <c r="AJ944" s="135"/>
      <c r="AK944" s="135"/>
      <c r="AL944" s="135"/>
      <c r="AM944" s="135"/>
      <c r="AN944" s="135"/>
      <c r="AO944" s="135"/>
      <c r="AP944" s="135"/>
      <c r="AQ944" s="135"/>
      <c r="AR944" s="135"/>
      <c r="AS944" s="135"/>
      <c r="AT944" s="135"/>
      <c r="AU944" s="135"/>
    </row>
    <row r="945" spans="1:47" x14ac:dyDescent="0.2">
      <c r="A945" s="174"/>
      <c r="B945" s="175"/>
      <c r="C945" s="176"/>
      <c r="D945" s="177"/>
      <c r="E945" s="178"/>
      <c r="F945" s="178"/>
      <c r="G945" s="177"/>
      <c r="H945" s="177"/>
      <c r="I945" s="186" t="s">
        <v>1277</v>
      </c>
      <c r="J945" s="206" t="s">
        <v>781</v>
      </c>
      <c r="K945" s="207">
        <f>3500*20%</f>
        <v>700</v>
      </c>
      <c r="L945" s="182"/>
      <c r="M945" s="183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  <c r="AF945" s="135"/>
      <c r="AG945" s="135"/>
      <c r="AH945" s="135"/>
      <c r="AI945" s="135"/>
      <c r="AJ945" s="135"/>
      <c r="AK945" s="135"/>
      <c r="AL945" s="135"/>
      <c r="AM945" s="135"/>
      <c r="AN945" s="135"/>
      <c r="AO945" s="135"/>
      <c r="AP945" s="135"/>
      <c r="AQ945" s="135"/>
      <c r="AR945" s="135"/>
      <c r="AS945" s="135"/>
      <c r="AT945" s="135"/>
      <c r="AU945" s="135"/>
    </row>
    <row r="946" spans="1:47" x14ac:dyDescent="0.2">
      <c r="A946" s="174"/>
      <c r="B946" s="175"/>
      <c r="C946" s="176"/>
      <c r="D946" s="177"/>
      <c r="E946" s="178"/>
      <c r="F946" s="178"/>
      <c r="G946" s="177"/>
      <c r="H946" s="177"/>
      <c r="I946" s="186" t="s">
        <v>1278</v>
      </c>
      <c r="J946" s="206" t="s">
        <v>781</v>
      </c>
      <c r="K946" s="207">
        <f>3500*10%</f>
        <v>350</v>
      </c>
      <c r="L946" s="182"/>
      <c r="M946" s="183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  <c r="AF946" s="135"/>
      <c r="AG946" s="135"/>
      <c r="AH946" s="135"/>
      <c r="AI946" s="135"/>
      <c r="AJ946" s="135"/>
      <c r="AK946" s="135"/>
      <c r="AL946" s="135"/>
      <c r="AM946" s="135"/>
      <c r="AN946" s="135"/>
      <c r="AO946" s="135"/>
      <c r="AP946" s="135"/>
      <c r="AQ946" s="135"/>
      <c r="AR946" s="135"/>
      <c r="AS946" s="135"/>
      <c r="AT946" s="135"/>
      <c r="AU946" s="135"/>
    </row>
    <row r="947" spans="1:47" x14ac:dyDescent="0.2">
      <c r="A947" s="187"/>
      <c r="B947" s="188"/>
      <c r="C947" s="189"/>
      <c r="D947" s="190"/>
      <c r="E947" s="191"/>
      <c r="F947" s="191"/>
      <c r="G947" s="190"/>
      <c r="H947" s="190"/>
      <c r="I947" s="202"/>
      <c r="J947" s="203"/>
      <c r="K947" s="194">
        <f>SUM(K943:K946)</f>
        <v>3500</v>
      </c>
      <c r="L947" s="195"/>
      <c r="M947" s="196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  <c r="AF947" s="135"/>
      <c r="AG947" s="135"/>
      <c r="AH947" s="135"/>
      <c r="AI947" s="135"/>
      <c r="AJ947" s="135"/>
      <c r="AK947" s="135"/>
      <c r="AL947" s="135"/>
      <c r="AM947" s="135"/>
      <c r="AN947" s="135"/>
      <c r="AO947" s="135"/>
      <c r="AP947" s="135"/>
      <c r="AQ947" s="135"/>
      <c r="AR947" s="135"/>
      <c r="AS947" s="135"/>
      <c r="AT947" s="135"/>
      <c r="AU947" s="135"/>
    </row>
    <row r="948" spans="1:47" ht="23.25" customHeight="1" x14ac:dyDescent="0.2">
      <c r="A948" s="163">
        <v>215</v>
      </c>
      <c r="B948" s="164" t="s">
        <v>1279</v>
      </c>
      <c r="C948" s="165"/>
      <c r="D948" s="166" t="s">
        <v>107</v>
      </c>
      <c r="E948" s="167"/>
      <c r="F948" s="167"/>
      <c r="G948" s="166"/>
      <c r="H948" s="166"/>
      <c r="I948" s="299" t="s">
        <v>1280</v>
      </c>
      <c r="J948" s="262" t="s">
        <v>768</v>
      </c>
      <c r="K948" s="205">
        <f>3500*50%</f>
        <v>1750</v>
      </c>
      <c r="L948" s="171" t="s">
        <v>111</v>
      </c>
      <c r="M948" s="172" t="s">
        <v>1281</v>
      </c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  <c r="AF948" s="135"/>
      <c r="AG948" s="135"/>
      <c r="AH948" s="135"/>
      <c r="AI948" s="135"/>
      <c r="AJ948" s="135"/>
      <c r="AK948" s="135"/>
      <c r="AL948" s="135"/>
      <c r="AM948" s="135"/>
      <c r="AN948" s="135"/>
      <c r="AO948" s="135"/>
      <c r="AP948" s="135"/>
      <c r="AQ948" s="135"/>
      <c r="AR948" s="135"/>
      <c r="AS948" s="135"/>
      <c r="AT948" s="135"/>
      <c r="AU948" s="135"/>
    </row>
    <row r="949" spans="1:47" x14ac:dyDescent="0.2">
      <c r="A949" s="174"/>
      <c r="B949" s="175"/>
      <c r="C949" s="176"/>
      <c r="D949" s="177"/>
      <c r="E949" s="178"/>
      <c r="F949" s="178"/>
      <c r="G949" s="177"/>
      <c r="H949" s="177"/>
      <c r="I949" s="186" t="s">
        <v>1282</v>
      </c>
      <c r="J949" s="206" t="s">
        <v>781</v>
      </c>
      <c r="K949" s="207">
        <f>3500*10%</f>
        <v>350</v>
      </c>
      <c r="L949" s="182"/>
      <c r="M949" s="183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  <c r="AF949" s="135"/>
      <c r="AG949" s="135"/>
      <c r="AH949" s="135"/>
      <c r="AI949" s="135"/>
      <c r="AJ949" s="135"/>
      <c r="AK949" s="135"/>
      <c r="AL949" s="135"/>
      <c r="AM949" s="135"/>
      <c r="AN949" s="135"/>
      <c r="AO949" s="135"/>
      <c r="AP949" s="135"/>
      <c r="AQ949" s="135"/>
      <c r="AR949" s="135"/>
      <c r="AS949" s="135"/>
      <c r="AT949" s="135"/>
      <c r="AU949" s="135"/>
    </row>
    <row r="950" spans="1:47" x14ac:dyDescent="0.2">
      <c r="A950" s="174"/>
      <c r="B950" s="175"/>
      <c r="C950" s="176"/>
      <c r="D950" s="177"/>
      <c r="E950" s="178"/>
      <c r="F950" s="178"/>
      <c r="G950" s="177"/>
      <c r="H950" s="177"/>
      <c r="I950" s="186" t="s">
        <v>1283</v>
      </c>
      <c r="J950" s="206" t="s">
        <v>781</v>
      </c>
      <c r="K950" s="207">
        <f>3500*10%</f>
        <v>350</v>
      </c>
      <c r="L950" s="182"/>
      <c r="M950" s="183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  <c r="AF950" s="135"/>
      <c r="AG950" s="135"/>
      <c r="AH950" s="135"/>
      <c r="AI950" s="135"/>
      <c r="AJ950" s="135"/>
      <c r="AK950" s="135"/>
      <c r="AL950" s="135"/>
      <c r="AM950" s="135"/>
      <c r="AN950" s="135"/>
      <c r="AO950" s="135"/>
      <c r="AP950" s="135"/>
      <c r="AQ950" s="135"/>
      <c r="AR950" s="135"/>
      <c r="AS950" s="135"/>
      <c r="AT950" s="135"/>
      <c r="AU950" s="135"/>
    </row>
    <row r="951" spans="1:47" x14ac:dyDescent="0.2">
      <c r="A951" s="174"/>
      <c r="B951" s="175"/>
      <c r="C951" s="176"/>
      <c r="D951" s="177"/>
      <c r="E951" s="178"/>
      <c r="F951" s="178"/>
      <c r="G951" s="177"/>
      <c r="H951" s="177"/>
      <c r="I951" s="186" t="s">
        <v>1284</v>
      </c>
      <c r="J951" s="206" t="s">
        <v>781</v>
      </c>
      <c r="K951" s="207">
        <f>3500*10%</f>
        <v>350</v>
      </c>
      <c r="L951" s="182"/>
      <c r="M951" s="183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  <c r="AF951" s="135"/>
      <c r="AG951" s="135"/>
      <c r="AH951" s="135"/>
      <c r="AI951" s="135"/>
      <c r="AJ951" s="135"/>
      <c r="AK951" s="135"/>
      <c r="AL951" s="135"/>
      <c r="AM951" s="135"/>
      <c r="AN951" s="135"/>
      <c r="AO951" s="135"/>
      <c r="AP951" s="135"/>
      <c r="AQ951" s="135"/>
      <c r="AR951" s="135"/>
      <c r="AS951" s="135"/>
      <c r="AT951" s="135"/>
      <c r="AU951" s="135"/>
    </row>
    <row r="952" spans="1:47" x14ac:dyDescent="0.2">
      <c r="A952" s="174"/>
      <c r="B952" s="175"/>
      <c r="C952" s="176"/>
      <c r="D952" s="177"/>
      <c r="E952" s="178"/>
      <c r="F952" s="178"/>
      <c r="G952" s="177"/>
      <c r="H952" s="177"/>
      <c r="I952" s="186" t="s">
        <v>1263</v>
      </c>
      <c r="J952" s="206" t="s">
        <v>781</v>
      </c>
      <c r="K952" s="207">
        <f>3500*10%</f>
        <v>350</v>
      </c>
      <c r="L952" s="182"/>
      <c r="M952" s="183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  <c r="AF952" s="135"/>
      <c r="AG952" s="135"/>
      <c r="AH952" s="135"/>
      <c r="AI952" s="135"/>
      <c r="AJ952" s="135"/>
      <c r="AK952" s="135"/>
      <c r="AL952" s="135"/>
      <c r="AM952" s="135"/>
      <c r="AN952" s="135"/>
      <c r="AO952" s="135"/>
      <c r="AP952" s="135"/>
      <c r="AQ952" s="135"/>
      <c r="AR952" s="135"/>
      <c r="AS952" s="135"/>
      <c r="AT952" s="135"/>
      <c r="AU952" s="135"/>
    </row>
    <row r="953" spans="1:47" x14ac:dyDescent="0.2">
      <c r="A953" s="174"/>
      <c r="B953" s="175"/>
      <c r="C953" s="176"/>
      <c r="D953" s="177"/>
      <c r="E953" s="178"/>
      <c r="F953" s="178"/>
      <c r="G953" s="177"/>
      <c r="H953" s="177"/>
      <c r="I953" s="186" t="s">
        <v>1285</v>
      </c>
      <c r="J953" s="206" t="s">
        <v>781</v>
      </c>
      <c r="K953" s="207">
        <f>3500*10%</f>
        <v>350</v>
      </c>
      <c r="L953" s="182"/>
      <c r="M953" s="183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  <c r="AF953" s="135"/>
      <c r="AG953" s="135"/>
      <c r="AH953" s="135"/>
      <c r="AI953" s="135"/>
      <c r="AJ953" s="135"/>
      <c r="AK953" s="135"/>
      <c r="AL953" s="135"/>
      <c r="AM953" s="135"/>
      <c r="AN953" s="135"/>
      <c r="AO953" s="135"/>
      <c r="AP953" s="135"/>
      <c r="AQ953" s="135"/>
      <c r="AR953" s="135"/>
      <c r="AS953" s="135"/>
      <c r="AT953" s="135"/>
      <c r="AU953" s="135"/>
    </row>
    <row r="954" spans="1:47" x14ac:dyDescent="0.2">
      <c r="A954" s="187"/>
      <c r="B954" s="188"/>
      <c r="C954" s="189"/>
      <c r="D954" s="190"/>
      <c r="E954" s="191"/>
      <c r="F954" s="191"/>
      <c r="G954" s="190"/>
      <c r="H954" s="190"/>
      <c r="I954" s="202"/>
      <c r="J954" s="203"/>
      <c r="K954" s="194">
        <f>SUM(K948:K953)</f>
        <v>3500</v>
      </c>
      <c r="L954" s="195"/>
      <c r="M954" s="196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  <c r="AF954" s="135"/>
      <c r="AG954" s="135"/>
      <c r="AH954" s="135"/>
      <c r="AI954" s="135"/>
      <c r="AJ954" s="135"/>
      <c r="AK954" s="135"/>
      <c r="AL954" s="135"/>
      <c r="AM954" s="135"/>
      <c r="AN954" s="135"/>
      <c r="AO954" s="135"/>
      <c r="AP954" s="135"/>
      <c r="AQ954" s="135"/>
      <c r="AR954" s="135"/>
      <c r="AS954" s="135"/>
      <c r="AT954" s="135"/>
      <c r="AU954" s="135"/>
    </row>
    <row r="955" spans="1:47" ht="25.5" customHeight="1" x14ac:dyDescent="0.2">
      <c r="A955" s="163">
        <v>216</v>
      </c>
      <c r="B955" s="164" t="s">
        <v>1286</v>
      </c>
      <c r="C955" s="165"/>
      <c r="D955" s="166" t="s">
        <v>107</v>
      </c>
      <c r="E955" s="167"/>
      <c r="F955" s="167"/>
      <c r="G955" s="166"/>
      <c r="H955" s="166" t="s">
        <v>137</v>
      </c>
      <c r="I955" s="299" t="s">
        <v>1287</v>
      </c>
      <c r="J955" s="262" t="s">
        <v>768</v>
      </c>
      <c r="K955" s="211">
        <f>4000*80%</f>
        <v>3200</v>
      </c>
      <c r="L955" s="171" t="s">
        <v>111</v>
      </c>
      <c r="M955" s="172" t="s">
        <v>1288</v>
      </c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  <c r="AF955" s="135"/>
      <c r="AG955" s="135"/>
      <c r="AH955" s="135"/>
      <c r="AI955" s="135"/>
      <c r="AJ955" s="135"/>
      <c r="AK955" s="135"/>
      <c r="AL955" s="135"/>
      <c r="AM955" s="135"/>
      <c r="AN955" s="135"/>
      <c r="AO955" s="135"/>
      <c r="AP955" s="135"/>
      <c r="AQ955" s="135"/>
      <c r="AR955" s="135"/>
      <c r="AS955" s="135"/>
      <c r="AT955" s="135"/>
      <c r="AU955" s="135"/>
    </row>
    <row r="956" spans="1:47" x14ac:dyDescent="0.2">
      <c r="A956" s="174"/>
      <c r="B956" s="175"/>
      <c r="C956" s="176"/>
      <c r="D956" s="177"/>
      <c r="E956" s="178"/>
      <c r="F956" s="178"/>
      <c r="G956" s="177"/>
      <c r="H956" s="177"/>
      <c r="I956" s="186" t="s">
        <v>1289</v>
      </c>
      <c r="J956" s="206" t="s">
        <v>781</v>
      </c>
      <c r="K956" s="226">
        <f>4000*10%</f>
        <v>400</v>
      </c>
      <c r="L956" s="182"/>
      <c r="M956" s="183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  <c r="AF956" s="135"/>
      <c r="AG956" s="135"/>
      <c r="AH956" s="135"/>
      <c r="AI956" s="135"/>
      <c r="AJ956" s="135"/>
      <c r="AK956" s="135"/>
      <c r="AL956" s="135"/>
      <c r="AM956" s="135"/>
      <c r="AN956" s="135"/>
      <c r="AO956" s="135"/>
      <c r="AP956" s="135"/>
      <c r="AQ956" s="135"/>
      <c r="AR956" s="135"/>
      <c r="AS956" s="135"/>
      <c r="AT956" s="135"/>
      <c r="AU956" s="135"/>
    </row>
    <row r="957" spans="1:47" x14ac:dyDescent="0.2">
      <c r="A957" s="174"/>
      <c r="B957" s="175"/>
      <c r="C957" s="176"/>
      <c r="D957" s="177"/>
      <c r="E957" s="178"/>
      <c r="F957" s="178"/>
      <c r="G957" s="177"/>
      <c r="H957" s="177"/>
      <c r="I957" s="186" t="s">
        <v>1290</v>
      </c>
      <c r="J957" s="206" t="s">
        <v>781</v>
      </c>
      <c r="K957" s="226">
        <f>4000*10%</f>
        <v>400</v>
      </c>
      <c r="L957" s="182"/>
      <c r="M957" s="183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  <c r="AF957" s="135"/>
      <c r="AG957" s="135"/>
      <c r="AH957" s="135"/>
      <c r="AI957" s="135"/>
      <c r="AJ957" s="135"/>
      <c r="AK957" s="135"/>
      <c r="AL957" s="135"/>
      <c r="AM957" s="135"/>
      <c r="AN957" s="135"/>
      <c r="AO957" s="135"/>
      <c r="AP957" s="135"/>
      <c r="AQ957" s="135"/>
      <c r="AR957" s="135"/>
      <c r="AS957" s="135"/>
      <c r="AT957" s="135"/>
      <c r="AU957" s="135"/>
    </row>
    <row r="958" spans="1:47" x14ac:dyDescent="0.2">
      <c r="A958" s="187"/>
      <c r="B958" s="188"/>
      <c r="C958" s="189"/>
      <c r="D958" s="190"/>
      <c r="E958" s="191"/>
      <c r="F958" s="191"/>
      <c r="G958" s="190"/>
      <c r="H958" s="190"/>
      <c r="I958" s="202"/>
      <c r="J958" s="203"/>
      <c r="K958" s="216">
        <f>SUM(K955:K957)</f>
        <v>4000</v>
      </c>
      <c r="L958" s="195"/>
      <c r="M958" s="196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  <c r="AF958" s="135"/>
      <c r="AG958" s="135"/>
      <c r="AH958" s="135"/>
      <c r="AI958" s="135"/>
      <c r="AJ958" s="135"/>
      <c r="AK958" s="135"/>
      <c r="AL958" s="135"/>
      <c r="AM958" s="135"/>
      <c r="AN958" s="135"/>
      <c r="AO958" s="135"/>
      <c r="AP958" s="135"/>
      <c r="AQ958" s="135"/>
      <c r="AR958" s="135"/>
      <c r="AS958" s="135"/>
      <c r="AT958" s="135"/>
      <c r="AU958" s="135"/>
    </row>
    <row r="959" spans="1:47" ht="23.25" customHeight="1" x14ac:dyDescent="0.2">
      <c r="A959" s="163">
        <v>217</v>
      </c>
      <c r="B959" s="164" t="s">
        <v>1291</v>
      </c>
      <c r="C959" s="165"/>
      <c r="D959" s="166" t="s">
        <v>107</v>
      </c>
      <c r="E959" s="167"/>
      <c r="F959" s="167"/>
      <c r="G959" s="167"/>
      <c r="H959" s="167"/>
      <c r="I959" s="299" t="s">
        <v>1292</v>
      </c>
      <c r="J959" s="262" t="s">
        <v>768</v>
      </c>
      <c r="K959" s="205">
        <f>3500*70%</f>
        <v>2450</v>
      </c>
      <c r="L959" s="171" t="s">
        <v>111</v>
      </c>
      <c r="M959" s="172" t="s">
        <v>1293</v>
      </c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  <c r="AF959" s="135"/>
      <c r="AG959" s="135"/>
      <c r="AH959" s="135"/>
      <c r="AI959" s="135"/>
      <c r="AJ959" s="135"/>
      <c r="AK959" s="135"/>
      <c r="AL959" s="135"/>
      <c r="AM959" s="135"/>
      <c r="AN959" s="135"/>
      <c r="AO959" s="135"/>
      <c r="AP959" s="135"/>
      <c r="AQ959" s="135"/>
      <c r="AR959" s="135"/>
      <c r="AS959" s="135"/>
      <c r="AT959" s="135"/>
      <c r="AU959" s="135"/>
    </row>
    <row r="960" spans="1:47" x14ac:dyDescent="0.2">
      <c r="A960" s="174"/>
      <c r="B960" s="175"/>
      <c r="C960" s="176"/>
      <c r="D960" s="177"/>
      <c r="E960" s="178"/>
      <c r="F960" s="178"/>
      <c r="G960" s="178"/>
      <c r="H960" s="178"/>
      <c r="I960" s="186" t="s">
        <v>1294</v>
      </c>
      <c r="J960" s="206" t="s">
        <v>781</v>
      </c>
      <c r="K960" s="207">
        <f>3500*30%</f>
        <v>1050</v>
      </c>
      <c r="L960" s="182"/>
      <c r="M960" s="183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  <c r="AF960" s="135"/>
      <c r="AG960" s="135"/>
      <c r="AH960" s="135"/>
      <c r="AI960" s="135"/>
      <c r="AJ960" s="135"/>
      <c r="AK960" s="135"/>
      <c r="AL960" s="135"/>
      <c r="AM960" s="135"/>
      <c r="AN960" s="135"/>
      <c r="AO960" s="135"/>
      <c r="AP960" s="135"/>
      <c r="AQ960" s="135"/>
      <c r="AR960" s="135"/>
      <c r="AS960" s="135"/>
      <c r="AT960" s="135"/>
      <c r="AU960" s="135"/>
    </row>
    <row r="961" spans="1:47" x14ac:dyDescent="0.2">
      <c r="A961" s="187"/>
      <c r="B961" s="188"/>
      <c r="C961" s="189"/>
      <c r="D961" s="190"/>
      <c r="E961" s="191"/>
      <c r="F961" s="191"/>
      <c r="G961" s="191"/>
      <c r="H961" s="191"/>
      <c r="I961" s="202"/>
      <c r="J961" s="203"/>
      <c r="K961" s="194">
        <f>SUM(K959:K960)</f>
        <v>3500</v>
      </c>
      <c r="L961" s="195"/>
      <c r="M961" s="196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  <c r="AF961" s="135"/>
      <c r="AG961" s="135"/>
      <c r="AH961" s="135"/>
      <c r="AI961" s="135"/>
      <c r="AJ961" s="135"/>
      <c r="AK961" s="135"/>
      <c r="AL961" s="135"/>
      <c r="AM961" s="135"/>
      <c r="AN961" s="135"/>
      <c r="AO961" s="135"/>
      <c r="AP961" s="135"/>
      <c r="AQ961" s="135"/>
      <c r="AR961" s="135"/>
      <c r="AS961" s="135"/>
      <c r="AT961" s="135"/>
      <c r="AU961" s="135"/>
    </row>
    <row r="962" spans="1:47" ht="23.25" customHeight="1" x14ac:dyDescent="0.2">
      <c r="A962" s="163">
        <v>218</v>
      </c>
      <c r="B962" s="164" t="s">
        <v>1295</v>
      </c>
      <c r="C962" s="165"/>
      <c r="D962" s="166" t="s">
        <v>107</v>
      </c>
      <c r="E962" s="167"/>
      <c r="F962" s="167"/>
      <c r="G962" s="166"/>
      <c r="H962" s="166"/>
      <c r="I962" s="299" t="s">
        <v>1296</v>
      </c>
      <c r="J962" s="262" t="s">
        <v>768</v>
      </c>
      <c r="K962" s="205">
        <f>3500*70%</f>
        <v>2450</v>
      </c>
      <c r="L962" s="171" t="s">
        <v>111</v>
      </c>
      <c r="M962" s="172" t="s">
        <v>1297</v>
      </c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  <c r="AF962" s="135"/>
      <c r="AG962" s="135"/>
      <c r="AH962" s="135"/>
      <c r="AI962" s="135"/>
      <c r="AJ962" s="135"/>
      <c r="AK962" s="135"/>
      <c r="AL962" s="135"/>
      <c r="AM962" s="135"/>
      <c r="AN962" s="135"/>
      <c r="AO962" s="135"/>
      <c r="AP962" s="135"/>
      <c r="AQ962" s="135"/>
      <c r="AR962" s="135"/>
      <c r="AS962" s="135"/>
      <c r="AT962" s="135"/>
      <c r="AU962" s="135"/>
    </row>
    <row r="963" spans="1:47" x14ac:dyDescent="0.2">
      <c r="A963" s="174"/>
      <c r="B963" s="175"/>
      <c r="C963" s="176"/>
      <c r="D963" s="177"/>
      <c r="E963" s="178"/>
      <c r="F963" s="178"/>
      <c r="G963" s="177"/>
      <c r="H963" s="177"/>
      <c r="I963" s="186" t="s">
        <v>1298</v>
      </c>
      <c r="J963" s="206" t="s">
        <v>781</v>
      </c>
      <c r="K963" s="207">
        <f>3500*30%</f>
        <v>1050</v>
      </c>
      <c r="L963" s="182"/>
      <c r="M963" s="183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  <c r="AF963" s="135"/>
      <c r="AG963" s="135"/>
      <c r="AH963" s="135"/>
      <c r="AI963" s="135"/>
      <c r="AJ963" s="135"/>
      <c r="AK963" s="135"/>
      <c r="AL963" s="135"/>
      <c r="AM963" s="135"/>
      <c r="AN963" s="135"/>
      <c r="AO963" s="135"/>
      <c r="AP963" s="135"/>
      <c r="AQ963" s="135"/>
      <c r="AR963" s="135"/>
      <c r="AS963" s="135"/>
      <c r="AT963" s="135"/>
      <c r="AU963" s="135"/>
    </row>
    <row r="964" spans="1:47" x14ac:dyDescent="0.2">
      <c r="A964" s="187"/>
      <c r="B964" s="188"/>
      <c r="C964" s="189"/>
      <c r="D964" s="190"/>
      <c r="E964" s="191"/>
      <c r="F964" s="191"/>
      <c r="G964" s="190"/>
      <c r="H964" s="190"/>
      <c r="I964" s="202"/>
      <c r="J964" s="203"/>
      <c r="K964" s="194">
        <f>SUM(K962:K963)</f>
        <v>3500</v>
      </c>
      <c r="L964" s="195"/>
      <c r="M964" s="196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  <c r="AF964" s="135"/>
      <c r="AG964" s="135"/>
      <c r="AH964" s="135"/>
      <c r="AI964" s="135"/>
      <c r="AJ964" s="135"/>
      <c r="AK964" s="135"/>
      <c r="AL964" s="135"/>
      <c r="AM964" s="135"/>
      <c r="AN964" s="135"/>
      <c r="AO964" s="135"/>
      <c r="AP964" s="135"/>
      <c r="AQ964" s="135"/>
      <c r="AR964" s="135"/>
      <c r="AS964" s="135"/>
      <c r="AT964" s="135"/>
      <c r="AU964" s="135"/>
    </row>
    <row r="965" spans="1:47" ht="24.75" customHeight="1" x14ac:dyDescent="0.2">
      <c r="A965" s="163">
        <v>219</v>
      </c>
      <c r="B965" s="164" t="s">
        <v>1299</v>
      </c>
      <c r="C965" s="165"/>
      <c r="D965" s="166" t="s">
        <v>107</v>
      </c>
      <c r="E965" s="167"/>
      <c r="F965" s="167"/>
      <c r="G965" s="167"/>
      <c r="H965" s="167"/>
      <c r="I965" s="299" t="s">
        <v>1300</v>
      </c>
      <c r="J965" s="262" t="s">
        <v>768</v>
      </c>
      <c r="K965" s="205">
        <f>3500*50%</f>
        <v>1750</v>
      </c>
      <c r="L965" s="171" t="s">
        <v>111</v>
      </c>
      <c r="M965" s="172" t="s">
        <v>1301</v>
      </c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  <c r="AF965" s="135"/>
      <c r="AG965" s="135"/>
      <c r="AH965" s="135"/>
      <c r="AI965" s="135"/>
      <c r="AJ965" s="135"/>
      <c r="AK965" s="135"/>
      <c r="AL965" s="135"/>
      <c r="AM965" s="135"/>
      <c r="AN965" s="135"/>
      <c r="AO965" s="135"/>
      <c r="AP965" s="135"/>
      <c r="AQ965" s="135"/>
      <c r="AR965" s="135"/>
      <c r="AS965" s="135"/>
      <c r="AT965" s="135"/>
      <c r="AU965" s="135"/>
    </row>
    <row r="966" spans="1:47" x14ac:dyDescent="0.2">
      <c r="A966" s="174"/>
      <c r="B966" s="175"/>
      <c r="C966" s="176"/>
      <c r="D966" s="177"/>
      <c r="E966" s="178"/>
      <c r="F966" s="178"/>
      <c r="G966" s="178"/>
      <c r="H966" s="178"/>
      <c r="I966" s="186" t="s">
        <v>1302</v>
      </c>
      <c r="J966" s="206" t="s">
        <v>781</v>
      </c>
      <c r="K966" s="207">
        <f>3500*20%</f>
        <v>700</v>
      </c>
      <c r="L966" s="182"/>
      <c r="M966" s="183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  <c r="AF966" s="135"/>
      <c r="AG966" s="135"/>
      <c r="AH966" s="135"/>
      <c r="AI966" s="135"/>
      <c r="AJ966" s="135"/>
      <c r="AK966" s="135"/>
      <c r="AL966" s="135"/>
      <c r="AM966" s="135"/>
      <c r="AN966" s="135"/>
      <c r="AO966" s="135"/>
      <c r="AP966" s="135"/>
      <c r="AQ966" s="135"/>
      <c r="AR966" s="135"/>
      <c r="AS966" s="135"/>
      <c r="AT966" s="135"/>
      <c r="AU966" s="135"/>
    </row>
    <row r="967" spans="1:47" x14ac:dyDescent="0.2">
      <c r="A967" s="174"/>
      <c r="B967" s="175"/>
      <c r="C967" s="176"/>
      <c r="D967" s="177"/>
      <c r="E967" s="178"/>
      <c r="F967" s="178"/>
      <c r="G967" s="178"/>
      <c r="H967" s="178"/>
      <c r="I967" s="186" t="s">
        <v>1303</v>
      </c>
      <c r="J967" s="206" t="s">
        <v>781</v>
      </c>
      <c r="K967" s="207">
        <f>3500*10%</f>
        <v>350</v>
      </c>
      <c r="L967" s="182"/>
      <c r="M967" s="183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  <c r="AF967" s="135"/>
      <c r="AG967" s="135"/>
      <c r="AH967" s="135"/>
      <c r="AI967" s="135"/>
      <c r="AJ967" s="135"/>
      <c r="AK967" s="135"/>
      <c r="AL967" s="135"/>
      <c r="AM967" s="135"/>
      <c r="AN967" s="135"/>
      <c r="AO967" s="135"/>
      <c r="AP967" s="135"/>
      <c r="AQ967" s="135"/>
      <c r="AR967" s="135"/>
      <c r="AS967" s="135"/>
      <c r="AT967" s="135"/>
      <c r="AU967" s="135"/>
    </row>
    <row r="968" spans="1:47" x14ac:dyDescent="0.2">
      <c r="A968" s="174"/>
      <c r="B968" s="175"/>
      <c r="C968" s="176"/>
      <c r="D968" s="177"/>
      <c r="E968" s="178"/>
      <c r="F968" s="178"/>
      <c r="G968" s="178"/>
      <c r="H968" s="178"/>
      <c r="I968" s="186" t="s">
        <v>1232</v>
      </c>
      <c r="J968" s="206" t="s">
        <v>781</v>
      </c>
      <c r="K968" s="207">
        <f>3500*10%</f>
        <v>350</v>
      </c>
      <c r="L968" s="182"/>
      <c r="M968" s="183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  <c r="AF968" s="135"/>
      <c r="AG968" s="135"/>
      <c r="AH968" s="135"/>
      <c r="AI968" s="135"/>
      <c r="AJ968" s="135"/>
      <c r="AK968" s="135"/>
      <c r="AL968" s="135"/>
      <c r="AM968" s="135"/>
      <c r="AN968" s="135"/>
      <c r="AO968" s="135"/>
      <c r="AP968" s="135"/>
      <c r="AQ968" s="135"/>
      <c r="AR968" s="135"/>
      <c r="AS968" s="135"/>
      <c r="AT968" s="135"/>
      <c r="AU968" s="135"/>
    </row>
    <row r="969" spans="1:47" x14ac:dyDescent="0.2">
      <c r="A969" s="174"/>
      <c r="B969" s="175"/>
      <c r="C969" s="176"/>
      <c r="D969" s="177"/>
      <c r="E969" s="178"/>
      <c r="F969" s="178"/>
      <c r="G969" s="178"/>
      <c r="H969" s="178"/>
      <c r="I969" s="186" t="s">
        <v>1304</v>
      </c>
      <c r="J969" s="206" t="s">
        <v>781</v>
      </c>
      <c r="K969" s="207">
        <f>3500*10%</f>
        <v>350</v>
      </c>
      <c r="L969" s="182"/>
      <c r="M969" s="183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  <c r="AF969" s="135"/>
      <c r="AG969" s="135"/>
      <c r="AH969" s="135"/>
      <c r="AI969" s="135"/>
      <c r="AJ969" s="135"/>
      <c r="AK969" s="135"/>
      <c r="AL969" s="135"/>
      <c r="AM969" s="135"/>
      <c r="AN969" s="135"/>
      <c r="AO969" s="135"/>
      <c r="AP969" s="135"/>
      <c r="AQ969" s="135"/>
      <c r="AR969" s="135"/>
      <c r="AS969" s="135"/>
      <c r="AT969" s="135"/>
      <c r="AU969" s="135"/>
    </row>
    <row r="970" spans="1:47" x14ac:dyDescent="0.2">
      <c r="A970" s="187"/>
      <c r="B970" s="188"/>
      <c r="C970" s="189"/>
      <c r="D970" s="190"/>
      <c r="E970" s="191"/>
      <c r="F970" s="191"/>
      <c r="G970" s="191"/>
      <c r="H970" s="191"/>
      <c r="I970" s="202"/>
      <c r="J970" s="203"/>
      <c r="K970" s="194">
        <f>SUM(K965:K969)</f>
        <v>3500</v>
      </c>
      <c r="L970" s="195"/>
      <c r="M970" s="196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  <c r="AF970" s="135"/>
      <c r="AG970" s="135"/>
      <c r="AH970" s="135"/>
      <c r="AI970" s="135"/>
      <c r="AJ970" s="135"/>
      <c r="AK970" s="135"/>
      <c r="AL970" s="135"/>
      <c r="AM970" s="135"/>
      <c r="AN970" s="135"/>
      <c r="AO970" s="135"/>
      <c r="AP970" s="135"/>
      <c r="AQ970" s="135"/>
      <c r="AR970" s="135"/>
      <c r="AS970" s="135"/>
      <c r="AT970" s="135"/>
      <c r="AU970" s="135"/>
    </row>
    <row r="971" spans="1:47" ht="23.25" customHeight="1" x14ac:dyDescent="0.2">
      <c r="A971" s="163">
        <v>220</v>
      </c>
      <c r="B971" s="164" t="s">
        <v>1305</v>
      </c>
      <c r="C971" s="165"/>
      <c r="D971" s="166" t="s">
        <v>107</v>
      </c>
      <c r="E971" s="167"/>
      <c r="F971" s="167"/>
      <c r="G971" s="167"/>
      <c r="H971" s="167"/>
      <c r="I971" s="299" t="s">
        <v>1306</v>
      </c>
      <c r="J971" s="262" t="s">
        <v>768</v>
      </c>
      <c r="K971" s="205">
        <f>4100*70%</f>
        <v>2870</v>
      </c>
      <c r="L971" s="171" t="s">
        <v>111</v>
      </c>
      <c r="M971" s="172" t="s">
        <v>1307</v>
      </c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  <c r="AF971" s="135"/>
      <c r="AG971" s="135"/>
      <c r="AH971" s="135"/>
      <c r="AI971" s="135"/>
      <c r="AJ971" s="135"/>
      <c r="AK971" s="135"/>
      <c r="AL971" s="135"/>
      <c r="AM971" s="135"/>
      <c r="AN971" s="135"/>
      <c r="AO971" s="135"/>
      <c r="AP971" s="135"/>
      <c r="AQ971" s="135"/>
      <c r="AR971" s="135"/>
      <c r="AS971" s="135"/>
      <c r="AT971" s="135"/>
      <c r="AU971" s="135"/>
    </row>
    <row r="972" spans="1:47" ht="48" x14ac:dyDescent="0.2">
      <c r="A972" s="174"/>
      <c r="B972" s="175"/>
      <c r="C972" s="176"/>
      <c r="D972" s="177"/>
      <c r="E972" s="178"/>
      <c r="F972" s="178"/>
      <c r="G972" s="178"/>
      <c r="H972" s="178"/>
      <c r="I972" s="186" t="s">
        <v>1308</v>
      </c>
      <c r="J972" s="206" t="s">
        <v>781</v>
      </c>
      <c r="K972" s="207">
        <f>4100*30%</f>
        <v>1230</v>
      </c>
      <c r="L972" s="182"/>
      <c r="M972" s="183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  <c r="AF972" s="135"/>
      <c r="AG972" s="135"/>
      <c r="AH972" s="135"/>
      <c r="AI972" s="135"/>
      <c r="AJ972" s="135"/>
      <c r="AK972" s="135"/>
      <c r="AL972" s="135"/>
      <c r="AM972" s="135"/>
      <c r="AN972" s="135"/>
      <c r="AO972" s="135"/>
      <c r="AP972" s="135"/>
      <c r="AQ972" s="135"/>
      <c r="AR972" s="135"/>
      <c r="AS972" s="135"/>
      <c r="AT972" s="135"/>
      <c r="AU972" s="135"/>
    </row>
    <row r="973" spans="1:47" x14ac:dyDescent="0.2">
      <c r="A973" s="187"/>
      <c r="B973" s="188"/>
      <c r="C973" s="189"/>
      <c r="D973" s="190"/>
      <c r="E973" s="191"/>
      <c r="F973" s="191"/>
      <c r="G973" s="191"/>
      <c r="H973" s="191"/>
      <c r="I973" s="202"/>
      <c r="J973" s="203"/>
      <c r="K973" s="194">
        <f>SUM(K971:K972)</f>
        <v>4100</v>
      </c>
      <c r="L973" s="195"/>
      <c r="M973" s="196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  <c r="AF973" s="135"/>
      <c r="AG973" s="135"/>
      <c r="AH973" s="135"/>
      <c r="AI973" s="135"/>
      <c r="AJ973" s="135"/>
      <c r="AK973" s="135"/>
      <c r="AL973" s="135"/>
      <c r="AM973" s="135"/>
      <c r="AN973" s="135"/>
      <c r="AO973" s="135"/>
      <c r="AP973" s="135"/>
      <c r="AQ973" s="135"/>
      <c r="AR973" s="135"/>
      <c r="AS973" s="135"/>
      <c r="AT973" s="135"/>
      <c r="AU973" s="135"/>
    </row>
    <row r="974" spans="1:47" ht="22.5" customHeight="1" x14ac:dyDescent="0.2">
      <c r="A974" s="163">
        <v>221</v>
      </c>
      <c r="B974" s="164" t="s">
        <v>1309</v>
      </c>
      <c r="C974" s="165"/>
      <c r="D974" s="166" t="s">
        <v>107</v>
      </c>
      <c r="E974" s="167"/>
      <c r="F974" s="167"/>
      <c r="G974" s="167"/>
      <c r="H974" s="167"/>
      <c r="I974" s="299" t="s">
        <v>1310</v>
      </c>
      <c r="J974" s="262" t="s">
        <v>768</v>
      </c>
      <c r="K974" s="205">
        <f>3700*40%</f>
        <v>1480</v>
      </c>
      <c r="L974" s="171" t="s">
        <v>111</v>
      </c>
      <c r="M974" s="172" t="s">
        <v>1311</v>
      </c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  <c r="AF974" s="135"/>
      <c r="AG974" s="135"/>
      <c r="AH974" s="135"/>
      <c r="AI974" s="135"/>
      <c r="AJ974" s="135"/>
      <c r="AK974" s="135"/>
      <c r="AL974" s="135"/>
      <c r="AM974" s="135"/>
      <c r="AN974" s="135"/>
      <c r="AO974" s="135"/>
      <c r="AP974" s="135"/>
      <c r="AQ974" s="135"/>
      <c r="AR974" s="135"/>
      <c r="AS974" s="135"/>
      <c r="AT974" s="135"/>
      <c r="AU974" s="135"/>
    </row>
    <row r="975" spans="1:47" x14ac:dyDescent="0.2">
      <c r="A975" s="174"/>
      <c r="B975" s="175"/>
      <c r="C975" s="176"/>
      <c r="D975" s="177"/>
      <c r="E975" s="178"/>
      <c r="F975" s="178"/>
      <c r="G975" s="178"/>
      <c r="H975" s="178"/>
      <c r="I975" s="186" t="s">
        <v>1312</v>
      </c>
      <c r="J975" s="206" t="s">
        <v>781</v>
      </c>
      <c r="K975" s="207">
        <f t="shared" ref="K975:K980" si="13">3700*10%</f>
        <v>370</v>
      </c>
      <c r="L975" s="182"/>
      <c r="M975" s="183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  <c r="AF975" s="135"/>
      <c r="AG975" s="135"/>
      <c r="AH975" s="135"/>
      <c r="AI975" s="135"/>
      <c r="AJ975" s="135"/>
      <c r="AK975" s="135"/>
      <c r="AL975" s="135"/>
      <c r="AM975" s="135"/>
      <c r="AN975" s="135"/>
      <c r="AO975" s="135"/>
      <c r="AP975" s="135"/>
      <c r="AQ975" s="135"/>
      <c r="AR975" s="135"/>
      <c r="AS975" s="135"/>
      <c r="AT975" s="135"/>
      <c r="AU975" s="135"/>
    </row>
    <row r="976" spans="1:47" ht="48" x14ac:dyDescent="0.2">
      <c r="A976" s="174"/>
      <c r="B976" s="175"/>
      <c r="C976" s="176"/>
      <c r="D976" s="177"/>
      <c r="E976" s="178"/>
      <c r="F976" s="178"/>
      <c r="G976" s="178"/>
      <c r="H976" s="178"/>
      <c r="I976" s="186" t="s">
        <v>1313</v>
      </c>
      <c r="J976" s="206" t="s">
        <v>781</v>
      </c>
      <c r="K976" s="207">
        <f t="shared" si="13"/>
        <v>370</v>
      </c>
      <c r="L976" s="182"/>
      <c r="M976" s="183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  <c r="AF976" s="135"/>
      <c r="AG976" s="135"/>
      <c r="AH976" s="135"/>
      <c r="AI976" s="135"/>
      <c r="AJ976" s="135"/>
      <c r="AK976" s="135"/>
      <c r="AL976" s="135"/>
      <c r="AM976" s="135"/>
      <c r="AN976" s="135"/>
      <c r="AO976" s="135"/>
      <c r="AP976" s="135"/>
      <c r="AQ976" s="135"/>
      <c r="AR976" s="135"/>
      <c r="AS976" s="135"/>
      <c r="AT976" s="135"/>
      <c r="AU976" s="135"/>
    </row>
    <row r="977" spans="1:47" ht="48" x14ac:dyDescent="0.2">
      <c r="A977" s="174"/>
      <c r="B977" s="175"/>
      <c r="C977" s="176"/>
      <c r="D977" s="177"/>
      <c r="E977" s="178"/>
      <c r="F977" s="178"/>
      <c r="G977" s="178"/>
      <c r="H977" s="178"/>
      <c r="I977" s="186" t="s">
        <v>1314</v>
      </c>
      <c r="J977" s="206" t="s">
        <v>781</v>
      </c>
      <c r="K977" s="207">
        <f t="shared" si="13"/>
        <v>370</v>
      </c>
      <c r="L977" s="182"/>
      <c r="M977" s="183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  <c r="AF977" s="135"/>
      <c r="AG977" s="135"/>
      <c r="AH977" s="135"/>
      <c r="AI977" s="135"/>
      <c r="AJ977" s="135"/>
      <c r="AK977" s="135"/>
      <c r="AL977" s="135"/>
      <c r="AM977" s="135"/>
      <c r="AN977" s="135"/>
      <c r="AO977" s="135"/>
      <c r="AP977" s="135"/>
      <c r="AQ977" s="135"/>
      <c r="AR977" s="135"/>
      <c r="AS977" s="135"/>
      <c r="AT977" s="135"/>
      <c r="AU977" s="135"/>
    </row>
    <row r="978" spans="1:47" ht="48" x14ac:dyDescent="0.2">
      <c r="A978" s="174"/>
      <c r="B978" s="175"/>
      <c r="C978" s="176"/>
      <c r="D978" s="177"/>
      <c r="E978" s="178"/>
      <c r="F978" s="178"/>
      <c r="G978" s="178"/>
      <c r="H978" s="178"/>
      <c r="I978" s="186" t="s">
        <v>1315</v>
      </c>
      <c r="J978" s="206" t="s">
        <v>781</v>
      </c>
      <c r="K978" s="207">
        <f t="shared" si="13"/>
        <v>370</v>
      </c>
      <c r="L978" s="182"/>
      <c r="M978" s="183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  <c r="AF978" s="135"/>
      <c r="AG978" s="135"/>
      <c r="AH978" s="135"/>
      <c r="AI978" s="135"/>
      <c r="AJ978" s="135"/>
      <c r="AK978" s="135"/>
      <c r="AL978" s="135"/>
      <c r="AM978" s="135"/>
      <c r="AN978" s="135"/>
      <c r="AO978" s="135"/>
      <c r="AP978" s="135"/>
      <c r="AQ978" s="135"/>
      <c r="AR978" s="135"/>
      <c r="AS978" s="135"/>
      <c r="AT978" s="135"/>
      <c r="AU978" s="135"/>
    </row>
    <row r="979" spans="1:47" x14ac:dyDescent="0.2">
      <c r="A979" s="174"/>
      <c r="B979" s="175"/>
      <c r="C979" s="176"/>
      <c r="D979" s="177"/>
      <c r="E979" s="178"/>
      <c r="F979" s="178"/>
      <c r="G979" s="178"/>
      <c r="H979" s="178"/>
      <c r="I979" s="186" t="s">
        <v>1316</v>
      </c>
      <c r="J979" s="206" t="s">
        <v>781</v>
      </c>
      <c r="K979" s="207">
        <f t="shared" si="13"/>
        <v>370</v>
      </c>
      <c r="L979" s="182"/>
      <c r="M979" s="183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  <c r="AF979" s="135"/>
      <c r="AG979" s="135"/>
      <c r="AH979" s="135"/>
      <c r="AI979" s="135"/>
      <c r="AJ979" s="135"/>
      <c r="AK979" s="135"/>
      <c r="AL979" s="135"/>
      <c r="AM979" s="135"/>
      <c r="AN979" s="135"/>
      <c r="AO979" s="135"/>
      <c r="AP979" s="135"/>
      <c r="AQ979" s="135"/>
      <c r="AR979" s="135"/>
      <c r="AS979" s="135"/>
      <c r="AT979" s="135"/>
      <c r="AU979" s="135"/>
    </row>
    <row r="980" spans="1:47" x14ac:dyDescent="0.2">
      <c r="A980" s="174"/>
      <c r="B980" s="175"/>
      <c r="C980" s="176"/>
      <c r="D980" s="177"/>
      <c r="E980" s="178"/>
      <c r="F980" s="178"/>
      <c r="G980" s="178"/>
      <c r="H980" s="178"/>
      <c r="I980" s="186" t="s">
        <v>1317</v>
      </c>
      <c r="J980" s="206" t="s">
        <v>781</v>
      </c>
      <c r="K980" s="207">
        <f t="shared" si="13"/>
        <v>370</v>
      </c>
      <c r="L980" s="182"/>
      <c r="M980" s="183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  <c r="AF980" s="135"/>
      <c r="AG980" s="135"/>
      <c r="AH980" s="135"/>
      <c r="AI980" s="135"/>
      <c r="AJ980" s="135"/>
      <c r="AK980" s="135"/>
      <c r="AL980" s="135"/>
      <c r="AM980" s="135"/>
      <c r="AN980" s="135"/>
      <c r="AO980" s="135"/>
      <c r="AP980" s="135"/>
      <c r="AQ980" s="135"/>
      <c r="AR980" s="135"/>
      <c r="AS980" s="135"/>
      <c r="AT980" s="135"/>
      <c r="AU980" s="135"/>
    </row>
    <row r="981" spans="1:47" x14ac:dyDescent="0.2">
      <c r="A981" s="187"/>
      <c r="B981" s="188"/>
      <c r="C981" s="189"/>
      <c r="D981" s="190"/>
      <c r="E981" s="191"/>
      <c r="F981" s="191"/>
      <c r="G981" s="191"/>
      <c r="H981" s="191"/>
      <c r="I981" s="202"/>
      <c r="J981" s="203"/>
      <c r="K981" s="194">
        <f>SUM(K974:K980)</f>
        <v>3700</v>
      </c>
      <c r="L981" s="195"/>
      <c r="M981" s="196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  <c r="AF981" s="135"/>
      <c r="AG981" s="135"/>
      <c r="AH981" s="135"/>
      <c r="AI981" s="135"/>
      <c r="AJ981" s="135"/>
      <c r="AK981" s="135"/>
      <c r="AL981" s="135"/>
      <c r="AM981" s="135"/>
      <c r="AN981" s="135"/>
      <c r="AO981" s="135"/>
      <c r="AP981" s="135"/>
      <c r="AQ981" s="135"/>
      <c r="AR981" s="135"/>
      <c r="AS981" s="135"/>
      <c r="AT981" s="135"/>
      <c r="AU981" s="135"/>
    </row>
    <row r="982" spans="1:47" ht="24.75" customHeight="1" x14ac:dyDescent="0.2">
      <c r="A982" s="163">
        <v>222</v>
      </c>
      <c r="B982" s="164" t="s">
        <v>1318</v>
      </c>
      <c r="C982" s="165"/>
      <c r="D982" s="166" t="s">
        <v>107</v>
      </c>
      <c r="E982" s="167"/>
      <c r="F982" s="167"/>
      <c r="G982" s="166"/>
      <c r="H982" s="166"/>
      <c r="I982" s="299" t="s">
        <v>1319</v>
      </c>
      <c r="J982" s="262" t="s">
        <v>768</v>
      </c>
      <c r="K982" s="205">
        <f>3500*50%</f>
        <v>1750</v>
      </c>
      <c r="L982" s="171" t="s">
        <v>111</v>
      </c>
      <c r="M982" s="172" t="s">
        <v>1320</v>
      </c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  <c r="AF982" s="135"/>
      <c r="AG982" s="135"/>
      <c r="AH982" s="135"/>
      <c r="AI982" s="135"/>
      <c r="AJ982" s="135"/>
      <c r="AK982" s="135"/>
      <c r="AL982" s="135"/>
      <c r="AM982" s="135"/>
      <c r="AN982" s="135"/>
      <c r="AO982" s="135"/>
      <c r="AP982" s="135"/>
      <c r="AQ982" s="135"/>
      <c r="AR982" s="135"/>
      <c r="AS982" s="135"/>
      <c r="AT982" s="135"/>
      <c r="AU982" s="135"/>
    </row>
    <row r="983" spans="1:47" ht="23.25" customHeight="1" x14ac:dyDescent="0.2">
      <c r="A983" s="174"/>
      <c r="B983" s="175"/>
      <c r="C983" s="176"/>
      <c r="D983" s="177"/>
      <c r="E983" s="178"/>
      <c r="F983" s="178"/>
      <c r="G983" s="177"/>
      <c r="H983" s="177"/>
      <c r="I983" s="186" t="s">
        <v>1321</v>
      </c>
      <c r="J983" s="206" t="s">
        <v>768</v>
      </c>
      <c r="K983" s="207">
        <f>3500*25%</f>
        <v>875</v>
      </c>
      <c r="L983" s="182"/>
      <c r="M983" s="183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  <c r="AF983" s="135"/>
      <c r="AG983" s="135"/>
      <c r="AH983" s="135"/>
      <c r="AI983" s="135"/>
      <c r="AJ983" s="135"/>
      <c r="AK983" s="135"/>
      <c r="AL983" s="135"/>
      <c r="AM983" s="135"/>
      <c r="AN983" s="135"/>
      <c r="AO983" s="135"/>
      <c r="AP983" s="135"/>
      <c r="AQ983" s="135"/>
      <c r="AR983" s="135"/>
      <c r="AS983" s="135"/>
      <c r="AT983" s="135"/>
      <c r="AU983" s="135"/>
    </row>
    <row r="984" spans="1:47" x14ac:dyDescent="0.2">
      <c r="A984" s="174"/>
      <c r="B984" s="175"/>
      <c r="C984" s="176"/>
      <c r="D984" s="177"/>
      <c r="E984" s="178"/>
      <c r="F984" s="178"/>
      <c r="G984" s="177"/>
      <c r="H984" s="177"/>
      <c r="I984" s="186" t="s">
        <v>1322</v>
      </c>
      <c r="J984" s="206" t="s">
        <v>781</v>
      </c>
      <c r="K984" s="207">
        <f>3500*25%</f>
        <v>875</v>
      </c>
      <c r="L984" s="182"/>
      <c r="M984" s="183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  <c r="AF984" s="135"/>
      <c r="AG984" s="135"/>
      <c r="AH984" s="135"/>
      <c r="AI984" s="135"/>
      <c r="AJ984" s="135"/>
      <c r="AK984" s="135"/>
      <c r="AL984" s="135"/>
      <c r="AM984" s="135"/>
      <c r="AN984" s="135"/>
      <c r="AO984" s="135"/>
      <c r="AP984" s="135"/>
      <c r="AQ984" s="135"/>
      <c r="AR984" s="135"/>
      <c r="AS984" s="135"/>
      <c r="AT984" s="135"/>
      <c r="AU984" s="135"/>
    </row>
    <row r="985" spans="1:47" x14ac:dyDescent="0.2">
      <c r="A985" s="187"/>
      <c r="B985" s="188"/>
      <c r="C985" s="189"/>
      <c r="D985" s="190"/>
      <c r="E985" s="191"/>
      <c r="F985" s="191"/>
      <c r="G985" s="190"/>
      <c r="H985" s="190"/>
      <c r="I985" s="202"/>
      <c r="J985" s="203"/>
      <c r="K985" s="194">
        <f>SUM(K982:K984)</f>
        <v>3500</v>
      </c>
      <c r="L985" s="195"/>
      <c r="M985" s="196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  <c r="AF985" s="135"/>
      <c r="AG985" s="135"/>
      <c r="AH985" s="135"/>
      <c r="AI985" s="135"/>
      <c r="AJ985" s="135"/>
      <c r="AK985" s="135"/>
      <c r="AL985" s="135"/>
      <c r="AM985" s="135"/>
      <c r="AN985" s="135"/>
      <c r="AO985" s="135"/>
      <c r="AP985" s="135"/>
      <c r="AQ985" s="135"/>
      <c r="AR985" s="135"/>
      <c r="AS985" s="135"/>
      <c r="AT985" s="135"/>
      <c r="AU985" s="135"/>
    </row>
    <row r="986" spans="1:47" ht="21.75" customHeight="1" x14ac:dyDescent="0.2">
      <c r="A986" s="163">
        <v>223</v>
      </c>
      <c r="B986" s="164" t="s">
        <v>1323</v>
      </c>
      <c r="C986" s="165"/>
      <c r="D986" s="166" t="s">
        <v>107</v>
      </c>
      <c r="E986" s="167"/>
      <c r="F986" s="167"/>
      <c r="G986" s="167"/>
      <c r="H986" s="167"/>
      <c r="I986" s="299" t="s">
        <v>1324</v>
      </c>
      <c r="J986" s="262" t="s">
        <v>768</v>
      </c>
      <c r="K986" s="205">
        <f>4000*60%</f>
        <v>2400</v>
      </c>
      <c r="L986" s="171" t="s">
        <v>111</v>
      </c>
      <c r="M986" s="172" t="s">
        <v>1325</v>
      </c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  <c r="AF986" s="135"/>
      <c r="AG986" s="135"/>
      <c r="AH986" s="135"/>
      <c r="AI986" s="135"/>
      <c r="AJ986" s="135"/>
      <c r="AK986" s="135"/>
      <c r="AL986" s="135"/>
      <c r="AM986" s="135"/>
      <c r="AN986" s="135"/>
      <c r="AO986" s="135"/>
      <c r="AP986" s="135"/>
      <c r="AQ986" s="135"/>
      <c r="AR986" s="135"/>
      <c r="AS986" s="135"/>
      <c r="AT986" s="135"/>
      <c r="AU986" s="135"/>
    </row>
    <row r="987" spans="1:47" x14ac:dyDescent="0.2">
      <c r="A987" s="174"/>
      <c r="B987" s="175"/>
      <c r="C987" s="176"/>
      <c r="D987" s="177"/>
      <c r="E987" s="178"/>
      <c r="F987" s="178"/>
      <c r="G987" s="178"/>
      <c r="H987" s="178"/>
      <c r="I987" s="186" t="s">
        <v>1326</v>
      </c>
      <c r="J987" s="206" t="s">
        <v>781</v>
      </c>
      <c r="K987" s="207">
        <f t="shared" ref="K987:K994" si="14">4000*5%</f>
        <v>200</v>
      </c>
      <c r="L987" s="182"/>
      <c r="M987" s="183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  <c r="AF987" s="135"/>
      <c r="AG987" s="135"/>
      <c r="AH987" s="135"/>
      <c r="AI987" s="135"/>
      <c r="AJ987" s="135"/>
      <c r="AK987" s="135"/>
      <c r="AL987" s="135"/>
      <c r="AM987" s="135"/>
      <c r="AN987" s="135"/>
      <c r="AO987" s="135"/>
      <c r="AP987" s="135"/>
      <c r="AQ987" s="135"/>
      <c r="AR987" s="135"/>
      <c r="AS987" s="135"/>
      <c r="AT987" s="135"/>
      <c r="AU987" s="135"/>
    </row>
    <row r="988" spans="1:47" x14ac:dyDescent="0.2">
      <c r="A988" s="174"/>
      <c r="B988" s="175"/>
      <c r="C988" s="176"/>
      <c r="D988" s="177"/>
      <c r="E988" s="178"/>
      <c r="F988" s="178"/>
      <c r="G988" s="178"/>
      <c r="H988" s="178"/>
      <c r="I988" s="186" t="s">
        <v>1327</v>
      </c>
      <c r="J988" s="206" t="s">
        <v>781</v>
      </c>
      <c r="K988" s="207">
        <f t="shared" si="14"/>
        <v>200</v>
      </c>
      <c r="L988" s="182"/>
      <c r="M988" s="183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  <c r="AF988" s="135"/>
      <c r="AG988" s="135"/>
      <c r="AH988" s="135"/>
      <c r="AI988" s="135"/>
      <c r="AJ988" s="135"/>
      <c r="AK988" s="135"/>
      <c r="AL988" s="135"/>
      <c r="AM988" s="135"/>
      <c r="AN988" s="135"/>
      <c r="AO988" s="135"/>
      <c r="AP988" s="135"/>
      <c r="AQ988" s="135"/>
      <c r="AR988" s="135"/>
      <c r="AS988" s="135"/>
      <c r="AT988" s="135"/>
      <c r="AU988" s="135"/>
    </row>
    <row r="989" spans="1:47" x14ac:dyDescent="0.2">
      <c r="A989" s="174"/>
      <c r="B989" s="175"/>
      <c r="C989" s="176"/>
      <c r="D989" s="177"/>
      <c r="E989" s="178"/>
      <c r="F989" s="178"/>
      <c r="G989" s="178"/>
      <c r="H989" s="178"/>
      <c r="I989" s="186" t="s">
        <v>1328</v>
      </c>
      <c r="J989" s="206" t="s">
        <v>781</v>
      </c>
      <c r="K989" s="207">
        <f t="shared" si="14"/>
        <v>200</v>
      </c>
      <c r="L989" s="182"/>
      <c r="M989" s="183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  <c r="AF989" s="135"/>
      <c r="AG989" s="135"/>
      <c r="AH989" s="135"/>
      <c r="AI989" s="135"/>
      <c r="AJ989" s="135"/>
      <c r="AK989" s="135"/>
      <c r="AL989" s="135"/>
      <c r="AM989" s="135"/>
      <c r="AN989" s="135"/>
      <c r="AO989" s="135"/>
      <c r="AP989" s="135"/>
      <c r="AQ989" s="135"/>
      <c r="AR989" s="135"/>
      <c r="AS989" s="135"/>
      <c r="AT989" s="135"/>
      <c r="AU989" s="135"/>
    </row>
    <row r="990" spans="1:47" x14ac:dyDescent="0.2">
      <c r="A990" s="174"/>
      <c r="B990" s="175"/>
      <c r="C990" s="176"/>
      <c r="D990" s="177"/>
      <c r="E990" s="178"/>
      <c r="F990" s="178"/>
      <c r="G990" s="178"/>
      <c r="H990" s="178"/>
      <c r="I990" s="186" t="s">
        <v>1329</v>
      </c>
      <c r="J990" s="206" t="s">
        <v>781</v>
      </c>
      <c r="K990" s="207">
        <f t="shared" si="14"/>
        <v>200</v>
      </c>
      <c r="L990" s="182"/>
      <c r="M990" s="183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  <c r="AF990" s="135"/>
      <c r="AG990" s="135"/>
      <c r="AH990" s="135"/>
      <c r="AI990" s="135"/>
      <c r="AJ990" s="135"/>
      <c r="AK990" s="135"/>
      <c r="AL990" s="135"/>
      <c r="AM990" s="135"/>
      <c r="AN990" s="135"/>
      <c r="AO990" s="135"/>
      <c r="AP990" s="135"/>
      <c r="AQ990" s="135"/>
      <c r="AR990" s="135"/>
      <c r="AS990" s="135"/>
      <c r="AT990" s="135"/>
      <c r="AU990" s="135"/>
    </row>
    <row r="991" spans="1:47" x14ac:dyDescent="0.2">
      <c r="A991" s="174"/>
      <c r="B991" s="175"/>
      <c r="C991" s="176"/>
      <c r="D991" s="177"/>
      <c r="E991" s="178"/>
      <c r="F991" s="178"/>
      <c r="G991" s="178"/>
      <c r="H991" s="178"/>
      <c r="I991" s="186" t="s">
        <v>1330</v>
      </c>
      <c r="J991" s="206" t="s">
        <v>781</v>
      </c>
      <c r="K991" s="207">
        <f t="shared" si="14"/>
        <v>200</v>
      </c>
      <c r="L991" s="182"/>
      <c r="M991" s="183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  <c r="AF991" s="135"/>
      <c r="AG991" s="135"/>
      <c r="AH991" s="135"/>
      <c r="AI991" s="135"/>
      <c r="AJ991" s="135"/>
      <c r="AK991" s="135"/>
      <c r="AL991" s="135"/>
      <c r="AM991" s="135"/>
      <c r="AN991" s="135"/>
      <c r="AO991" s="135"/>
      <c r="AP991" s="135"/>
      <c r="AQ991" s="135"/>
      <c r="AR991" s="135"/>
      <c r="AS991" s="135"/>
      <c r="AT991" s="135"/>
      <c r="AU991" s="135"/>
    </row>
    <row r="992" spans="1:47" x14ac:dyDescent="0.2">
      <c r="A992" s="174"/>
      <c r="B992" s="175"/>
      <c r="C992" s="176"/>
      <c r="D992" s="177"/>
      <c r="E992" s="178"/>
      <c r="F992" s="178"/>
      <c r="G992" s="178"/>
      <c r="H992" s="178"/>
      <c r="I992" s="186" t="s">
        <v>1331</v>
      </c>
      <c r="J992" s="206" t="s">
        <v>460</v>
      </c>
      <c r="K992" s="207">
        <f t="shared" si="14"/>
        <v>200</v>
      </c>
      <c r="L992" s="182"/>
      <c r="M992" s="183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  <c r="AF992" s="135"/>
      <c r="AG992" s="135"/>
      <c r="AH992" s="135"/>
      <c r="AI992" s="135"/>
      <c r="AJ992" s="135"/>
      <c r="AK992" s="135"/>
      <c r="AL992" s="135"/>
      <c r="AM992" s="135"/>
      <c r="AN992" s="135"/>
      <c r="AO992" s="135"/>
      <c r="AP992" s="135"/>
      <c r="AQ992" s="135"/>
      <c r="AR992" s="135"/>
      <c r="AS992" s="135"/>
      <c r="AT992" s="135"/>
      <c r="AU992" s="135"/>
    </row>
    <row r="993" spans="1:47" x14ac:dyDescent="0.2">
      <c r="A993" s="174"/>
      <c r="B993" s="175"/>
      <c r="C993" s="176"/>
      <c r="D993" s="177"/>
      <c r="E993" s="178"/>
      <c r="F993" s="178"/>
      <c r="G993" s="178"/>
      <c r="H993" s="178"/>
      <c r="I993" s="186" t="s">
        <v>1332</v>
      </c>
      <c r="J993" s="206" t="s">
        <v>460</v>
      </c>
      <c r="K993" s="207">
        <f t="shared" si="14"/>
        <v>200</v>
      </c>
      <c r="L993" s="182"/>
      <c r="M993" s="183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  <c r="AF993" s="135"/>
      <c r="AG993" s="135"/>
      <c r="AH993" s="135"/>
      <c r="AI993" s="135"/>
      <c r="AJ993" s="135"/>
      <c r="AK993" s="135"/>
      <c r="AL993" s="135"/>
      <c r="AM993" s="135"/>
      <c r="AN993" s="135"/>
      <c r="AO993" s="135"/>
      <c r="AP993" s="135"/>
      <c r="AQ993" s="135"/>
      <c r="AR993" s="135"/>
      <c r="AS993" s="135"/>
      <c r="AT993" s="135"/>
      <c r="AU993" s="135"/>
    </row>
    <row r="994" spans="1:47" x14ac:dyDescent="0.2">
      <c r="A994" s="174"/>
      <c r="B994" s="175"/>
      <c r="C994" s="176"/>
      <c r="D994" s="177"/>
      <c r="E994" s="178"/>
      <c r="F994" s="178"/>
      <c r="G994" s="178"/>
      <c r="H994" s="178"/>
      <c r="I994" s="186" t="s">
        <v>1333</v>
      </c>
      <c r="J994" s="206" t="s">
        <v>460</v>
      </c>
      <c r="K994" s="207">
        <f t="shared" si="14"/>
        <v>200</v>
      </c>
      <c r="L994" s="182"/>
      <c r="M994" s="183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  <c r="AF994" s="135"/>
      <c r="AG994" s="135"/>
      <c r="AH994" s="135"/>
      <c r="AI994" s="135"/>
      <c r="AJ994" s="135"/>
      <c r="AK994" s="135"/>
      <c r="AL994" s="135"/>
      <c r="AM994" s="135"/>
      <c r="AN994" s="135"/>
      <c r="AO994" s="135"/>
      <c r="AP994" s="135"/>
      <c r="AQ994" s="135"/>
      <c r="AR994" s="135"/>
      <c r="AS994" s="135"/>
      <c r="AT994" s="135"/>
      <c r="AU994" s="135"/>
    </row>
    <row r="995" spans="1:47" x14ac:dyDescent="0.2">
      <c r="A995" s="187"/>
      <c r="B995" s="188"/>
      <c r="C995" s="189"/>
      <c r="D995" s="190"/>
      <c r="E995" s="191"/>
      <c r="F995" s="191"/>
      <c r="G995" s="191"/>
      <c r="H995" s="191"/>
      <c r="I995" s="202"/>
      <c r="J995" s="203"/>
      <c r="K995" s="194">
        <f>SUM(K986:K994)</f>
        <v>4000</v>
      </c>
      <c r="L995" s="195"/>
      <c r="M995" s="196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  <c r="AF995" s="135"/>
      <c r="AG995" s="135"/>
      <c r="AH995" s="135"/>
      <c r="AI995" s="135"/>
      <c r="AJ995" s="135"/>
      <c r="AK995" s="135"/>
      <c r="AL995" s="135"/>
      <c r="AM995" s="135"/>
      <c r="AN995" s="135"/>
      <c r="AO995" s="135"/>
      <c r="AP995" s="135"/>
      <c r="AQ995" s="135"/>
      <c r="AR995" s="135"/>
      <c r="AS995" s="135"/>
      <c r="AT995" s="135"/>
      <c r="AU995" s="135"/>
    </row>
    <row r="996" spans="1:47" ht="23.25" customHeight="1" x14ac:dyDescent="0.2">
      <c r="A996" s="163">
        <v>224</v>
      </c>
      <c r="B996" s="164" t="s">
        <v>1334</v>
      </c>
      <c r="C996" s="165"/>
      <c r="D996" s="166" t="s">
        <v>107</v>
      </c>
      <c r="E996" s="167"/>
      <c r="F996" s="167"/>
      <c r="G996" s="167"/>
      <c r="H996" s="167"/>
      <c r="I996" s="299" t="s">
        <v>1335</v>
      </c>
      <c r="J996" s="262" t="s">
        <v>1336</v>
      </c>
      <c r="K996" s="205">
        <f>3500*25%</f>
        <v>875</v>
      </c>
      <c r="L996" s="171" t="s">
        <v>111</v>
      </c>
      <c r="M996" s="172" t="s">
        <v>1337</v>
      </c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  <c r="AF996" s="135"/>
      <c r="AG996" s="135"/>
      <c r="AH996" s="135"/>
      <c r="AI996" s="135"/>
      <c r="AJ996" s="135"/>
      <c r="AK996" s="135"/>
      <c r="AL996" s="135"/>
      <c r="AM996" s="135"/>
      <c r="AN996" s="135"/>
      <c r="AO996" s="135"/>
      <c r="AP996" s="135"/>
      <c r="AQ996" s="135"/>
      <c r="AR996" s="135"/>
      <c r="AS996" s="135"/>
      <c r="AT996" s="135"/>
      <c r="AU996" s="135"/>
    </row>
    <row r="997" spans="1:47" x14ac:dyDescent="0.2">
      <c r="A997" s="174"/>
      <c r="B997" s="175"/>
      <c r="C997" s="176"/>
      <c r="D997" s="177"/>
      <c r="E997" s="178"/>
      <c r="F997" s="178"/>
      <c r="G997" s="178"/>
      <c r="H997" s="178"/>
      <c r="I997" s="186" t="s">
        <v>1338</v>
      </c>
      <c r="J997" s="206" t="s">
        <v>679</v>
      </c>
      <c r="K997" s="207">
        <f>3500*50%</f>
        <v>1750</v>
      </c>
      <c r="L997" s="182"/>
      <c r="M997" s="183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  <c r="AF997" s="135"/>
      <c r="AG997" s="135"/>
      <c r="AH997" s="135"/>
      <c r="AI997" s="135"/>
      <c r="AJ997" s="135"/>
      <c r="AK997" s="135"/>
      <c r="AL997" s="135"/>
      <c r="AM997" s="135"/>
      <c r="AN997" s="135"/>
      <c r="AO997" s="135"/>
      <c r="AP997" s="135"/>
      <c r="AQ997" s="135"/>
      <c r="AR997" s="135"/>
      <c r="AS997" s="135"/>
      <c r="AT997" s="135"/>
      <c r="AU997" s="135"/>
    </row>
    <row r="998" spans="1:47" x14ac:dyDescent="0.2">
      <c r="A998" s="174"/>
      <c r="B998" s="175"/>
      <c r="C998" s="176"/>
      <c r="D998" s="177"/>
      <c r="E998" s="178"/>
      <c r="F998" s="178"/>
      <c r="G998" s="178"/>
      <c r="H998" s="178"/>
      <c r="I998" s="186" t="s">
        <v>1339</v>
      </c>
      <c r="J998" s="206" t="s">
        <v>679</v>
      </c>
      <c r="K998" s="207">
        <f>3500*5%</f>
        <v>175</v>
      </c>
      <c r="L998" s="182"/>
      <c r="M998" s="183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  <c r="AF998" s="135"/>
      <c r="AG998" s="135"/>
      <c r="AH998" s="135"/>
      <c r="AI998" s="135"/>
      <c r="AJ998" s="135"/>
      <c r="AK998" s="135"/>
      <c r="AL998" s="135"/>
      <c r="AM998" s="135"/>
      <c r="AN998" s="135"/>
      <c r="AO998" s="135"/>
      <c r="AP998" s="135"/>
      <c r="AQ998" s="135"/>
      <c r="AR998" s="135"/>
      <c r="AS998" s="135"/>
      <c r="AT998" s="135"/>
      <c r="AU998" s="135"/>
    </row>
    <row r="999" spans="1:47" x14ac:dyDescent="0.2">
      <c r="A999" s="174"/>
      <c r="B999" s="175"/>
      <c r="C999" s="176"/>
      <c r="D999" s="177"/>
      <c r="E999" s="178"/>
      <c r="F999" s="178"/>
      <c r="G999" s="178"/>
      <c r="H999" s="178"/>
      <c r="I999" s="186" t="s">
        <v>1340</v>
      </c>
      <c r="J999" s="206" t="s">
        <v>679</v>
      </c>
      <c r="K999" s="207">
        <f>3500*5%</f>
        <v>175</v>
      </c>
      <c r="L999" s="182"/>
      <c r="M999" s="183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  <c r="AF999" s="135"/>
      <c r="AG999" s="135"/>
      <c r="AH999" s="135"/>
      <c r="AI999" s="135"/>
      <c r="AJ999" s="135"/>
      <c r="AK999" s="135"/>
      <c r="AL999" s="135"/>
      <c r="AM999" s="135"/>
      <c r="AN999" s="135"/>
      <c r="AO999" s="135"/>
      <c r="AP999" s="135"/>
      <c r="AQ999" s="135"/>
      <c r="AR999" s="135"/>
      <c r="AS999" s="135"/>
      <c r="AT999" s="135"/>
      <c r="AU999" s="135"/>
    </row>
    <row r="1000" spans="1:47" x14ac:dyDescent="0.2">
      <c r="A1000" s="174"/>
      <c r="B1000" s="175"/>
      <c r="C1000" s="176"/>
      <c r="D1000" s="177"/>
      <c r="E1000" s="178"/>
      <c r="F1000" s="178"/>
      <c r="G1000" s="178"/>
      <c r="H1000" s="178"/>
      <c r="I1000" s="186" t="s">
        <v>1341</v>
      </c>
      <c r="J1000" s="206" t="s">
        <v>679</v>
      </c>
      <c r="K1000" s="207">
        <f>3500*5%</f>
        <v>175</v>
      </c>
      <c r="L1000" s="182"/>
      <c r="M1000" s="183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  <c r="AF1000" s="135"/>
      <c r="AG1000" s="135"/>
      <c r="AH1000" s="135"/>
      <c r="AI1000" s="135"/>
      <c r="AJ1000" s="135"/>
      <c r="AK1000" s="135"/>
      <c r="AL1000" s="135"/>
      <c r="AM1000" s="135"/>
      <c r="AN1000" s="135"/>
      <c r="AO1000" s="135"/>
      <c r="AP1000" s="135"/>
      <c r="AQ1000" s="135"/>
      <c r="AR1000" s="135"/>
      <c r="AS1000" s="135"/>
      <c r="AT1000" s="135"/>
      <c r="AU1000" s="135"/>
    </row>
    <row r="1001" spans="1:47" x14ac:dyDescent="0.2">
      <c r="A1001" s="174"/>
      <c r="B1001" s="175"/>
      <c r="C1001" s="176"/>
      <c r="D1001" s="177"/>
      <c r="E1001" s="178"/>
      <c r="F1001" s="178"/>
      <c r="G1001" s="178"/>
      <c r="H1001" s="178"/>
      <c r="I1001" s="186" t="s">
        <v>1342</v>
      </c>
      <c r="J1001" s="206" t="s">
        <v>679</v>
      </c>
      <c r="K1001" s="207">
        <f>3500*5%</f>
        <v>175</v>
      </c>
      <c r="L1001" s="182"/>
      <c r="M1001" s="183"/>
      <c r="N1001" s="135"/>
      <c r="O1001" s="135"/>
      <c r="P1001" s="135"/>
      <c r="Q1001" s="135"/>
      <c r="R1001" s="135"/>
      <c r="S1001" s="135"/>
      <c r="T1001" s="135"/>
      <c r="U1001" s="135"/>
      <c r="V1001" s="135"/>
      <c r="W1001" s="135"/>
      <c r="X1001" s="135"/>
      <c r="Y1001" s="135"/>
      <c r="Z1001" s="135"/>
      <c r="AA1001" s="135"/>
      <c r="AB1001" s="135"/>
      <c r="AC1001" s="135"/>
      <c r="AD1001" s="135"/>
      <c r="AE1001" s="135"/>
      <c r="AF1001" s="135"/>
      <c r="AG1001" s="135"/>
      <c r="AH1001" s="135"/>
      <c r="AI1001" s="135"/>
      <c r="AJ1001" s="135"/>
      <c r="AK1001" s="135"/>
      <c r="AL1001" s="135"/>
      <c r="AM1001" s="135"/>
      <c r="AN1001" s="135"/>
      <c r="AO1001" s="135"/>
      <c r="AP1001" s="135"/>
      <c r="AQ1001" s="135"/>
      <c r="AR1001" s="135"/>
      <c r="AS1001" s="135"/>
      <c r="AT1001" s="135"/>
      <c r="AU1001" s="135"/>
    </row>
    <row r="1002" spans="1:47" x14ac:dyDescent="0.2">
      <c r="A1002" s="174"/>
      <c r="B1002" s="175"/>
      <c r="C1002" s="176"/>
      <c r="D1002" s="177"/>
      <c r="E1002" s="178"/>
      <c r="F1002" s="178"/>
      <c r="G1002" s="178"/>
      <c r="H1002" s="178"/>
      <c r="I1002" s="186" t="s">
        <v>1343</v>
      </c>
      <c r="J1002" s="206" t="s">
        <v>679</v>
      </c>
      <c r="K1002" s="207">
        <f>3500*5%</f>
        <v>175</v>
      </c>
      <c r="L1002" s="182"/>
      <c r="M1002" s="183"/>
      <c r="N1002" s="135"/>
      <c r="O1002" s="135"/>
      <c r="P1002" s="135"/>
      <c r="Q1002" s="135"/>
      <c r="R1002" s="135"/>
      <c r="S1002" s="135"/>
      <c r="T1002" s="135"/>
      <c r="U1002" s="135"/>
      <c r="V1002" s="135"/>
      <c r="W1002" s="135"/>
      <c r="X1002" s="135"/>
      <c r="Y1002" s="135"/>
      <c r="Z1002" s="135"/>
      <c r="AA1002" s="135"/>
      <c r="AB1002" s="135"/>
      <c r="AC1002" s="135"/>
      <c r="AD1002" s="135"/>
      <c r="AE1002" s="135"/>
      <c r="AF1002" s="135"/>
      <c r="AG1002" s="135"/>
      <c r="AH1002" s="135"/>
      <c r="AI1002" s="135"/>
      <c r="AJ1002" s="135"/>
      <c r="AK1002" s="135"/>
      <c r="AL1002" s="135"/>
      <c r="AM1002" s="135"/>
      <c r="AN1002" s="135"/>
      <c r="AO1002" s="135"/>
      <c r="AP1002" s="135"/>
      <c r="AQ1002" s="135"/>
      <c r="AR1002" s="135"/>
      <c r="AS1002" s="135"/>
      <c r="AT1002" s="135"/>
      <c r="AU1002" s="135"/>
    </row>
    <row r="1003" spans="1:47" x14ac:dyDescent="0.2">
      <c r="A1003" s="187"/>
      <c r="B1003" s="188"/>
      <c r="C1003" s="189"/>
      <c r="D1003" s="190"/>
      <c r="E1003" s="191"/>
      <c r="F1003" s="191"/>
      <c r="G1003" s="191"/>
      <c r="H1003" s="191"/>
      <c r="I1003" s="202"/>
      <c r="J1003" s="203"/>
      <c r="K1003" s="194">
        <f>SUM(K996:K1002)</f>
        <v>3500</v>
      </c>
      <c r="L1003" s="195"/>
      <c r="M1003" s="196"/>
      <c r="N1003" s="135"/>
      <c r="O1003" s="135"/>
      <c r="P1003" s="135"/>
      <c r="Q1003" s="135"/>
      <c r="R1003" s="135"/>
      <c r="S1003" s="135"/>
      <c r="T1003" s="135"/>
      <c r="U1003" s="135"/>
      <c r="V1003" s="135"/>
      <c r="W1003" s="135"/>
      <c r="X1003" s="135"/>
      <c r="Y1003" s="135"/>
      <c r="Z1003" s="135"/>
      <c r="AA1003" s="135"/>
      <c r="AB1003" s="135"/>
      <c r="AC1003" s="135"/>
      <c r="AD1003" s="135"/>
      <c r="AE1003" s="135"/>
      <c r="AF1003" s="135"/>
      <c r="AG1003" s="135"/>
      <c r="AH1003" s="135"/>
      <c r="AI1003" s="135"/>
      <c r="AJ1003" s="135"/>
      <c r="AK1003" s="135"/>
      <c r="AL1003" s="135"/>
      <c r="AM1003" s="135"/>
      <c r="AN1003" s="135"/>
      <c r="AO1003" s="135"/>
      <c r="AP1003" s="135"/>
      <c r="AQ1003" s="135"/>
      <c r="AR1003" s="135"/>
      <c r="AS1003" s="135"/>
      <c r="AT1003" s="135"/>
      <c r="AU1003" s="135"/>
    </row>
    <row r="1004" spans="1:47" ht="21.75" customHeight="1" x14ac:dyDescent="0.2">
      <c r="A1004" s="163">
        <v>225</v>
      </c>
      <c r="B1004" s="164" t="s">
        <v>1344</v>
      </c>
      <c r="C1004" s="165"/>
      <c r="D1004" s="166" t="s">
        <v>107</v>
      </c>
      <c r="E1004" s="167"/>
      <c r="F1004" s="167"/>
      <c r="G1004" s="167"/>
      <c r="H1004" s="167"/>
      <c r="I1004" s="299" t="s">
        <v>1324</v>
      </c>
      <c r="J1004" s="262" t="s">
        <v>1336</v>
      </c>
      <c r="K1004" s="205">
        <f>3500*60%</f>
        <v>2100</v>
      </c>
      <c r="L1004" s="171" t="s">
        <v>111</v>
      </c>
      <c r="M1004" s="172" t="s">
        <v>1345</v>
      </c>
      <c r="N1004" s="135"/>
      <c r="O1004" s="135"/>
      <c r="P1004" s="135"/>
      <c r="Q1004" s="135"/>
      <c r="R1004" s="135"/>
      <c r="S1004" s="135"/>
      <c r="T1004" s="135"/>
      <c r="U1004" s="135"/>
      <c r="V1004" s="135"/>
      <c r="W1004" s="135"/>
      <c r="X1004" s="135"/>
      <c r="Y1004" s="135"/>
      <c r="Z1004" s="135"/>
      <c r="AA1004" s="135"/>
      <c r="AB1004" s="135"/>
      <c r="AC1004" s="135"/>
      <c r="AD1004" s="135"/>
      <c r="AE1004" s="135"/>
      <c r="AF1004" s="135"/>
      <c r="AG1004" s="135"/>
      <c r="AH1004" s="135"/>
      <c r="AI1004" s="135"/>
      <c r="AJ1004" s="135"/>
      <c r="AK1004" s="135"/>
      <c r="AL1004" s="135"/>
      <c r="AM1004" s="135"/>
      <c r="AN1004" s="135"/>
      <c r="AO1004" s="135"/>
      <c r="AP1004" s="135"/>
      <c r="AQ1004" s="135"/>
      <c r="AR1004" s="135"/>
      <c r="AS1004" s="135"/>
      <c r="AT1004" s="135"/>
      <c r="AU1004" s="135"/>
    </row>
    <row r="1005" spans="1:47" x14ac:dyDescent="0.2">
      <c r="A1005" s="174"/>
      <c r="B1005" s="175"/>
      <c r="C1005" s="176"/>
      <c r="D1005" s="177"/>
      <c r="E1005" s="178"/>
      <c r="F1005" s="178"/>
      <c r="G1005" s="178"/>
      <c r="H1005" s="178"/>
      <c r="I1005" s="186" t="s">
        <v>1268</v>
      </c>
      <c r="J1005" s="206" t="s">
        <v>679</v>
      </c>
      <c r="K1005" s="207">
        <f t="shared" ref="K1005:K1011" si="15">3500*5%</f>
        <v>175</v>
      </c>
      <c r="L1005" s="182"/>
      <c r="M1005" s="183"/>
      <c r="N1005" s="135"/>
      <c r="O1005" s="135"/>
      <c r="P1005" s="135"/>
      <c r="Q1005" s="135"/>
      <c r="R1005" s="135"/>
      <c r="S1005" s="135"/>
      <c r="T1005" s="135"/>
      <c r="U1005" s="135"/>
      <c r="V1005" s="135"/>
      <c r="W1005" s="135"/>
      <c r="X1005" s="135"/>
      <c r="Y1005" s="135"/>
      <c r="Z1005" s="135"/>
      <c r="AA1005" s="135"/>
      <c r="AB1005" s="135"/>
      <c r="AC1005" s="135"/>
      <c r="AD1005" s="135"/>
      <c r="AE1005" s="135"/>
      <c r="AF1005" s="135"/>
      <c r="AG1005" s="135"/>
      <c r="AH1005" s="135"/>
      <c r="AI1005" s="135"/>
      <c r="AJ1005" s="135"/>
      <c r="AK1005" s="135"/>
      <c r="AL1005" s="135"/>
      <c r="AM1005" s="135"/>
      <c r="AN1005" s="135"/>
      <c r="AO1005" s="135"/>
      <c r="AP1005" s="135"/>
      <c r="AQ1005" s="135"/>
      <c r="AR1005" s="135"/>
      <c r="AS1005" s="135"/>
      <c r="AT1005" s="135"/>
      <c r="AU1005" s="135"/>
    </row>
    <row r="1006" spans="1:47" x14ac:dyDescent="0.2">
      <c r="A1006" s="174"/>
      <c r="B1006" s="175"/>
      <c r="C1006" s="176"/>
      <c r="D1006" s="177"/>
      <c r="E1006" s="178"/>
      <c r="F1006" s="178"/>
      <c r="G1006" s="178"/>
      <c r="H1006" s="178"/>
      <c r="I1006" s="186" t="s">
        <v>1339</v>
      </c>
      <c r="J1006" s="206" t="s">
        <v>679</v>
      </c>
      <c r="K1006" s="207">
        <f t="shared" si="15"/>
        <v>175</v>
      </c>
      <c r="L1006" s="182"/>
      <c r="M1006" s="183"/>
      <c r="N1006" s="135"/>
      <c r="O1006" s="135"/>
      <c r="P1006" s="135"/>
      <c r="Q1006" s="135"/>
      <c r="R1006" s="135"/>
      <c r="S1006" s="135"/>
      <c r="T1006" s="135"/>
      <c r="U1006" s="135"/>
      <c r="V1006" s="135"/>
      <c r="W1006" s="135"/>
      <c r="X1006" s="135"/>
      <c r="Y1006" s="135"/>
      <c r="Z1006" s="135"/>
      <c r="AA1006" s="135"/>
      <c r="AB1006" s="135"/>
      <c r="AC1006" s="135"/>
      <c r="AD1006" s="135"/>
      <c r="AE1006" s="135"/>
      <c r="AF1006" s="135"/>
      <c r="AG1006" s="135"/>
      <c r="AH1006" s="135"/>
      <c r="AI1006" s="135"/>
      <c r="AJ1006" s="135"/>
      <c r="AK1006" s="135"/>
      <c r="AL1006" s="135"/>
      <c r="AM1006" s="135"/>
      <c r="AN1006" s="135"/>
      <c r="AO1006" s="135"/>
      <c r="AP1006" s="135"/>
      <c r="AQ1006" s="135"/>
      <c r="AR1006" s="135"/>
      <c r="AS1006" s="135"/>
      <c r="AT1006" s="135"/>
      <c r="AU1006" s="135"/>
    </row>
    <row r="1007" spans="1:47" x14ac:dyDescent="0.2">
      <c r="A1007" s="174"/>
      <c r="B1007" s="175"/>
      <c r="C1007" s="176"/>
      <c r="D1007" s="177"/>
      <c r="E1007" s="178"/>
      <c r="F1007" s="178"/>
      <c r="G1007" s="178"/>
      <c r="H1007" s="178"/>
      <c r="I1007" s="186" t="s">
        <v>1331</v>
      </c>
      <c r="J1007" s="206" t="s">
        <v>460</v>
      </c>
      <c r="K1007" s="207">
        <f t="shared" si="15"/>
        <v>175</v>
      </c>
      <c r="L1007" s="182"/>
      <c r="M1007" s="183"/>
      <c r="N1007" s="135"/>
      <c r="O1007" s="135"/>
      <c r="P1007" s="135"/>
      <c r="Q1007" s="135"/>
      <c r="R1007" s="135"/>
      <c r="S1007" s="135"/>
      <c r="T1007" s="135"/>
      <c r="U1007" s="135"/>
      <c r="V1007" s="135"/>
      <c r="W1007" s="135"/>
      <c r="X1007" s="135"/>
      <c r="Y1007" s="135"/>
      <c r="Z1007" s="135"/>
      <c r="AA1007" s="135"/>
      <c r="AB1007" s="135"/>
      <c r="AC1007" s="135"/>
      <c r="AD1007" s="135"/>
      <c r="AE1007" s="135"/>
      <c r="AF1007" s="135"/>
      <c r="AG1007" s="135"/>
      <c r="AH1007" s="135"/>
      <c r="AI1007" s="135"/>
      <c r="AJ1007" s="135"/>
      <c r="AK1007" s="135"/>
      <c r="AL1007" s="135"/>
      <c r="AM1007" s="135"/>
      <c r="AN1007" s="135"/>
      <c r="AO1007" s="135"/>
      <c r="AP1007" s="135"/>
      <c r="AQ1007" s="135"/>
      <c r="AR1007" s="135"/>
      <c r="AS1007" s="135"/>
      <c r="AT1007" s="135"/>
      <c r="AU1007" s="135"/>
    </row>
    <row r="1008" spans="1:47" x14ac:dyDescent="0.2">
      <c r="A1008" s="174"/>
      <c r="B1008" s="175"/>
      <c r="C1008" s="176"/>
      <c r="D1008" s="177"/>
      <c r="E1008" s="178"/>
      <c r="F1008" s="178"/>
      <c r="G1008" s="178"/>
      <c r="H1008" s="178"/>
      <c r="I1008" s="186" t="s">
        <v>1346</v>
      </c>
      <c r="J1008" s="206" t="s">
        <v>460</v>
      </c>
      <c r="K1008" s="207">
        <f t="shared" si="15"/>
        <v>175</v>
      </c>
      <c r="L1008" s="182"/>
      <c r="M1008" s="183"/>
      <c r="N1008" s="135"/>
      <c r="O1008" s="135"/>
      <c r="P1008" s="135"/>
      <c r="Q1008" s="135"/>
      <c r="R1008" s="135"/>
      <c r="S1008" s="135"/>
      <c r="T1008" s="135"/>
      <c r="U1008" s="135"/>
      <c r="V1008" s="135"/>
      <c r="W1008" s="135"/>
      <c r="X1008" s="135"/>
      <c r="Y1008" s="135"/>
      <c r="Z1008" s="135"/>
      <c r="AA1008" s="135"/>
      <c r="AB1008" s="135"/>
      <c r="AC1008" s="135"/>
      <c r="AD1008" s="135"/>
      <c r="AE1008" s="135"/>
      <c r="AF1008" s="135"/>
      <c r="AG1008" s="135"/>
      <c r="AH1008" s="135"/>
      <c r="AI1008" s="135"/>
      <c r="AJ1008" s="135"/>
      <c r="AK1008" s="135"/>
      <c r="AL1008" s="135"/>
      <c r="AM1008" s="135"/>
      <c r="AN1008" s="135"/>
      <c r="AO1008" s="135"/>
      <c r="AP1008" s="135"/>
      <c r="AQ1008" s="135"/>
      <c r="AR1008" s="135"/>
      <c r="AS1008" s="135"/>
      <c r="AT1008" s="135"/>
      <c r="AU1008" s="135"/>
    </row>
    <row r="1009" spans="1:47" x14ac:dyDescent="0.2">
      <c r="A1009" s="174"/>
      <c r="B1009" s="175"/>
      <c r="C1009" s="176"/>
      <c r="D1009" s="177"/>
      <c r="E1009" s="178"/>
      <c r="F1009" s="178"/>
      <c r="G1009" s="178"/>
      <c r="H1009" s="178"/>
      <c r="I1009" s="186" t="s">
        <v>1332</v>
      </c>
      <c r="J1009" s="206" t="s">
        <v>460</v>
      </c>
      <c r="K1009" s="207">
        <f t="shared" si="15"/>
        <v>175</v>
      </c>
      <c r="L1009" s="182"/>
      <c r="M1009" s="183"/>
      <c r="N1009" s="135"/>
      <c r="O1009" s="135"/>
      <c r="P1009" s="135"/>
      <c r="Q1009" s="135"/>
      <c r="R1009" s="135"/>
      <c r="S1009" s="135"/>
      <c r="T1009" s="135"/>
      <c r="U1009" s="135"/>
      <c r="V1009" s="135"/>
      <c r="W1009" s="135"/>
      <c r="X1009" s="135"/>
      <c r="Y1009" s="135"/>
      <c r="Z1009" s="135"/>
      <c r="AA1009" s="135"/>
      <c r="AB1009" s="135"/>
      <c r="AC1009" s="135"/>
      <c r="AD1009" s="135"/>
      <c r="AE1009" s="135"/>
      <c r="AF1009" s="135"/>
      <c r="AG1009" s="135"/>
      <c r="AH1009" s="135"/>
      <c r="AI1009" s="135"/>
      <c r="AJ1009" s="135"/>
      <c r="AK1009" s="135"/>
      <c r="AL1009" s="135"/>
      <c r="AM1009" s="135"/>
      <c r="AN1009" s="135"/>
      <c r="AO1009" s="135"/>
      <c r="AP1009" s="135"/>
      <c r="AQ1009" s="135"/>
      <c r="AR1009" s="135"/>
      <c r="AS1009" s="135"/>
      <c r="AT1009" s="135"/>
      <c r="AU1009" s="135"/>
    </row>
    <row r="1010" spans="1:47" x14ac:dyDescent="0.2">
      <c r="A1010" s="174"/>
      <c r="B1010" s="175"/>
      <c r="C1010" s="176"/>
      <c r="D1010" s="177"/>
      <c r="E1010" s="178"/>
      <c r="F1010" s="178"/>
      <c r="G1010" s="178"/>
      <c r="H1010" s="178"/>
      <c r="I1010" s="186" t="s">
        <v>1347</v>
      </c>
      <c r="J1010" s="206" t="s">
        <v>460</v>
      </c>
      <c r="K1010" s="207">
        <f t="shared" si="15"/>
        <v>175</v>
      </c>
      <c r="L1010" s="182"/>
      <c r="M1010" s="183"/>
      <c r="N1010" s="135"/>
      <c r="O1010" s="135"/>
      <c r="P1010" s="135"/>
      <c r="Q1010" s="135"/>
      <c r="R1010" s="135"/>
      <c r="S1010" s="135"/>
      <c r="T1010" s="135"/>
      <c r="U1010" s="135"/>
      <c r="V1010" s="135"/>
      <c r="W1010" s="135"/>
      <c r="X1010" s="135"/>
      <c r="Y1010" s="135"/>
      <c r="Z1010" s="135"/>
      <c r="AA1010" s="135"/>
      <c r="AB1010" s="135"/>
      <c r="AC1010" s="135"/>
      <c r="AD1010" s="135"/>
      <c r="AE1010" s="135"/>
      <c r="AF1010" s="135"/>
      <c r="AG1010" s="135"/>
      <c r="AH1010" s="135"/>
      <c r="AI1010" s="135"/>
      <c r="AJ1010" s="135"/>
      <c r="AK1010" s="135"/>
      <c r="AL1010" s="135"/>
      <c r="AM1010" s="135"/>
      <c r="AN1010" s="135"/>
      <c r="AO1010" s="135"/>
      <c r="AP1010" s="135"/>
      <c r="AQ1010" s="135"/>
      <c r="AR1010" s="135"/>
      <c r="AS1010" s="135"/>
      <c r="AT1010" s="135"/>
      <c r="AU1010" s="135"/>
    </row>
    <row r="1011" spans="1:47" x14ac:dyDescent="0.2">
      <c r="A1011" s="174"/>
      <c r="B1011" s="175"/>
      <c r="C1011" s="176"/>
      <c r="D1011" s="177"/>
      <c r="E1011" s="178"/>
      <c r="F1011" s="178"/>
      <c r="G1011" s="178"/>
      <c r="H1011" s="178"/>
      <c r="I1011" s="186" t="s">
        <v>1348</v>
      </c>
      <c r="J1011" s="206" t="s">
        <v>460</v>
      </c>
      <c r="K1011" s="207">
        <f t="shared" si="15"/>
        <v>175</v>
      </c>
      <c r="L1011" s="182"/>
      <c r="M1011" s="183"/>
      <c r="N1011" s="135"/>
      <c r="O1011" s="135"/>
      <c r="P1011" s="135"/>
      <c r="Q1011" s="135"/>
      <c r="R1011" s="135"/>
      <c r="S1011" s="135"/>
      <c r="T1011" s="135"/>
      <c r="U1011" s="135"/>
      <c r="V1011" s="135"/>
      <c r="W1011" s="135"/>
      <c r="X1011" s="135"/>
      <c r="Y1011" s="135"/>
      <c r="Z1011" s="135"/>
      <c r="AA1011" s="135"/>
      <c r="AB1011" s="135"/>
      <c r="AC1011" s="135"/>
      <c r="AD1011" s="135"/>
      <c r="AE1011" s="135"/>
      <c r="AF1011" s="135"/>
      <c r="AG1011" s="135"/>
      <c r="AH1011" s="135"/>
      <c r="AI1011" s="135"/>
      <c r="AJ1011" s="135"/>
      <c r="AK1011" s="135"/>
      <c r="AL1011" s="135"/>
      <c r="AM1011" s="135"/>
      <c r="AN1011" s="135"/>
      <c r="AO1011" s="135"/>
      <c r="AP1011" s="135"/>
      <c r="AQ1011" s="135"/>
      <c r="AR1011" s="135"/>
      <c r="AS1011" s="135"/>
      <c r="AT1011" s="135"/>
      <c r="AU1011" s="135"/>
    </row>
    <row r="1012" spans="1:47" x14ac:dyDescent="0.2">
      <c r="A1012" s="174"/>
      <c r="B1012" s="175"/>
      <c r="C1012" s="176"/>
      <c r="D1012" s="177"/>
      <c r="E1012" s="178"/>
      <c r="F1012" s="178"/>
      <c r="G1012" s="178"/>
      <c r="H1012" s="178"/>
      <c r="I1012" s="186" t="s">
        <v>1349</v>
      </c>
      <c r="J1012" s="206" t="s">
        <v>460</v>
      </c>
      <c r="K1012" s="207">
        <f>3500*3%</f>
        <v>105</v>
      </c>
      <c r="L1012" s="182"/>
      <c r="M1012" s="183"/>
      <c r="N1012" s="135"/>
      <c r="O1012" s="135"/>
      <c r="P1012" s="135"/>
      <c r="Q1012" s="135"/>
      <c r="R1012" s="135"/>
      <c r="S1012" s="135"/>
      <c r="T1012" s="135"/>
      <c r="U1012" s="135"/>
      <c r="V1012" s="135"/>
      <c r="W1012" s="135"/>
      <c r="X1012" s="135"/>
      <c r="Y1012" s="135"/>
      <c r="Z1012" s="135"/>
      <c r="AA1012" s="135"/>
      <c r="AB1012" s="135"/>
      <c r="AC1012" s="135"/>
      <c r="AD1012" s="135"/>
      <c r="AE1012" s="135"/>
      <c r="AF1012" s="135"/>
      <c r="AG1012" s="135"/>
      <c r="AH1012" s="135"/>
      <c r="AI1012" s="135"/>
      <c r="AJ1012" s="135"/>
      <c r="AK1012" s="135"/>
      <c r="AL1012" s="135"/>
      <c r="AM1012" s="135"/>
      <c r="AN1012" s="135"/>
      <c r="AO1012" s="135"/>
      <c r="AP1012" s="135"/>
      <c r="AQ1012" s="135"/>
      <c r="AR1012" s="135"/>
      <c r="AS1012" s="135"/>
      <c r="AT1012" s="135"/>
      <c r="AU1012" s="135"/>
    </row>
    <row r="1013" spans="1:47" x14ac:dyDescent="0.2">
      <c r="A1013" s="174"/>
      <c r="B1013" s="175"/>
      <c r="C1013" s="176"/>
      <c r="D1013" s="177"/>
      <c r="E1013" s="178"/>
      <c r="F1013" s="178"/>
      <c r="G1013" s="178"/>
      <c r="H1013" s="178"/>
      <c r="I1013" s="186" t="s">
        <v>1350</v>
      </c>
      <c r="J1013" s="206" t="s">
        <v>460</v>
      </c>
      <c r="K1013" s="207">
        <f>3500*2%</f>
        <v>70</v>
      </c>
      <c r="L1013" s="182"/>
      <c r="M1013" s="183"/>
      <c r="N1013" s="135"/>
      <c r="O1013" s="135"/>
      <c r="P1013" s="135"/>
      <c r="Q1013" s="135"/>
      <c r="R1013" s="135"/>
      <c r="S1013" s="135"/>
      <c r="T1013" s="135"/>
      <c r="U1013" s="135"/>
      <c r="V1013" s="135"/>
      <c r="W1013" s="135"/>
      <c r="X1013" s="135"/>
      <c r="Y1013" s="135"/>
      <c r="Z1013" s="135"/>
      <c r="AA1013" s="135"/>
      <c r="AB1013" s="135"/>
      <c r="AC1013" s="135"/>
      <c r="AD1013" s="135"/>
      <c r="AE1013" s="135"/>
      <c r="AF1013" s="135"/>
      <c r="AG1013" s="135"/>
      <c r="AH1013" s="135"/>
      <c r="AI1013" s="135"/>
      <c r="AJ1013" s="135"/>
      <c r="AK1013" s="135"/>
      <c r="AL1013" s="135"/>
      <c r="AM1013" s="135"/>
      <c r="AN1013" s="135"/>
      <c r="AO1013" s="135"/>
      <c r="AP1013" s="135"/>
      <c r="AQ1013" s="135"/>
      <c r="AR1013" s="135"/>
      <c r="AS1013" s="135"/>
      <c r="AT1013" s="135"/>
      <c r="AU1013" s="135"/>
    </row>
    <row r="1014" spans="1:47" x14ac:dyDescent="0.2">
      <c r="A1014" s="187"/>
      <c r="B1014" s="188"/>
      <c r="C1014" s="189"/>
      <c r="D1014" s="190"/>
      <c r="E1014" s="191"/>
      <c r="F1014" s="191"/>
      <c r="G1014" s="191"/>
      <c r="H1014" s="191"/>
      <c r="I1014" s="202"/>
      <c r="J1014" s="203"/>
      <c r="K1014" s="194">
        <f>SUM(K1004:K1013)</f>
        <v>3500</v>
      </c>
      <c r="L1014" s="195"/>
      <c r="M1014" s="196"/>
      <c r="N1014" s="135"/>
      <c r="O1014" s="135"/>
      <c r="P1014" s="135"/>
      <c r="Q1014" s="135"/>
      <c r="R1014" s="135"/>
      <c r="S1014" s="135"/>
      <c r="T1014" s="135"/>
      <c r="U1014" s="135"/>
      <c r="V1014" s="135"/>
      <c r="W1014" s="135"/>
      <c r="X1014" s="135"/>
      <c r="Y1014" s="135"/>
      <c r="Z1014" s="135"/>
      <c r="AA1014" s="135"/>
      <c r="AB1014" s="135"/>
      <c r="AC1014" s="135"/>
      <c r="AD1014" s="135"/>
      <c r="AE1014" s="135"/>
      <c r="AF1014" s="135"/>
      <c r="AG1014" s="135"/>
      <c r="AH1014" s="135"/>
      <c r="AI1014" s="135"/>
      <c r="AJ1014" s="135"/>
      <c r="AK1014" s="135"/>
      <c r="AL1014" s="135"/>
      <c r="AM1014" s="135"/>
      <c r="AN1014" s="135"/>
      <c r="AO1014" s="135"/>
      <c r="AP1014" s="135"/>
      <c r="AQ1014" s="135"/>
      <c r="AR1014" s="135"/>
      <c r="AS1014" s="135"/>
      <c r="AT1014" s="135"/>
      <c r="AU1014" s="135"/>
    </row>
    <row r="1015" spans="1:47" ht="23.25" customHeight="1" x14ac:dyDescent="0.2">
      <c r="A1015" s="163">
        <v>226</v>
      </c>
      <c r="B1015" s="164" t="s">
        <v>1351</v>
      </c>
      <c r="C1015" s="165"/>
      <c r="D1015" s="166" t="s">
        <v>161</v>
      </c>
      <c r="E1015" s="167"/>
      <c r="F1015" s="167"/>
      <c r="G1015" s="167"/>
      <c r="H1015" s="167"/>
      <c r="I1015" s="299" t="s">
        <v>1352</v>
      </c>
      <c r="J1015" s="262" t="s">
        <v>1336</v>
      </c>
      <c r="K1015" s="205">
        <f>100415*52%</f>
        <v>52215.8</v>
      </c>
      <c r="L1015" s="171" t="s">
        <v>164</v>
      </c>
      <c r="M1015" s="172" t="s">
        <v>1353</v>
      </c>
      <c r="N1015" s="135"/>
      <c r="O1015" s="135"/>
      <c r="P1015" s="135"/>
      <c r="Q1015" s="135"/>
      <c r="R1015" s="135"/>
      <c r="S1015" s="135"/>
      <c r="T1015" s="135"/>
      <c r="U1015" s="135"/>
      <c r="V1015" s="135"/>
      <c r="W1015" s="135"/>
      <c r="X1015" s="135"/>
      <c r="Y1015" s="135"/>
      <c r="Z1015" s="135"/>
      <c r="AA1015" s="135"/>
      <c r="AB1015" s="135"/>
      <c r="AC1015" s="135"/>
      <c r="AD1015" s="135"/>
      <c r="AE1015" s="135"/>
      <c r="AF1015" s="135"/>
      <c r="AG1015" s="135"/>
      <c r="AH1015" s="135"/>
      <c r="AI1015" s="135"/>
      <c r="AJ1015" s="135"/>
      <c r="AK1015" s="135"/>
      <c r="AL1015" s="135"/>
      <c r="AM1015" s="135"/>
      <c r="AN1015" s="135"/>
      <c r="AO1015" s="135"/>
      <c r="AP1015" s="135"/>
      <c r="AQ1015" s="135"/>
      <c r="AR1015" s="135"/>
      <c r="AS1015" s="135"/>
      <c r="AT1015" s="135"/>
      <c r="AU1015" s="135"/>
    </row>
    <row r="1016" spans="1:47" x14ac:dyDescent="0.2">
      <c r="A1016" s="174"/>
      <c r="B1016" s="175"/>
      <c r="C1016" s="176"/>
      <c r="D1016" s="177"/>
      <c r="E1016" s="178"/>
      <c r="F1016" s="178"/>
      <c r="G1016" s="178"/>
      <c r="H1016" s="178"/>
      <c r="I1016" s="186" t="s">
        <v>1354</v>
      </c>
      <c r="J1016" s="206" t="s">
        <v>679</v>
      </c>
      <c r="K1016" s="207">
        <f>100415*25%</f>
        <v>25103.75</v>
      </c>
      <c r="L1016" s="182"/>
      <c r="M1016" s="183"/>
      <c r="N1016" s="135"/>
      <c r="O1016" s="135"/>
      <c r="P1016" s="135"/>
      <c r="Q1016" s="135"/>
      <c r="R1016" s="135"/>
      <c r="S1016" s="135"/>
      <c r="T1016" s="135"/>
      <c r="U1016" s="135"/>
      <c r="V1016" s="135"/>
      <c r="W1016" s="135"/>
      <c r="X1016" s="135"/>
      <c r="Y1016" s="135"/>
      <c r="Z1016" s="135"/>
      <c r="AA1016" s="135"/>
      <c r="AB1016" s="135"/>
      <c r="AC1016" s="135"/>
      <c r="AD1016" s="135"/>
      <c r="AE1016" s="135"/>
      <c r="AF1016" s="135"/>
      <c r="AG1016" s="135"/>
      <c r="AH1016" s="135"/>
      <c r="AI1016" s="135"/>
      <c r="AJ1016" s="135"/>
      <c r="AK1016" s="135"/>
      <c r="AL1016" s="135"/>
      <c r="AM1016" s="135"/>
      <c r="AN1016" s="135"/>
      <c r="AO1016" s="135"/>
      <c r="AP1016" s="135"/>
      <c r="AQ1016" s="135"/>
      <c r="AR1016" s="135"/>
      <c r="AS1016" s="135"/>
      <c r="AT1016" s="135"/>
      <c r="AU1016" s="135"/>
    </row>
    <row r="1017" spans="1:47" x14ac:dyDescent="0.2">
      <c r="A1017" s="174"/>
      <c r="B1017" s="175"/>
      <c r="C1017" s="176"/>
      <c r="D1017" s="177"/>
      <c r="E1017" s="178"/>
      <c r="F1017" s="178"/>
      <c r="G1017" s="178"/>
      <c r="H1017" s="178"/>
      <c r="I1017" s="186" t="s">
        <v>1355</v>
      </c>
      <c r="J1017" s="206" t="s">
        <v>679</v>
      </c>
      <c r="K1017" s="207">
        <f>100415*5%</f>
        <v>5020.75</v>
      </c>
      <c r="L1017" s="182"/>
      <c r="M1017" s="183"/>
      <c r="N1017" s="135"/>
      <c r="O1017" s="135"/>
      <c r="P1017" s="135"/>
      <c r="Q1017" s="135"/>
      <c r="R1017" s="135"/>
      <c r="S1017" s="135"/>
      <c r="T1017" s="135"/>
      <c r="U1017" s="135"/>
      <c r="V1017" s="135"/>
      <c r="W1017" s="135"/>
      <c r="X1017" s="135"/>
      <c r="Y1017" s="135"/>
      <c r="Z1017" s="135"/>
      <c r="AA1017" s="135"/>
      <c r="AB1017" s="135"/>
      <c r="AC1017" s="135"/>
      <c r="AD1017" s="135"/>
      <c r="AE1017" s="135"/>
      <c r="AF1017" s="135"/>
      <c r="AG1017" s="135"/>
      <c r="AH1017" s="135"/>
      <c r="AI1017" s="135"/>
      <c r="AJ1017" s="135"/>
      <c r="AK1017" s="135"/>
      <c r="AL1017" s="135"/>
      <c r="AM1017" s="135"/>
      <c r="AN1017" s="135"/>
      <c r="AO1017" s="135"/>
      <c r="AP1017" s="135"/>
      <c r="AQ1017" s="135"/>
      <c r="AR1017" s="135"/>
      <c r="AS1017" s="135"/>
      <c r="AT1017" s="135"/>
      <c r="AU1017" s="135"/>
    </row>
    <row r="1018" spans="1:47" x14ac:dyDescent="0.2">
      <c r="A1018" s="174"/>
      <c r="B1018" s="175"/>
      <c r="C1018" s="176"/>
      <c r="D1018" s="177"/>
      <c r="E1018" s="178"/>
      <c r="F1018" s="178"/>
      <c r="G1018" s="178"/>
      <c r="H1018" s="178"/>
      <c r="I1018" s="186" t="s">
        <v>1356</v>
      </c>
      <c r="J1018" s="206" t="s">
        <v>679</v>
      </c>
      <c r="K1018" s="207">
        <f>100415*4%</f>
        <v>4016.6</v>
      </c>
      <c r="L1018" s="182"/>
      <c r="M1018" s="183"/>
      <c r="N1018" s="135"/>
      <c r="O1018" s="135"/>
      <c r="P1018" s="135"/>
      <c r="Q1018" s="135"/>
      <c r="R1018" s="135"/>
      <c r="S1018" s="135"/>
      <c r="T1018" s="135"/>
      <c r="U1018" s="135"/>
      <c r="V1018" s="135"/>
      <c r="W1018" s="135"/>
      <c r="X1018" s="135"/>
      <c r="Y1018" s="135"/>
      <c r="Z1018" s="135"/>
      <c r="AA1018" s="135"/>
      <c r="AB1018" s="135"/>
      <c r="AC1018" s="135"/>
      <c r="AD1018" s="135"/>
      <c r="AE1018" s="135"/>
      <c r="AF1018" s="135"/>
      <c r="AG1018" s="135"/>
      <c r="AH1018" s="135"/>
      <c r="AI1018" s="135"/>
      <c r="AJ1018" s="135"/>
      <c r="AK1018" s="135"/>
      <c r="AL1018" s="135"/>
      <c r="AM1018" s="135"/>
      <c r="AN1018" s="135"/>
      <c r="AO1018" s="135"/>
      <c r="AP1018" s="135"/>
      <c r="AQ1018" s="135"/>
      <c r="AR1018" s="135"/>
      <c r="AS1018" s="135"/>
      <c r="AT1018" s="135"/>
      <c r="AU1018" s="135"/>
    </row>
    <row r="1019" spans="1:47" x14ac:dyDescent="0.2">
      <c r="A1019" s="174"/>
      <c r="B1019" s="175"/>
      <c r="C1019" s="176"/>
      <c r="D1019" s="177"/>
      <c r="E1019" s="178"/>
      <c r="F1019" s="178"/>
      <c r="G1019" s="178"/>
      <c r="H1019" s="178"/>
      <c r="I1019" s="186" t="s">
        <v>1357</v>
      </c>
      <c r="J1019" s="206" t="s">
        <v>679</v>
      </c>
      <c r="K1019" s="207">
        <f>100415*3%</f>
        <v>3012.45</v>
      </c>
      <c r="L1019" s="182"/>
      <c r="M1019" s="183"/>
      <c r="N1019" s="135"/>
      <c r="O1019" s="135"/>
      <c r="P1019" s="135"/>
      <c r="Q1019" s="135"/>
      <c r="R1019" s="135"/>
      <c r="S1019" s="135"/>
      <c r="T1019" s="135"/>
      <c r="U1019" s="135"/>
      <c r="V1019" s="135"/>
      <c r="W1019" s="135"/>
      <c r="X1019" s="135"/>
      <c r="Y1019" s="135"/>
      <c r="Z1019" s="135"/>
      <c r="AA1019" s="135"/>
      <c r="AB1019" s="135"/>
      <c r="AC1019" s="135"/>
      <c r="AD1019" s="135"/>
      <c r="AE1019" s="135"/>
      <c r="AF1019" s="135"/>
      <c r="AG1019" s="135"/>
      <c r="AH1019" s="135"/>
      <c r="AI1019" s="135"/>
      <c r="AJ1019" s="135"/>
      <c r="AK1019" s="135"/>
      <c r="AL1019" s="135"/>
      <c r="AM1019" s="135"/>
      <c r="AN1019" s="135"/>
      <c r="AO1019" s="135"/>
      <c r="AP1019" s="135"/>
      <c r="AQ1019" s="135"/>
      <c r="AR1019" s="135"/>
      <c r="AS1019" s="135"/>
      <c r="AT1019" s="135"/>
      <c r="AU1019" s="135"/>
    </row>
    <row r="1020" spans="1:47" x14ac:dyDescent="0.2">
      <c r="A1020" s="174"/>
      <c r="B1020" s="175"/>
      <c r="C1020" s="176"/>
      <c r="D1020" s="177"/>
      <c r="E1020" s="178"/>
      <c r="F1020" s="178"/>
      <c r="G1020" s="178"/>
      <c r="H1020" s="178"/>
      <c r="I1020" s="186" t="s">
        <v>1358</v>
      </c>
      <c r="J1020" s="206" t="s">
        <v>679</v>
      </c>
      <c r="K1020" s="207">
        <f>100415*2%</f>
        <v>2008.3</v>
      </c>
      <c r="L1020" s="182"/>
      <c r="M1020" s="183"/>
      <c r="N1020" s="135"/>
      <c r="O1020" s="135"/>
      <c r="P1020" s="135"/>
      <c r="Q1020" s="135"/>
      <c r="R1020" s="135"/>
      <c r="S1020" s="135"/>
      <c r="T1020" s="135"/>
      <c r="U1020" s="135"/>
      <c r="V1020" s="135"/>
      <c r="W1020" s="135"/>
      <c r="X1020" s="135"/>
      <c r="Y1020" s="135"/>
      <c r="Z1020" s="135"/>
      <c r="AA1020" s="135"/>
      <c r="AB1020" s="135"/>
      <c r="AC1020" s="135"/>
      <c r="AD1020" s="135"/>
      <c r="AE1020" s="135"/>
      <c r="AF1020" s="135"/>
      <c r="AG1020" s="135"/>
      <c r="AH1020" s="135"/>
      <c r="AI1020" s="135"/>
      <c r="AJ1020" s="135"/>
      <c r="AK1020" s="135"/>
      <c r="AL1020" s="135"/>
      <c r="AM1020" s="135"/>
      <c r="AN1020" s="135"/>
      <c r="AO1020" s="135"/>
      <c r="AP1020" s="135"/>
      <c r="AQ1020" s="135"/>
      <c r="AR1020" s="135"/>
      <c r="AS1020" s="135"/>
      <c r="AT1020" s="135"/>
      <c r="AU1020" s="135"/>
    </row>
    <row r="1021" spans="1:47" x14ac:dyDescent="0.2">
      <c r="A1021" s="174"/>
      <c r="B1021" s="175"/>
      <c r="C1021" s="176"/>
      <c r="D1021" s="177"/>
      <c r="E1021" s="178"/>
      <c r="F1021" s="178"/>
      <c r="G1021" s="178"/>
      <c r="H1021" s="178"/>
      <c r="I1021" s="186" t="s">
        <v>1359</v>
      </c>
      <c r="J1021" s="206" t="s">
        <v>679</v>
      </c>
      <c r="K1021" s="207">
        <f>100415*1%</f>
        <v>1004.15</v>
      </c>
      <c r="L1021" s="182"/>
      <c r="M1021" s="183"/>
      <c r="N1021" s="135"/>
      <c r="O1021" s="135"/>
      <c r="P1021" s="135"/>
      <c r="Q1021" s="135"/>
      <c r="R1021" s="135"/>
      <c r="S1021" s="135"/>
      <c r="T1021" s="135"/>
      <c r="U1021" s="135"/>
      <c r="V1021" s="135"/>
      <c r="W1021" s="135"/>
      <c r="X1021" s="135"/>
      <c r="Y1021" s="135"/>
      <c r="Z1021" s="135"/>
      <c r="AA1021" s="135"/>
      <c r="AB1021" s="135"/>
      <c r="AC1021" s="135"/>
      <c r="AD1021" s="135"/>
      <c r="AE1021" s="135"/>
      <c r="AF1021" s="135"/>
      <c r="AG1021" s="135"/>
      <c r="AH1021" s="135"/>
      <c r="AI1021" s="135"/>
      <c r="AJ1021" s="135"/>
      <c r="AK1021" s="135"/>
      <c r="AL1021" s="135"/>
      <c r="AM1021" s="135"/>
      <c r="AN1021" s="135"/>
      <c r="AO1021" s="135"/>
      <c r="AP1021" s="135"/>
      <c r="AQ1021" s="135"/>
      <c r="AR1021" s="135"/>
      <c r="AS1021" s="135"/>
      <c r="AT1021" s="135"/>
      <c r="AU1021" s="135"/>
    </row>
    <row r="1022" spans="1:47" x14ac:dyDescent="0.2">
      <c r="A1022" s="174"/>
      <c r="B1022" s="175"/>
      <c r="C1022" s="176"/>
      <c r="D1022" s="177"/>
      <c r="E1022" s="178"/>
      <c r="F1022" s="178"/>
      <c r="G1022" s="178"/>
      <c r="H1022" s="178"/>
      <c r="I1022" s="186" t="s">
        <v>1360</v>
      </c>
      <c r="J1022" s="206" t="s">
        <v>679</v>
      </c>
      <c r="K1022" s="207">
        <f>100415*1%</f>
        <v>1004.15</v>
      </c>
      <c r="L1022" s="182"/>
      <c r="M1022" s="183"/>
      <c r="N1022" s="135"/>
      <c r="O1022" s="135"/>
      <c r="P1022" s="135"/>
      <c r="Q1022" s="135"/>
      <c r="R1022" s="135"/>
      <c r="S1022" s="135"/>
      <c r="T1022" s="135"/>
      <c r="U1022" s="135"/>
      <c r="V1022" s="135"/>
      <c r="W1022" s="135"/>
      <c r="X1022" s="135"/>
      <c r="Y1022" s="135"/>
      <c r="Z1022" s="135"/>
      <c r="AA1022" s="135"/>
      <c r="AB1022" s="135"/>
      <c r="AC1022" s="135"/>
      <c r="AD1022" s="135"/>
      <c r="AE1022" s="135"/>
      <c r="AF1022" s="135"/>
      <c r="AG1022" s="135"/>
      <c r="AH1022" s="135"/>
      <c r="AI1022" s="135"/>
      <c r="AJ1022" s="135"/>
      <c r="AK1022" s="135"/>
      <c r="AL1022" s="135"/>
      <c r="AM1022" s="135"/>
      <c r="AN1022" s="135"/>
      <c r="AO1022" s="135"/>
      <c r="AP1022" s="135"/>
      <c r="AQ1022" s="135"/>
      <c r="AR1022" s="135"/>
      <c r="AS1022" s="135"/>
      <c r="AT1022" s="135"/>
      <c r="AU1022" s="135"/>
    </row>
    <row r="1023" spans="1:47" x14ac:dyDescent="0.2">
      <c r="A1023" s="174"/>
      <c r="B1023" s="175"/>
      <c r="C1023" s="176"/>
      <c r="D1023" s="177"/>
      <c r="E1023" s="178"/>
      <c r="F1023" s="178"/>
      <c r="G1023" s="178"/>
      <c r="H1023" s="178"/>
      <c r="I1023" s="186" t="s">
        <v>1361</v>
      </c>
      <c r="J1023" s="206" t="s">
        <v>679</v>
      </c>
      <c r="K1023" s="207">
        <f>100415*2%</f>
        <v>2008.3</v>
      </c>
      <c r="L1023" s="182"/>
      <c r="M1023" s="183"/>
      <c r="N1023" s="135"/>
      <c r="O1023" s="135"/>
      <c r="P1023" s="135"/>
      <c r="Q1023" s="135"/>
      <c r="R1023" s="135"/>
      <c r="S1023" s="135"/>
      <c r="T1023" s="135"/>
      <c r="U1023" s="135"/>
      <c r="V1023" s="135"/>
      <c r="W1023" s="135"/>
      <c r="X1023" s="135"/>
      <c r="Y1023" s="135"/>
      <c r="Z1023" s="135"/>
      <c r="AA1023" s="135"/>
      <c r="AB1023" s="135"/>
      <c r="AC1023" s="135"/>
      <c r="AD1023" s="135"/>
      <c r="AE1023" s="135"/>
      <c r="AF1023" s="135"/>
      <c r="AG1023" s="135"/>
      <c r="AH1023" s="135"/>
      <c r="AI1023" s="135"/>
      <c r="AJ1023" s="135"/>
      <c r="AK1023" s="135"/>
      <c r="AL1023" s="135"/>
      <c r="AM1023" s="135"/>
      <c r="AN1023" s="135"/>
      <c r="AO1023" s="135"/>
      <c r="AP1023" s="135"/>
      <c r="AQ1023" s="135"/>
      <c r="AR1023" s="135"/>
      <c r="AS1023" s="135"/>
      <c r="AT1023" s="135"/>
      <c r="AU1023" s="135"/>
    </row>
    <row r="1024" spans="1:47" x14ac:dyDescent="0.2">
      <c r="A1024" s="174"/>
      <c r="B1024" s="175"/>
      <c r="C1024" s="176"/>
      <c r="D1024" s="177"/>
      <c r="E1024" s="178"/>
      <c r="F1024" s="178"/>
      <c r="G1024" s="178"/>
      <c r="H1024" s="178"/>
      <c r="I1024" s="186" t="s">
        <v>1362</v>
      </c>
      <c r="J1024" s="206" t="s">
        <v>679</v>
      </c>
      <c r="K1024" s="207">
        <f>100415*1%</f>
        <v>1004.15</v>
      </c>
      <c r="L1024" s="182"/>
      <c r="M1024" s="183"/>
      <c r="N1024" s="135"/>
      <c r="O1024" s="135"/>
      <c r="P1024" s="135"/>
      <c r="Q1024" s="135"/>
      <c r="R1024" s="135"/>
      <c r="S1024" s="135"/>
      <c r="T1024" s="135"/>
      <c r="U1024" s="135"/>
      <c r="V1024" s="135"/>
      <c r="W1024" s="135"/>
      <c r="X1024" s="135"/>
      <c r="Y1024" s="135"/>
      <c r="Z1024" s="135"/>
      <c r="AA1024" s="135"/>
      <c r="AB1024" s="135"/>
      <c r="AC1024" s="135"/>
      <c r="AD1024" s="135"/>
      <c r="AE1024" s="135"/>
      <c r="AF1024" s="135"/>
      <c r="AG1024" s="135"/>
      <c r="AH1024" s="135"/>
      <c r="AI1024" s="135"/>
      <c r="AJ1024" s="135"/>
      <c r="AK1024" s="135"/>
      <c r="AL1024" s="135"/>
      <c r="AM1024" s="135"/>
      <c r="AN1024" s="135"/>
      <c r="AO1024" s="135"/>
      <c r="AP1024" s="135"/>
      <c r="AQ1024" s="135"/>
      <c r="AR1024" s="135"/>
      <c r="AS1024" s="135"/>
      <c r="AT1024" s="135"/>
      <c r="AU1024" s="135"/>
    </row>
    <row r="1025" spans="1:47" x14ac:dyDescent="0.2">
      <c r="A1025" s="174"/>
      <c r="B1025" s="175"/>
      <c r="C1025" s="176"/>
      <c r="D1025" s="177"/>
      <c r="E1025" s="178"/>
      <c r="F1025" s="178"/>
      <c r="G1025" s="178"/>
      <c r="H1025" s="178"/>
      <c r="I1025" s="186" t="s">
        <v>1363</v>
      </c>
      <c r="J1025" s="206" t="s">
        <v>679</v>
      </c>
      <c r="K1025" s="207">
        <f>100415*1%</f>
        <v>1004.15</v>
      </c>
      <c r="L1025" s="182"/>
      <c r="M1025" s="183"/>
      <c r="N1025" s="135"/>
      <c r="O1025" s="135"/>
      <c r="P1025" s="135"/>
      <c r="Q1025" s="135"/>
      <c r="R1025" s="135"/>
      <c r="S1025" s="135"/>
      <c r="T1025" s="135"/>
      <c r="U1025" s="135"/>
      <c r="V1025" s="135"/>
      <c r="W1025" s="135"/>
      <c r="X1025" s="135"/>
      <c r="Y1025" s="135"/>
      <c r="Z1025" s="135"/>
      <c r="AA1025" s="135"/>
      <c r="AB1025" s="135"/>
      <c r="AC1025" s="135"/>
      <c r="AD1025" s="135"/>
      <c r="AE1025" s="135"/>
      <c r="AF1025" s="135"/>
      <c r="AG1025" s="135"/>
      <c r="AH1025" s="135"/>
      <c r="AI1025" s="135"/>
      <c r="AJ1025" s="135"/>
      <c r="AK1025" s="135"/>
      <c r="AL1025" s="135"/>
      <c r="AM1025" s="135"/>
      <c r="AN1025" s="135"/>
      <c r="AO1025" s="135"/>
      <c r="AP1025" s="135"/>
      <c r="AQ1025" s="135"/>
      <c r="AR1025" s="135"/>
      <c r="AS1025" s="135"/>
      <c r="AT1025" s="135"/>
      <c r="AU1025" s="135"/>
    </row>
    <row r="1026" spans="1:47" x14ac:dyDescent="0.2">
      <c r="A1026" s="174"/>
      <c r="B1026" s="175"/>
      <c r="C1026" s="176"/>
      <c r="D1026" s="177"/>
      <c r="E1026" s="178"/>
      <c r="F1026" s="178"/>
      <c r="G1026" s="178"/>
      <c r="H1026" s="178"/>
      <c r="I1026" s="186" t="s">
        <v>1364</v>
      </c>
      <c r="J1026" s="206" t="s">
        <v>679</v>
      </c>
      <c r="K1026" s="207">
        <f>100415*1%</f>
        <v>1004.15</v>
      </c>
      <c r="L1026" s="182"/>
      <c r="M1026" s="183"/>
      <c r="N1026" s="135"/>
      <c r="O1026" s="135"/>
      <c r="P1026" s="135"/>
      <c r="Q1026" s="135"/>
      <c r="R1026" s="135"/>
      <c r="S1026" s="135"/>
      <c r="T1026" s="135"/>
      <c r="U1026" s="135"/>
      <c r="V1026" s="135"/>
      <c r="W1026" s="135"/>
      <c r="X1026" s="135"/>
      <c r="Y1026" s="135"/>
      <c r="Z1026" s="135"/>
      <c r="AA1026" s="135"/>
      <c r="AB1026" s="135"/>
      <c r="AC1026" s="135"/>
      <c r="AD1026" s="135"/>
      <c r="AE1026" s="135"/>
      <c r="AF1026" s="135"/>
      <c r="AG1026" s="135"/>
      <c r="AH1026" s="135"/>
      <c r="AI1026" s="135"/>
      <c r="AJ1026" s="135"/>
      <c r="AK1026" s="135"/>
      <c r="AL1026" s="135"/>
      <c r="AM1026" s="135"/>
      <c r="AN1026" s="135"/>
      <c r="AO1026" s="135"/>
      <c r="AP1026" s="135"/>
      <c r="AQ1026" s="135"/>
      <c r="AR1026" s="135"/>
      <c r="AS1026" s="135"/>
      <c r="AT1026" s="135"/>
      <c r="AU1026" s="135"/>
    </row>
    <row r="1027" spans="1:47" x14ac:dyDescent="0.2">
      <c r="A1027" s="174"/>
      <c r="B1027" s="175"/>
      <c r="C1027" s="176"/>
      <c r="D1027" s="177"/>
      <c r="E1027" s="178"/>
      <c r="F1027" s="178"/>
      <c r="G1027" s="178"/>
      <c r="H1027" s="178"/>
      <c r="I1027" s="186" t="s">
        <v>1365</v>
      </c>
      <c r="J1027" s="206" t="s">
        <v>679</v>
      </c>
      <c r="K1027" s="207">
        <f>100415*2%</f>
        <v>2008.3</v>
      </c>
      <c r="L1027" s="182"/>
      <c r="M1027" s="183"/>
      <c r="N1027" s="135"/>
      <c r="O1027" s="135"/>
      <c r="P1027" s="135"/>
      <c r="Q1027" s="135"/>
      <c r="R1027" s="135"/>
      <c r="S1027" s="135"/>
      <c r="T1027" s="135"/>
      <c r="U1027" s="135"/>
      <c r="V1027" s="135"/>
      <c r="W1027" s="135"/>
      <c r="X1027" s="135"/>
      <c r="Y1027" s="135"/>
      <c r="Z1027" s="135"/>
      <c r="AA1027" s="135"/>
      <c r="AB1027" s="135"/>
      <c r="AC1027" s="135"/>
      <c r="AD1027" s="135"/>
      <c r="AE1027" s="135"/>
      <c r="AF1027" s="135"/>
      <c r="AG1027" s="135"/>
      <c r="AH1027" s="135"/>
      <c r="AI1027" s="135"/>
      <c r="AJ1027" s="135"/>
      <c r="AK1027" s="135"/>
      <c r="AL1027" s="135"/>
      <c r="AM1027" s="135"/>
      <c r="AN1027" s="135"/>
      <c r="AO1027" s="135"/>
      <c r="AP1027" s="135"/>
      <c r="AQ1027" s="135"/>
      <c r="AR1027" s="135"/>
      <c r="AS1027" s="135"/>
      <c r="AT1027" s="135"/>
      <c r="AU1027" s="135"/>
    </row>
    <row r="1028" spans="1:47" x14ac:dyDescent="0.2">
      <c r="A1028" s="187"/>
      <c r="B1028" s="188"/>
      <c r="C1028" s="189"/>
      <c r="D1028" s="190"/>
      <c r="E1028" s="191"/>
      <c r="F1028" s="191"/>
      <c r="G1028" s="191"/>
      <c r="H1028" s="191"/>
      <c r="I1028" s="202"/>
      <c r="J1028" s="203"/>
      <c r="K1028" s="194">
        <f>SUM(K1015:K1027)</f>
        <v>100414.99999999999</v>
      </c>
      <c r="L1028" s="195"/>
      <c r="M1028" s="196"/>
      <c r="N1028" s="135"/>
      <c r="O1028" s="135"/>
      <c r="P1028" s="135"/>
      <c r="Q1028" s="135"/>
      <c r="R1028" s="135"/>
      <c r="S1028" s="135"/>
      <c r="T1028" s="135"/>
      <c r="U1028" s="135"/>
      <c r="V1028" s="135"/>
      <c r="W1028" s="135"/>
      <c r="X1028" s="135"/>
      <c r="Y1028" s="135"/>
      <c r="Z1028" s="135"/>
      <c r="AA1028" s="135"/>
      <c r="AB1028" s="135"/>
      <c r="AC1028" s="135"/>
      <c r="AD1028" s="135"/>
      <c r="AE1028" s="135"/>
      <c r="AF1028" s="135"/>
      <c r="AG1028" s="135"/>
      <c r="AH1028" s="135"/>
      <c r="AI1028" s="135"/>
      <c r="AJ1028" s="135"/>
      <c r="AK1028" s="135"/>
      <c r="AL1028" s="135"/>
      <c r="AM1028" s="135"/>
      <c r="AN1028" s="135"/>
      <c r="AO1028" s="135"/>
      <c r="AP1028" s="135"/>
      <c r="AQ1028" s="135"/>
      <c r="AR1028" s="135"/>
      <c r="AS1028" s="135"/>
      <c r="AT1028" s="135"/>
      <c r="AU1028" s="135"/>
    </row>
    <row r="1029" spans="1:47" ht="48" customHeight="1" x14ac:dyDescent="0.2">
      <c r="A1029" s="163">
        <v>227</v>
      </c>
      <c r="B1029" s="164" t="s">
        <v>1366</v>
      </c>
      <c r="C1029" s="165"/>
      <c r="D1029" s="166" t="s">
        <v>107</v>
      </c>
      <c r="E1029" s="167"/>
      <c r="F1029" s="167"/>
      <c r="G1029" s="166"/>
      <c r="H1029" s="166" t="s">
        <v>137</v>
      </c>
      <c r="I1029" s="217" t="s">
        <v>1367</v>
      </c>
      <c r="J1029" s="197" t="s">
        <v>379</v>
      </c>
      <c r="K1029" s="205">
        <f>12000*75%</f>
        <v>9000</v>
      </c>
      <c r="L1029" s="171" t="s">
        <v>111</v>
      </c>
      <c r="M1029" s="172" t="s">
        <v>1368</v>
      </c>
      <c r="N1029" s="135"/>
      <c r="O1029" s="135"/>
      <c r="P1029" s="135"/>
      <c r="Q1029" s="135"/>
      <c r="R1029" s="135"/>
      <c r="S1029" s="135"/>
      <c r="T1029" s="135"/>
      <c r="U1029" s="135"/>
      <c r="V1029" s="135"/>
      <c r="W1029" s="135"/>
      <c r="X1029" s="135"/>
      <c r="Y1029" s="135"/>
      <c r="Z1029" s="135"/>
      <c r="AA1029" s="135"/>
      <c r="AB1029" s="135"/>
      <c r="AC1029" s="135"/>
      <c r="AD1029" s="135"/>
      <c r="AE1029" s="135"/>
      <c r="AF1029" s="135"/>
      <c r="AG1029" s="135"/>
      <c r="AH1029" s="135"/>
      <c r="AI1029" s="135"/>
      <c r="AJ1029" s="135"/>
      <c r="AK1029" s="135"/>
      <c r="AL1029" s="135"/>
      <c r="AM1029" s="135"/>
      <c r="AN1029" s="135"/>
      <c r="AO1029" s="135"/>
      <c r="AP1029" s="135"/>
      <c r="AQ1029" s="135"/>
      <c r="AR1029" s="135"/>
      <c r="AS1029" s="135"/>
      <c r="AT1029" s="135"/>
      <c r="AU1029" s="135"/>
    </row>
    <row r="1030" spans="1:47" ht="48" x14ac:dyDescent="0.2">
      <c r="A1030" s="174"/>
      <c r="B1030" s="175"/>
      <c r="C1030" s="176"/>
      <c r="D1030" s="177"/>
      <c r="E1030" s="178"/>
      <c r="F1030" s="178"/>
      <c r="G1030" s="177"/>
      <c r="H1030" s="177"/>
      <c r="I1030" s="168" t="s">
        <v>1369</v>
      </c>
      <c r="J1030" s="169" t="s">
        <v>460</v>
      </c>
      <c r="K1030" s="226">
        <f>12000*15%</f>
        <v>1800</v>
      </c>
      <c r="L1030" s="182"/>
      <c r="M1030" s="183"/>
      <c r="N1030" s="135"/>
      <c r="O1030" s="135"/>
      <c r="P1030" s="135"/>
      <c r="Q1030" s="135"/>
      <c r="R1030" s="135"/>
      <c r="S1030" s="135"/>
      <c r="T1030" s="135"/>
      <c r="U1030" s="135"/>
      <c r="V1030" s="135"/>
      <c r="W1030" s="135"/>
      <c r="X1030" s="135"/>
      <c r="Y1030" s="135"/>
      <c r="Z1030" s="135"/>
      <c r="AA1030" s="135"/>
      <c r="AB1030" s="135"/>
      <c r="AC1030" s="135"/>
      <c r="AD1030" s="135"/>
      <c r="AE1030" s="135"/>
      <c r="AF1030" s="135"/>
      <c r="AG1030" s="135"/>
      <c r="AH1030" s="135"/>
      <c r="AI1030" s="135"/>
      <c r="AJ1030" s="135"/>
      <c r="AK1030" s="135"/>
      <c r="AL1030" s="135"/>
      <c r="AM1030" s="135"/>
      <c r="AN1030" s="135"/>
      <c r="AO1030" s="135"/>
      <c r="AP1030" s="135"/>
      <c r="AQ1030" s="135"/>
      <c r="AR1030" s="135"/>
      <c r="AS1030" s="135"/>
      <c r="AT1030" s="135"/>
      <c r="AU1030" s="135"/>
    </row>
    <row r="1031" spans="1:47" x14ac:dyDescent="0.2">
      <c r="A1031" s="174"/>
      <c r="B1031" s="175"/>
      <c r="C1031" s="176"/>
      <c r="D1031" s="177"/>
      <c r="E1031" s="178"/>
      <c r="F1031" s="178"/>
      <c r="G1031" s="177"/>
      <c r="H1031" s="177"/>
      <c r="I1031" s="186" t="s">
        <v>1370</v>
      </c>
      <c r="J1031" s="180" t="s">
        <v>379</v>
      </c>
      <c r="K1031" s="207">
        <f>12000*10%</f>
        <v>1200</v>
      </c>
      <c r="L1031" s="182"/>
      <c r="M1031" s="183"/>
      <c r="N1031" s="135"/>
      <c r="O1031" s="135"/>
      <c r="P1031" s="135"/>
      <c r="Q1031" s="135"/>
      <c r="R1031" s="135"/>
      <c r="S1031" s="135"/>
      <c r="T1031" s="135"/>
      <c r="U1031" s="135"/>
      <c r="V1031" s="135"/>
      <c r="W1031" s="135"/>
      <c r="X1031" s="135"/>
      <c r="Y1031" s="135"/>
      <c r="Z1031" s="135"/>
      <c r="AA1031" s="135"/>
      <c r="AB1031" s="135"/>
      <c r="AC1031" s="135"/>
      <c r="AD1031" s="135"/>
      <c r="AE1031" s="135"/>
      <c r="AF1031" s="135"/>
      <c r="AG1031" s="135"/>
      <c r="AH1031" s="135"/>
      <c r="AI1031" s="135"/>
      <c r="AJ1031" s="135"/>
      <c r="AK1031" s="135"/>
      <c r="AL1031" s="135"/>
      <c r="AM1031" s="135"/>
      <c r="AN1031" s="135"/>
      <c r="AO1031" s="135"/>
      <c r="AP1031" s="135"/>
      <c r="AQ1031" s="135"/>
      <c r="AR1031" s="135"/>
      <c r="AS1031" s="135"/>
      <c r="AT1031" s="135"/>
      <c r="AU1031" s="135"/>
    </row>
    <row r="1032" spans="1:47" x14ac:dyDescent="0.2">
      <c r="A1032" s="187"/>
      <c r="B1032" s="188"/>
      <c r="C1032" s="189"/>
      <c r="D1032" s="190"/>
      <c r="E1032" s="191"/>
      <c r="F1032" s="191"/>
      <c r="G1032" s="190"/>
      <c r="H1032" s="190"/>
      <c r="I1032" s="192"/>
      <c r="J1032" s="215"/>
      <c r="K1032" s="354">
        <f>SUM(K1029:K1031)</f>
        <v>12000</v>
      </c>
      <c r="L1032" s="189"/>
      <c r="M1032" s="196"/>
      <c r="N1032" s="135"/>
      <c r="O1032" s="135"/>
      <c r="P1032" s="135"/>
      <c r="Q1032" s="135"/>
      <c r="R1032" s="135"/>
      <c r="S1032" s="135"/>
      <c r="T1032" s="135"/>
      <c r="U1032" s="135"/>
      <c r="V1032" s="135"/>
      <c r="W1032" s="135"/>
      <c r="X1032" s="135"/>
      <c r="Y1032" s="135"/>
      <c r="Z1032" s="135"/>
      <c r="AA1032" s="135"/>
      <c r="AB1032" s="135"/>
      <c r="AC1032" s="135"/>
      <c r="AD1032" s="135"/>
      <c r="AE1032" s="135"/>
      <c r="AF1032" s="135"/>
      <c r="AG1032" s="135"/>
      <c r="AH1032" s="135"/>
      <c r="AI1032" s="135"/>
      <c r="AJ1032" s="135"/>
      <c r="AK1032" s="135"/>
      <c r="AL1032" s="135"/>
      <c r="AM1032" s="135"/>
      <c r="AN1032" s="135"/>
      <c r="AO1032" s="135"/>
      <c r="AP1032" s="135"/>
      <c r="AQ1032" s="135"/>
      <c r="AR1032" s="135"/>
      <c r="AS1032" s="135"/>
      <c r="AT1032" s="135"/>
      <c r="AU1032" s="135"/>
    </row>
    <row r="1033" spans="1:47" ht="24" customHeight="1" x14ac:dyDescent="0.2">
      <c r="A1033" s="163">
        <v>228</v>
      </c>
      <c r="B1033" s="164" t="s">
        <v>1371</v>
      </c>
      <c r="C1033" s="165"/>
      <c r="D1033" s="166" t="s">
        <v>107</v>
      </c>
      <c r="E1033" s="167"/>
      <c r="F1033" s="167"/>
      <c r="G1033" s="166"/>
      <c r="H1033" s="301" t="s">
        <v>162</v>
      </c>
      <c r="I1033" s="217" t="s">
        <v>1372</v>
      </c>
      <c r="J1033" s="355" t="s">
        <v>916</v>
      </c>
      <c r="K1033" s="278">
        <f>9000*50%</f>
        <v>4500</v>
      </c>
      <c r="L1033" s="165" t="s">
        <v>111</v>
      </c>
      <c r="M1033" s="172" t="s">
        <v>1373</v>
      </c>
      <c r="N1033" s="135"/>
      <c r="O1033" s="135"/>
      <c r="P1033" s="135"/>
      <c r="Q1033" s="135"/>
      <c r="R1033" s="135"/>
      <c r="S1033" s="135"/>
      <c r="T1033" s="135"/>
      <c r="U1033" s="135"/>
      <c r="V1033" s="135"/>
      <c r="W1033" s="135"/>
      <c r="X1033" s="135"/>
      <c r="Y1033" s="135"/>
      <c r="Z1033" s="135"/>
      <c r="AA1033" s="135"/>
      <c r="AB1033" s="135"/>
      <c r="AC1033" s="135"/>
      <c r="AD1033" s="135"/>
      <c r="AE1033" s="135"/>
      <c r="AF1033" s="135"/>
      <c r="AG1033" s="135"/>
      <c r="AH1033" s="135"/>
      <c r="AI1033" s="135"/>
      <c r="AJ1033" s="135"/>
      <c r="AK1033" s="135"/>
      <c r="AL1033" s="135"/>
      <c r="AM1033" s="135"/>
      <c r="AN1033" s="135"/>
      <c r="AO1033" s="135"/>
      <c r="AP1033" s="135"/>
      <c r="AQ1033" s="135"/>
      <c r="AR1033" s="135"/>
      <c r="AS1033" s="135"/>
      <c r="AT1033" s="135"/>
      <c r="AU1033" s="135"/>
    </row>
    <row r="1034" spans="1:47" x14ac:dyDescent="0.2">
      <c r="A1034" s="174"/>
      <c r="B1034" s="175"/>
      <c r="C1034" s="176"/>
      <c r="D1034" s="177"/>
      <c r="E1034" s="178"/>
      <c r="F1034" s="178"/>
      <c r="G1034" s="177"/>
      <c r="H1034" s="303"/>
      <c r="I1034" s="186" t="s">
        <v>1374</v>
      </c>
      <c r="J1034" s="348" t="s">
        <v>916</v>
      </c>
      <c r="K1034" s="213">
        <f>9000*20%</f>
        <v>1800</v>
      </c>
      <c r="L1034" s="176"/>
      <c r="M1034" s="183"/>
      <c r="N1034" s="135"/>
      <c r="O1034" s="135"/>
      <c r="P1034" s="135"/>
      <c r="Q1034" s="135"/>
      <c r="R1034" s="135"/>
      <c r="S1034" s="135"/>
      <c r="T1034" s="135"/>
      <c r="U1034" s="135"/>
      <c r="V1034" s="135"/>
      <c r="W1034" s="135"/>
      <c r="X1034" s="135"/>
      <c r="Y1034" s="135"/>
      <c r="Z1034" s="135"/>
      <c r="AA1034" s="135"/>
      <c r="AB1034" s="135"/>
      <c r="AC1034" s="135"/>
      <c r="AD1034" s="135"/>
      <c r="AE1034" s="135"/>
      <c r="AF1034" s="135"/>
      <c r="AG1034" s="135"/>
      <c r="AH1034" s="135"/>
      <c r="AI1034" s="135"/>
      <c r="AJ1034" s="135"/>
      <c r="AK1034" s="135"/>
      <c r="AL1034" s="135"/>
      <c r="AM1034" s="135"/>
      <c r="AN1034" s="135"/>
      <c r="AO1034" s="135"/>
      <c r="AP1034" s="135"/>
      <c r="AQ1034" s="135"/>
      <c r="AR1034" s="135"/>
      <c r="AS1034" s="135"/>
      <c r="AT1034" s="135"/>
      <c r="AU1034" s="135"/>
    </row>
    <row r="1035" spans="1:47" ht="24" customHeight="1" x14ac:dyDescent="0.2">
      <c r="A1035" s="174"/>
      <c r="B1035" s="175"/>
      <c r="C1035" s="176"/>
      <c r="D1035" s="177"/>
      <c r="E1035" s="178"/>
      <c r="F1035" s="178"/>
      <c r="G1035" s="177"/>
      <c r="H1035" s="303"/>
      <c r="I1035" s="186" t="s">
        <v>940</v>
      </c>
      <c r="J1035" s="348" t="s">
        <v>916</v>
      </c>
      <c r="K1035" s="213">
        <f>9000*20%</f>
        <v>1800</v>
      </c>
      <c r="L1035" s="176"/>
      <c r="M1035" s="183"/>
      <c r="N1035" s="135"/>
      <c r="O1035" s="135"/>
      <c r="P1035" s="135"/>
      <c r="Q1035" s="135"/>
      <c r="R1035" s="135"/>
      <c r="S1035" s="135"/>
      <c r="T1035" s="135"/>
      <c r="U1035" s="135"/>
      <c r="V1035" s="135"/>
      <c r="W1035" s="135"/>
      <c r="X1035" s="135"/>
      <c r="Y1035" s="135"/>
      <c r="Z1035" s="135"/>
      <c r="AA1035" s="135"/>
      <c r="AB1035" s="135"/>
      <c r="AC1035" s="135"/>
      <c r="AD1035" s="135"/>
      <c r="AE1035" s="135"/>
      <c r="AF1035" s="135"/>
      <c r="AG1035" s="135"/>
      <c r="AH1035" s="135"/>
      <c r="AI1035" s="135"/>
      <c r="AJ1035" s="135"/>
      <c r="AK1035" s="135"/>
      <c r="AL1035" s="135"/>
      <c r="AM1035" s="135"/>
      <c r="AN1035" s="135"/>
      <c r="AO1035" s="135"/>
      <c r="AP1035" s="135"/>
      <c r="AQ1035" s="135"/>
      <c r="AR1035" s="135"/>
      <c r="AS1035" s="135"/>
      <c r="AT1035" s="135"/>
      <c r="AU1035" s="135"/>
    </row>
    <row r="1036" spans="1:47" x14ac:dyDescent="0.2">
      <c r="A1036" s="174"/>
      <c r="B1036" s="175"/>
      <c r="C1036" s="176"/>
      <c r="D1036" s="177"/>
      <c r="E1036" s="178"/>
      <c r="F1036" s="178"/>
      <c r="G1036" s="177"/>
      <c r="H1036" s="303"/>
      <c r="I1036" s="186" t="s">
        <v>1375</v>
      </c>
      <c r="J1036" s="348" t="s">
        <v>916</v>
      </c>
      <c r="K1036" s="213">
        <f>9000*10%</f>
        <v>900</v>
      </c>
      <c r="L1036" s="176"/>
      <c r="M1036" s="183"/>
      <c r="N1036" s="135"/>
      <c r="O1036" s="135"/>
      <c r="P1036" s="135"/>
      <c r="Q1036" s="135"/>
      <c r="R1036" s="135"/>
      <c r="S1036" s="135"/>
      <c r="T1036" s="135"/>
      <c r="U1036" s="135"/>
      <c r="V1036" s="135"/>
      <c r="W1036" s="135"/>
      <c r="X1036" s="135"/>
      <c r="Y1036" s="135"/>
      <c r="Z1036" s="135"/>
      <c r="AA1036" s="135"/>
      <c r="AB1036" s="135"/>
      <c r="AC1036" s="135"/>
      <c r="AD1036" s="135"/>
      <c r="AE1036" s="135"/>
      <c r="AF1036" s="135"/>
      <c r="AG1036" s="135"/>
      <c r="AH1036" s="135"/>
      <c r="AI1036" s="135"/>
      <c r="AJ1036" s="135"/>
      <c r="AK1036" s="135"/>
      <c r="AL1036" s="135"/>
      <c r="AM1036" s="135"/>
      <c r="AN1036" s="135"/>
      <c r="AO1036" s="135"/>
      <c r="AP1036" s="135"/>
      <c r="AQ1036" s="135"/>
      <c r="AR1036" s="135"/>
      <c r="AS1036" s="135"/>
      <c r="AT1036" s="135"/>
      <c r="AU1036" s="135"/>
    </row>
    <row r="1037" spans="1:47" x14ac:dyDescent="0.2">
      <c r="A1037" s="187"/>
      <c r="B1037" s="188"/>
      <c r="C1037" s="189"/>
      <c r="D1037" s="190"/>
      <c r="E1037" s="191"/>
      <c r="F1037" s="191"/>
      <c r="G1037" s="190"/>
      <c r="H1037" s="304"/>
      <c r="I1037" s="202"/>
      <c r="J1037" s="349"/>
      <c r="K1037" s="319">
        <f>SUM(K1033:K1036)</f>
        <v>9000</v>
      </c>
      <c r="L1037" s="189"/>
      <c r="M1037" s="196"/>
      <c r="N1037" s="135"/>
      <c r="O1037" s="135"/>
      <c r="P1037" s="135"/>
      <c r="Q1037" s="135"/>
      <c r="R1037" s="135"/>
      <c r="S1037" s="135"/>
      <c r="T1037" s="135"/>
      <c r="U1037" s="135"/>
      <c r="V1037" s="135"/>
      <c r="W1037" s="135"/>
      <c r="X1037" s="135"/>
      <c r="Y1037" s="135"/>
      <c r="Z1037" s="135"/>
      <c r="AA1037" s="135"/>
      <c r="AB1037" s="135"/>
      <c r="AC1037" s="135"/>
      <c r="AD1037" s="135"/>
      <c r="AE1037" s="135"/>
      <c r="AF1037" s="135"/>
      <c r="AG1037" s="135"/>
      <c r="AH1037" s="135"/>
      <c r="AI1037" s="135"/>
      <c r="AJ1037" s="135"/>
      <c r="AK1037" s="135"/>
      <c r="AL1037" s="135"/>
      <c r="AM1037" s="135"/>
      <c r="AN1037" s="135"/>
      <c r="AO1037" s="135"/>
      <c r="AP1037" s="135"/>
      <c r="AQ1037" s="135"/>
      <c r="AR1037" s="135"/>
      <c r="AS1037" s="135"/>
      <c r="AT1037" s="135"/>
      <c r="AU1037" s="135"/>
    </row>
    <row r="1038" spans="1:47" ht="24" customHeight="1" x14ac:dyDescent="0.2">
      <c r="A1038" s="163">
        <v>229</v>
      </c>
      <c r="B1038" s="164" t="s">
        <v>1376</v>
      </c>
      <c r="C1038" s="165"/>
      <c r="D1038" s="166" t="s">
        <v>107</v>
      </c>
      <c r="E1038" s="167"/>
      <c r="F1038" s="167"/>
      <c r="G1038" s="166"/>
      <c r="H1038" s="301" t="s">
        <v>108</v>
      </c>
      <c r="I1038" s="299" t="s">
        <v>1377</v>
      </c>
      <c r="J1038" s="347" t="s">
        <v>916</v>
      </c>
      <c r="K1038" s="270">
        <f>9000*40%</f>
        <v>3600</v>
      </c>
      <c r="L1038" s="165" t="s">
        <v>111</v>
      </c>
      <c r="M1038" s="172" t="s">
        <v>1378</v>
      </c>
      <c r="N1038" s="135"/>
      <c r="O1038" s="135"/>
      <c r="P1038" s="135"/>
      <c r="Q1038" s="135"/>
      <c r="R1038" s="135"/>
      <c r="S1038" s="135"/>
      <c r="T1038" s="135"/>
      <c r="U1038" s="135"/>
      <c r="V1038" s="135"/>
      <c r="W1038" s="135"/>
      <c r="X1038" s="135"/>
      <c r="Y1038" s="135"/>
      <c r="Z1038" s="135"/>
      <c r="AA1038" s="135"/>
      <c r="AB1038" s="135"/>
      <c r="AC1038" s="135"/>
      <c r="AD1038" s="135"/>
      <c r="AE1038" s="135"/>
      <c r="AF1038" s="135"/>
      <c r="AG1038" s="135"/>
      <c r="AH1038" s="135"/>
      <c r="AI1038" s="135"/>
      <c r="AJ1038" s="135"/>
      <c r="AK1038" s="135"/>
      <c r="AL1038" s="135"/>
      <c r="AM1038" s="135"/>
      <c r="AN1038" s="135"/>
      <c r="AO1038" s="135"/>
      <c r="AP1038" s="135"/>
      <c r="AQ1038" s="135"/>
      <c r="AR1038" s="135"/>
      <c r="AS1038" s="135"/>
      <c r="AT1038" s="135"/>
      <c r="AU1038" s="135"/>
    </row>
    <row r="1039" spans="1:47" ht="48" x14ac:dyDescent="0.2">
      <c r="A1039" s="174"/>
      <c r="B1039" s="175"/>
      <c r="C1039" s="176"/>
      <c r="D1039" s="177"/>
      <c r="E1039" s="178"/>
      <c r="F1039" s="178"/>
      <c r="G1039" s="177"/>
      <c r="H1039" s="303"/>
      <c r="I1039" s="186" t="s">
        <v>1379</v>
      </c>
      <c r="J1039" s="348" t="s">
        <v>916</v>
      </c>
      <c r="K1039" s="213">
        <f>9000*35%</f>
        <v>3150</v>
      </c>
      <c r="L1039" s="176"/>
      <c r="M1039" s="183"/>
      <c r="N1039" s="135"/>
      <c r="O1039" s="135"/>
      <c r="P1039" s="135"/>
      <c r="Q1039" s="135"/>
      <c r="R1039" s="135"/>
      <c r="S1039" s="135"/>
      <c r="T1039" s="135"/>
      <c r="U1039" s="135"/>
      <c r="V1039" s="135"/>
      <c r="W1039" s="135"/>
      <c r="X1039" s="135"/>
      <c r="Y1039" s="135"/>
      <c r="Z1039" s="135"/>
      <c r="AA1039" s="135"/>
      <c r="AB1039" s="135"/>
      <c r="AC1039" s="135"/>
      <c r="AD1039" s="135"/>
      <c r="AE1039" s="135"/>
      <c r="AF1039" s="135"/>
      <c r="AG1039" s="135"/>
      <c r="AH1039" s="135"/>
      <c r="AI1039" s="135"/>
      <c r="AJ1039" s="135"/>
      <c r="AK1039" s="135"/>
      <c r="AL1039" s="135"/>
      <c r="AM1039" s="135"/>
      <c r="AN1039" s="135"/>
      <c r="AO1039" s="135"/>
      <c r="AP1039" s="135"/>
      <c r="AQ1039" s="135"/>
      <c r="AR1039" s="135"/>
      <c r="AS1039" s="135"/>
      <c r="AT1039" s="135"/>
      <c r="AU1039" s="135"/>
    </row>
    <row r="1040" spans="1:47" ht="48" x14ac:dyDescent="0.2">
      <c r="A1040" s="174"/>
      <c r="B1040" s="175"/>
      <c r="C1040" s="176"/>
      <c r="D1040" s="177"/>
      <c r="E1040" s="178"/>
      <c r="F1040" s="178"/>
      <c r="G1040" s="177"/>
      <c r="H1040" s="303"/>
      <c r="I1040" s="186" t="s">
        <v>1380</v>
      </c>
      <c r="J1040" s="348" t="s">
        <v>916</v>
      </c>
      <c r="K1040" s="213">
        <f>9000*15%</f>
        <v>1350</v>
      </c>
      <c r="L1040" s="176"/>
      <c r="M1040" s="183"/>
      <c r="N1040" s="135"/>
      <c r="O1040" s="135"/>
      <c r="P1040" s="135"/>
      <c r="Q1040" s="135"/>
      <c r="R1040" s="135"/>
      <c r="S1040" s="135"/>
      <c r="T1040" s="135"/>
      <c r="U1040" s="135"/>
      <c r="V1040" s="135"/>
      <c r="W1040" s="135"/>
      <c r="X1040" s="135"/>
      <c r="Y1040" s="135"/>
      <c r="Z1040" s="135"/>
      <c r="AA1040" s="135"/>
      <c r="AB1040" s="135"/>
      <c r="AC1040" s="135"/>
      <c r="AD1040" s="135"/>
      <c r="AE1040" s="135"/>
      <c r="AF1040" s="135"/>
      <c r="AG1040" s="135"/>
      <c r="AH1040" s="135"/>
      <c r="AI1040" s="135"/>
      <c r="AJ1040" s="135"/>
      <c r="AK1040" s="135"/>
      <c r="AL1040" s="135"/>
      <c r="AM1040" s="135"/>
      <c r="AN1040" s="135"/>
      <c r="AO1040" s="135"/>
      <c r="AP1040" s="135"/>
      <c r="AQ1040" s="135"/>
      <c r="AR1040" s="135"/>
      <c r="AS1040" s="135"/>
      <c r="AT1040" s="135"/>
      <c r="AU1040" s="135"/>
    </row>
    <row r="1041" spans="1:47" x14ac:dyDescent="0.2">
      <c r="A1041" s="174"/>
      <c r="B1041" s="175"/>
      <c r="C1041" s="176"/>
      <c r="D1041" s="177"/>
      <c r="E1041" s="178"/>
      <c r="F1041" s="178"/>
      <c r="G1041" s="177"/>
      <c r="H1041" s="303"/>
      <c r="I1041" s="186" t="s">
        <v>1381</v>
      </c>
      <c r="J1041" s="348" t="s">
        <v>916</v>
      </c>
      <c r="K1041" s="213">
        <f>9000*10%</f>
        <v>900</v>
      </c>
      <c r="L1041" s="176"/>
      <c r="M1041" s="183"/>
      <c r="N1041" s="135"/>
      <c r="O1041" s="135"/>
      <c r="P1041" s="135"/>
      <c r="Q1041" s="135"/>
      <c r="R1041" s="135"/>
      <c r="S1041" s="135"/>
      <c r="T1041" s="135"/>
      <c r="U1041" s="135"/>
      <c r="V1041" s="135"/>
      <c r="W1041" s="135"/>
      <c r="X1041" s="135"/>
      <c r="Y1041" s="135"/>
      <c r="Z1041" s="135"/>
      <c r="AA1041" s="135"/>
      <c r="AB1041" s="135"/>
      <c r="AC1041" s="135"/>
      <c r="AD1041" s="135"/>
      <c r="AE1041" s="135"/>
      <c r="AF1041" s="135"/>
      <c r="AG1041" s="135"/>
      <c r="AH1041" s="135"/>
      <c r="AI1041" s="135"/>
      <c r="AJ1041" s="135"/>
      <c r="AK1041" s="135"/>
      <c r="AL1041" s="135"/>
      <c r="AM1041" s="135"/>
      <c r="AN1041" s="135"/>
      <c r="AO1041" s="135"/>
      <c r="AP1041" s="135"/>
      <c r="AQ1041" s="135"/>
      <c r="AR1041" s="135"/>
      <c r="AS1041" s="135"/>
      <c r="AT1041" s="135"/>
      <c r="AU1041" s="135"/>
    </row>
    <row r="1042" spans="1:47" x14ac:dyDescent="0.2">
      <c r="A1042" s="187"/>
      <c r="B1042" s="188"/>
      <c r="C1042" s="189"/>
      <c r="D1042" s="190"/>
      <c r="E1042" s="191"/>
      <c r="F1042" s="191"/>
      <c r="G1042" s="190"/>
      <c r="H1042" s="304"/>
      <c r="I1042" s="179"/>
      <c r="J1042" s="356"/>
      <c r="K1042" s="198"/>
      <c r="L1042" s="189"/>
      <c r="M1042" s="196"/>
      <c r="N1042" s="135"/>
      <c r="O1042" s="135"/>
      <c r="P1042" s="135"/>
      <c r="Q1042" s="135"/>
      <c r="R1042" s="135"/>
      <c r="S1042" s="135"/>
      <c r="T1042" s="135"/>
      <c r="U1042" s="135"/>
      <c r="V1042" s="135"/>
      <c r="W1042" s="135"/>
      <c r="X1042" s="135"/>
      <c r="Y1042" s="135"/>
      <c r="Z1042" s="135"/>
      <c r="AA1042" s="135"/>
      <c r="AB1042" s="135"/>
      <c r="AC1042" s="135"/>
      <c r="AD1042" s="135"/>
      <c r="AE1042" s="135"/>
      <c r="AF1042" s="135"/>
      <c r="AG1042" s="135"/>
      <c r="AH1042" s="135"/>
      <c r="AI1042" s="135"/>
      <c r="AJ1042" s="135"/>
      <c r="AK1042" s="135"/>
      <c r="AL1042" s="135"/>
      <c r="AM1042" s="135"/>
      <c r="AN1042" s="135"/>
      <c r="AO1042" s="135"/>
      <c r="AP1042" s="135"/>
      <c r="AQ1042" s="135"/>
      <c r="AR1042" s="135"/>
      <c r="AS1042" s="135"/>
      <c r="AT1042" s="135"/>
      <c r="AU1042" s="135"/>
    </row>
    <row r="1043" spans="1:47" ht="24" customHeight="1" x14ac:dyDescent="0.2">
      <c r="A1043" s="163">
        <v>230</v>
      </c>
      <c r="B1043" s="164" t="s">
        <v>1382</v>
      </c>
      <c r="C1043" s="165"/>
      <c r="D1043" s="166" t="s">
        <v>107</v>
      </c>
      <c r="E1043" s="167"/>
      <c r="F1043" s="167"/>
      <c r="G1043" s="166"/>
      <c r="H1043" s="301"/>
      <c r="I1043" s="217" t="s">
        <v>1383</v>
      </c>
      <c r="J1043" s="355" t="s">
        <v>916</v>
      </c>
      <c r="K1043" s="278">
        <f>9000*90%</f>
        <v>8100</v>
      </c>
      <c r="L1043" s="165" t="s">
        <v>111</v>
      </c>
      <c r="M1043" s="172" t="s">
        <v>1384</v>
      </c>
      <c r="N1043" s="135"/>
      <c r="O1043" s="135"/>
      <c r="P1043" s="135"/>
      <c r="Q1043" s="135"/>
      <c r="R1043" s="135"/>
      <c r="S1043" s="135"/>
      <c r="T1043" s="135"/>
      <c r="U1043" s="135"/>
      <c r="V1043" s="135"/>
      <c r="W1043" s="135"/>
      <c r="X1043" s="135"/>
      <c r="Y1043" s="135"/>
      <c r="Z1043" s="135"/>
      <c r="AA1043" s="135"/>
      <c r="AB1043" s="135"/>
      <c r="AC1043" s="135"/>
      <c r="AD1043" s="135"/>
      <c r="AE1043" s="135"/>
      <c r="AF1043" s="135"/>
      <c r="AG1043" s="135"/>
      <c r="AH1043" s="135"/>
      <c r="AI1043" s="135"/>
      <c r="AJ1043" s="135"/>
      <c r="AK1043" s="135"/>
      <c r="AL1043" s="135"/>
      <c r="AM1043" s="135"/>
      <c r="AN1043" s="135"/>
      <c r="AO1043" s="135"/>
      <c r="AP1043" s="135"/>
      <c r="AQ1043" s="135"/>
      <c r="AR1043" s="135"/>
      <c r="AS1043" s="135"/>
      <c r="AT1043" s="135"/>
      <c r="AU1043" s="135"/>
    </row>
    <row r="1044" spans="1:47" x14ac:dyDescent="0.2">
      <c r="A1044" s="174"/>
      <c r="B1044" s="175"/>
      <c r="C1044" s="176"/>
      <c r="D1044" s="177"/>
      <c r="E1044" s="178"/>
      <c r="F1044" s="178"/>
      <c r="G1044" s="177"/>
      <c r="H1044" s="303"/>
      <c r="I1044" s="186" t="s">
        <v>1385</v>
      </c>
      <c r="J1044" s="348" t="s">
        <v>916</v>
      </c>
      <c r="K1044" s="213">
        <f>9000*10%</f>
        <v>900</v>
      </c>
      <c r="L1044" s="176"/>
      <c r="M1044" s="183"/>
      <c r="N1044" s="135"/>
      <c r="O1044" s="135"/>
      <c r="P1044" s="135"/>
      <c r="Q1044" s="135"/>
      <c r="R1044" s="135"/>
      <c r="S1044" s="135"/>
      <c r="T1044" s="135"/>
      <c r="U1044" s="135"/>
      <c r="V1044" s="135"/>
      <c r="W1044" s="135"/>
      <c r="X1044" s="135"/>
      <c r="Y1044" s="135"/>
      <c r="Z1044" s="135"/>
      <c r="AA1044" s="135"/>
      <c r="AB1044" s="135"/>
      <c r="AC1044" s="135"/>
      <c r="AD1044" s="135"/>
      <c r="AE1044" s="135"/>
      <c r="AF1044" s="135"/>
      <c r="AG1044" s="135"/>
      <c r="AH1044" s="135"/>
      <c r="AI1044" s="135"/>
      <c r="AJ1044" s="135"/>
      <c r="AK1044" s="135"/>
      <c r="AL1044" s="135"/>
      <c r="AM1044" s="135"/>
      <c r="AN1044" s="135"/>
      <c r="AO1044" s="135"/>
      <c r="AP1044" s="135"/>
      <c r="AQ1044" s="135"/>
      <c r="AR1044" s="135"/>
      <c r="AS1044" s="135"/>
      <c r="AT1044" s="135"/>
      <c r="AU1044" s="135"/>
    </row>
    <row r="1045" spans="1:47" x14ac:dyDescent="0.2">
      <c r="A1045" s="187"/>
      <c r="B1045" s="188"/>
      <c r="C1045" s="189"/>
      <c r="D1045" s="190"/>
      <c r="E1045" s="191"/>
      <c r="F1045" s="191"/>
      <c r="G1045" s="190"/>
      <c r="H1045" s="304"/>
      <c r="I1045" s="202"/>
      <c r="J1045" s="349"/>
      <c r="K1045" s="319">
        <f>SUM(K1043:K1044)</f>
        <v>9000</v>
      </c>
      <c r="L1045" s="189"/>
      <c r="M1045" s="196"/>
      <c r="N1045" s="135"/>
      <c r="O1045" s="135"/>
      <c r="P1045" s="135"/>
      <c r="Q1045" s="135"/>
      <c r="R1045" s="135"/>
      <c r="S1045" s="135"/>
      <c r="T1045" s="135"/>
      <c r="U1045" s="135"/>
      <c r="V1045" s="135"/>
      <c r="W1045" s="135"/>
      <c r="X1045" s="135"/>
      <c r="Y1045" s="135"/>
      <c r="Z1045" s="135"/>
      <c r="AA1045" s="135"/>
      <c r="AB1045" s="135"/>
      <c r="AC1045" s="135"/>
      <c r="AD1045" s="135"/>
      <c r="AE1045" s="135"/>
      <c r="AF1045" s="135"/>
      <c r="AG1045" s="135"/>
      <c r="AH1045" s="135"/>
      <c r="AI1045" s="135"/>
      <c r="AJ1045" s="135"/>
      <c r="AK1045" s="135"/>
      <c r="AL1045" s="135"/>
      <c r="AM1045" s="135"/>
      <c r="AN1045" s="135"/>
      <c r="AO1045" s="135"/>
      <c r="AP1045" s="135"/>
      <c r="AQ1045" s="135"/>
      <c r="AR1045" s="135"/>
      <c r="AS1045" s="135"/>
      <c r="AT1045" s="135"/>
      <c r="AU1045" s="135"/>
    </row>
    <row r="1046" spans="1:47" ht="24" customHeight="1" x14ac:dyDescent="0.2">
      <c r="A1046" s="163">
        <v>231</v>
      </c>
      <c r="B1046" s="164" t="s">
        <v>1386</v>
      </c>
      <c r="C1046" s="165"/>
      <c r="D1046" s="166" t="s">
        <v>107</v>
      </c>
      <c r="E1046" s="167"/>
      <c r="F1046" s="167"/>
      <c r="G1046" s="166"/>
      <c r="H1046" s="301"/>
      <c r="I1046" s="299" t="s">
        <v>1387</v>
      </c>
      <c r="J1046" s="347" t="s">
        <v>916</v>
      </c>
      <c r="K1046" s="270">
        <f>9000*50%</f>
        <v>4500</v>
      </c>
      <c r="L1046" s="165" t="s">
        <v>111</v>
      </c>
      <c r="M1046" s="172" t="s">
        <v>1388</v>
      </c>
      <c r="N1046" s="135"/>
      <c r="O1046" s="135"/>
      <c r="P1046" s="135"/>
      <c r="Q1046" s="135"/>
      <c r="R1046" s="135"/>
      <c r="S1046" s="135"/>
      <c r="T1046" s="135"/>
      <c r="U1046" s="135"/>
      <c r="V1046" s="135"/>
      <c r="W1046" s="135"/>
      <c r="X1046" s="135"/>
      <c r="Y1046" s="135"/>
      <c r="Z1046" s="135"/>
      <c r="AA1046" s="135"/>
      <c r="AB1046" s="135"/>
      <c r="AC1046" s="135"/>
      <c r="AD1046" s="135"/>
      <c r="AE1046" s="135"/>
      <c r="AF1046" s="135"/>
      <c r="AG1046" s="135"/>
      <c r="AH1046" s="135"/>
      <c r="AI1046" s="135"/>
      <c r="AJ1046" s="135"/>
      <c r="AK1046" s="135"/>
      <c r="AL1046" s="135"/>
      <c r="AM1046" s="135"/>
      <c r="AN1046" s="135"/>
      <c r="AO1046" s="135"/>
      <c r="AP1046" s="135"/>
      <c r="AQ1046" s="135"/>
      <c r="AR1046" s="135"/>
      <c r="AS1046" s="135"/>
      <c r="AT1046" s="135"/>
      <c r="AU1046" s="135"/>
    </row>
    <row r="1047" spans="1:47" ht="48" x14ac:dyDescent="0.2">
      <c r="A1047" s="174"/>
      <c r="B1047" s="175"/>
      <c r="C1047" s="176"/>
      <c r="D1047" s="177"/>
      <c r="E1047" s="178"/>
      <c r="F1047" s="178"/>
      <c r="G1047" s="177"/>
      <c r="H1047" s="303"/>
      <c r="I1047" s="186" t="s">
        <v>1389</v>
      </c>
      <c r="J1047" s="348" t="s">
        <v>916</v>
      </c>
      <c r="K1047" s="213">
        <f>9000*20%</f>
        <v>1800</v>
      </c>
      <c r="L1047" s="176"/>
      <c r="M1047" s="183"/>
      <c r="N1047" s="135"/>
      <c r="O1047" s="135"/>
      <c r="P1047" s="135"/>
      <c r="Q1047" s="135"/>
      <c r="R1047" s="135"/>
      <c r="S1047" s="135"/>
      <c r="T1047" s="135"/>
      <c r="U1047" s="135"/>
      <c r="V1047" s="135"/>
      <c r="W1047" s="135"/>
      <c r="X1047" s="135"/>
      <c r="Y1047" s="135"/>
      <c r="Z1047" s="135"/>
      <c r="AA1047" s="135"/>
      <c r="AB1047" s="135"/>
      <c r="AC1047" s="135"/>
      <c r="AD1047" s="135"/>
      <c r="AE1047" s="135"/>
      <c r="AF1047" s="135"/>
      <c r="AG1047" s="135"/>
      <c r="AH1047" s="135"/>
      <c r="AI1047" s="135"/>
      <c r="AJ1047" s="135"/>
      <c r="AK1047" s="135"/>
      <c r="AL1047" s="135"/>
      <c r="AM1047" s="135"/>
      <c r="AN1047" s="135"/>
      <c r="AO1047" s="135"/>
      <c r="AP1047" s="135"/>
      <c r="AQ1047" s="135"/>
      <c r="AR1047" s="135"/>
      <c r="AS1047" s="135"/>
      <c r="AT1047" s="135"/>
      <c r="AU1047" s="135"/>
    </row>
    <row r="1048" spans="1:47" x14ac:dyDescent="0.2">
      <c r="A1048" s="174"/>
      <c r="B1048" s="175"/>
      <c r="C1048" s="176"/>
      <c r="D1048" s="177"/>
      <c r="E1048" s="178"/>
      <c r="F1048" s="178"/>
      <c r="G1048" s="177"/>
      <c r="H1048" s="303"/>
      <c r="I1048" s="186" t="s">
        <v>1390</v>
      </c>
      <c r="J1048" s="348" t="s">
        <v>916</v>
      </c>
      <c r="K1048" s="213">
        <f>9000*20%</f>
        <v>1800</v>
      </c>
      <c r="L1048" s="176"/>
      <c r="M1048" s="183"/>
      <c r="N1048" s="135"/>
      <c r="O1048" s="135"/>
      <c r="P1048" s="135"/>
      <c r="Q1048" s="135"/>
      <c r="R1048" s="135"/>
      <c r="S1048" s="135"/>
      <c r="T1048" s="135"/>
      <c r="U1048" s="135"/>
      <c r="V1048" s="135"/>
      <c r="W1048" s="135"/>
      <c r="X1048" s="135"/>
      <c r="Y1048" s="135"/>
      <c r="Z1048" s="135"/>
      <c r="AA1048" s="135"/>
      <c r="AB1048" s="135"/>
      <c r="AC1048" s="135"/>
      <c r="AD1048" s="135"/>
      <c r="AE1048" s="135"/>
      <c r="AF1048" s="135"/>
      <c r="AG1048" s="135"/>
      <c r="AH1048" s="135"/>
      <c r="AI1048" s="135"/>
      <c r="AJ1048" s="135"/>
      <c r="AK1048" s="135"/>
      <c r="AL1048" s="135"/>
      <c r="AM1048" s="135"/>
      <c r="AN1048" s="135"/>
      <c r="AO1048" s="135"/>
      <c r="AP1048" s="135"/>
      <c r="AQ1048" s="135"/>
      <c r="AR1048" s="135"/>
      <c r="AS1048" s="135"/>
      <c r="AT1048" s="135"/>
      <c r="AU1048" s="135"/>
    </row>
    <row r="1049" spans="1:47" ht="48" x14ac:dyDescent="0.2">
      <c r="A1049" s="174"/>
      <c r="B1049" s="175"/>
      <c r="C1049" s="176"/>
      <c r="D1049" s="177"/>
      <c r="E1049" s="178"/>
      <c r="F1049" s="178"/>
      <c r="G1049" s="177"/>
      <c r="H1049" s="303"/>
      <c r="I1049" s="186" t="s">
        <v>1391</v>
      </c>
      <c r="J1049" s="348" t="s">
        <v>188</v>
      </c>
      <c r="K1049" s="213">
        <f>9000*10%</f>
        <v>900</v>
      </c>
      <c r="L1049" s="176"/>
      <c r="M1049" s="183"/>
      <c r="N1049" s="135"/>
      <c r="O1049" s="135"/>
      <c r="P1049" s="135"/>
      <c r="Q1049" s="135"/>
      <c r="R1049" s="135"/>
      <c r="S1049" s="135"/>
      <c r="T1049" s="135"/>
      <c r="U1049" s="135"/>
      <c r="V1049" s="135"/>
      <c r="W1049" s="135"/>
      <c r="X1049" s="135"/>
      <c r="Y1049" s="135"/>
      <c r="Z1049" s="135"/>
      <c r="AA1049" s="135"/>
      <c r="AB1049" s="135"/>
      <c r="AC1049" s="135"/>
      <c r="AD1049" s="135"/>
      <c r="AE1049" s="135"/>
      <c r="AF1049" s="135"/>
      <c r="AG1049" s="135"/>
      <c r="AH1049" s="135"/>
      <c r="AI1049" s="135"/>
      <c r="AJ1049" s="135"/>
      <c r="AK1049" s="135"/>
      <c r="AL1049" s="135"/>
      <c r="AM1049" s="135"/>
      <c r="AN1049" s="135"/>
      <c r="AO1049" s="135"/>
      <c r="AP1049" s="135"/>
      <c r="AQ1049" s="135"/>
      <c r="AR1049" s="135"/>
      <c r="AS1049" s="135"/>
      <c r="AT1049" s="135"/>
      <c r="AU1049" s="135"/>
    </row>
    <row r="1050" spans="1:47" x14ac:dyDescent="0.2">
      <c r="A1050" s="187"/>
      <c r="B1050" s="188"/>
      <c r="C1050" s="189"/>
      <c r="D1050" s="190"/>
      <c r="E1050" s="191"/>
      <c r="F1050" s="191"/>
      <c r="G1050" s="190"/>
      <c r="H1050" s="304"/>
      <c r="I1050" s="179"/>
      <c r="J1050" s="356"/>
      <c r="K1050" s="198">
        <f>SUM(K1046:K1049)</f>
        <v>9000</v>
      </c>
      <c r="L1050" s="189"/>
      <c r="M1050" s="196"/>
      <c r="N1050" s="135"/>
      <c r="O1050" s="135"/>
      <c r="P1050" s="135"/>
      <c r="Q1050" s="135"/>
      <c r="R1050" s="135"/>
      <c r="S1050" s="135"/>
      <c r="T1050" s="135"/>
      <c r="U1050" s="135"/>
      <c r="V1050" s="135"/>
      <c r="W1050" s="135"/>
      <c r="X1050" s="135"/>
      <c r="Y1050" s="135"/>
      <c r="Z1050" s="135"/>
      <c r="AA1050" s="135"/>
      <c r="AB1050" s="135"/>
      <c r="AC1050" s="135"/>
      <c r="AD1050" s="135"/>
      <c r="AE1050" s="135"/>
      <c r="AF1050" s="135"/>
      <c r="AG1050" s="135"/>
      <c r="AH1050" s="135"/>
      <c r="AI1050" s="135"/>
      <c r="AJ1050" s="135"/>
      <c r="AK1050" s="135"/>
      <c r="AL1050" s="135"/>
      <c r="AM1050" s="135"/>
      <c r="AN1050" s="135"/>
      <c r="AO1050" s="135"/>
      <c r="AP1050" s="135"/>
      <c r="AQ1050" s="135"/>
      <c r="AR1050" s="135"/>
      <c r="AS1050" s="135"/>
      <c r="AT1050" s="135"/>
      <c r="AU1050" s="135"/>
    </row>
    <row r="1051" spans="1:47" ht="24" customHeight="1" x14ac:dyDescent="0.2">
      <c r="A1051" s="163">
        <v>232</v>
      </c>
      <c r="B1051" s="164" t="s">
        <v>1392</v>
      </c>
      <c r="C1051" s="165"/>
      <c r="D1051" s="166" t="s">
        <v>107</v>
      </c>
      <c r="E1051" s="167"/>
      <c r="F1051" s="167"/>
      <c r="G1051" s="166"/>
      <c r="H1051" s="301" t="s">
        <v>137</v>
      </c>
      <c r="I1051" s="217" t="s">
        <v>1393</v>
      </c>
      <c r="J1051" s="355" t="s">
        <v>916</v>
      </c>
      <c r="K1051" s="278">
        <f>12000*60%</f>
        <v>7200</v>
      </c>
      <c r="L1051" s="165" t="s">
        <v>111</v>
      </c>
      <c r="M1051" s="172" t="s">
        <v>1394</v>
      </c>
      <c r="N1051" s="135"/>
      <c r="O1051" s="135"/>
      <c r="P1051" s="135"/>
      <c r="Q1051" s="135"/>
      <c r="R1051" s="135"/>
      <c r="S1051" s="135"/>
      <c r="T1051" s="135"/>
      <c r="U1051" s="135"/>
      <c r="V1051" s="135"/>
      <c r="W1051" s="135"/>
      <c r="X1051" s="135"/>
      <c r="Y1051" s="135"/>
      <c r="Z1051" s="135"/>
      <c r="AA1051" s="135"/>
      <c r="AB1051" s="135"/>
      <c r="AC1051" s="135"/>
      <c r="AD1051" s="135"/>
      <c r="AE1051" s="135"/>
      <c r="AF1051" s="135"/>
      <c r="AG1051" s="135"/>
      <c r="AH1051" s="135"/>
      <c r="AI1051" s="135"/>
      <c r="AJ1051" s="135"/>
      <c r="AK1051" s="135"/>
      <c r="AL1051" s="135"/>
      <c r="AM1051" s="135"/>
      <c r="AN1051" s="135"/>
      <c r="AO1051" s="135"/>
      <c r="AP1051" s="135"/>
      <c r="AQ1051" s="135"/>
      <c r="AR1051" s="135"/>
      <c r="AS1051" s="135"/>
      <c r="AT1051" s="135"/>
      <c r="AU1051" s="135"/>
    </row>
    <row r="1052" spans="1:47" x14ac:dyDescent="0.2">
      <c r="A1052" s="174"/>
      <c r="B1052" s="175"/>
      <c r="C1052" s="176"/>
      <c r="D1052" s="177"/>
      <c r="E1052" s="178"/>
      <c r="F1052" s="178"/>
      <c r="G1052" s="177"/>
      <c r="H1052" s="303"/>
      <c r="I1052" s="186" t="s">
        <v>1390</v>
      </c>
      <c r="J1052" s="348" t="s">
        <v>916</v>
      </c>
      <c r="K1052" s="213">
        <f>12000*20%</f>
        <v>2400</v>
      </c>
      <c r="L1052" s="176"/>
      <c r="M1052" s="183"/>
      <c r="N1052" s="135"/>
      <c r="O1052" s="135"/>
      <c r="P1052" s="135"/>
      <c r="Q1052" s="135"/>
      <c r="R1052" s="135"/>
      <c r="S1052" s="135"/>
      <c r="T1052" s="135"/>
      <c r="U1052" s="135"/>
      <c r="V1052" s="135"/>
      <c r="W1052" s="135"/>
      <c r="X1052" s="135"/>
      <c r="Y1052" s="135"/>
      <c r="Z1052" s="135"/>
      <c r="AA1052" s="135"/>
      <c r="AB1052" s="135"/>
      <c r="AC1052" s="135"/>
      <c r="AD1052" s="135"/>
      <c r="AE1052" s="135"/>
      <c r="AF1052" s="135"/>
      <c r="AG1052" s="135"/>
      <c r="AH1052" s="135"/>
      <c r="AI1052" s="135"/>
      <c r="AJ1052" s="135"/>
      <c r="AK1052" s="135"/>
      <c r="AL1052" s="135"/>
      <c r="AM1052" s="135"/>
      <c r="AN1052" s="135"/>
      <c r="AO1052" s="135"/>
      <c r="AP1052" s="135"/>
      <c r="AQ1052" s="135"/>
      <c r="AR1052" s="135"/>
      <c r="AS1052" s="135"/>
      <c r="AT1052" s="135"/>
      <c r="AU1052" s="135"/>
    </row>
    <row r="1053" spans="1:47" ht="48" x14ac:dyDescent="0.2">
      <c r="A1053" s="174"/>
      <c r="B1053" s="175"/>
      <c r="C1053" s="176"/>
      <c r="D1053" s="177"/>
      <c r="E1053" s="178"/>
      <c r="F1053" s="178"/>
      <c r="G1053" s="177"/>
      <c r="H1053" s="303"/>
      <c r="I1053" s="186" t="s">
        <v>1389</v>
      </c>
      <c r="J1053" s="348" t="s">
        <v>916</v>
      </c>
      <c r="K1053" s="213">
        <f>12000*20%</f>
        <v>2400</v>
      </c>
      <c r="L1053" s="176"/>
      <c r="M1053" s="183"/>
      <c r="N1053" s="135"/>
      <c r="O1053" s="135"/>
      <c r="P1053" s="135"/>
      <c r="Q1053" s="135"/>
      <c r="R1053" s="135"/>
      <c r="S1053" s="135"/>
      <c r="T1053" s="135"/>
      <c r="U1053" s="135"/>
      <c r="V1053" s="135"/>
      <c r="W1053" s="135"/>
      <c r="X1053" s="135"/>
      <c r="Y1053" s="135"/>
      <c r="Z1053" s="135"/>
      <c r="AA1053" s="135"/>
      <c r="AB1053" s="135"/>
      <c r="AC1053" s="135"/>
      <c r="AD1053" s="135"/>
      <c r="AE1053" s="135"/>
      <c r="AF1053" s="135"/>
      <c r="AG1053" s="135"/>
      <c r="AH1053" s="135"/>
      <c r="AI1053" s="135"/>
      <c r="AJ1053" s="135"/>
      <c r="AK1053" s="135"/>
      <c r="AL1053" s="135"/>
      <c r="AM1053" s="135"/>
      <c r="AN1053" s="135"/>
      <c r="AO1053" s="135"/>
      <c r="AP1053" s="135"/>
      <c r="AQ1053" s="135"/>
      <c r="AR1053" s="135"/>
      <c r="AS1053" s="135"/>
      <c r="AT1053" s="135"/>
      <c r="AU1053" s="135"/>
    </row>
    <row r="1054" spans="1:47" x14ac:dyDescent="0.2">
      <c r="A1054" s="187"/>
      <c r="B1054" s="188"/>
      <c r="C1054" s="189"/>
      <c r="D1054" s="190"/>
      <c r="E1054" s="191"/>
      <c r="F1054" s="191"/>
      <c r="G1054" s="190"/>
      <c r="H1054" s="304"/>
      <c r="I1054" s="202"/>
      <c r="J1054" s="349"/>
      <c r="K1054" s="319">
        <f>SUM(K1051:K1053)</f>
        <v>12000</v>
      </c>
      <c r="L1054" s="189"/>
      <c r="M1054" s="196"/>
      <c r="N1054" s="135"/>
      <c r="O1054" s="135"/>
      <c r="P1054" s="135"/>
      <c r="Q1054" s="135"/>
      <c r="R1054" s="135"/>
      <c r="S1054" s="135"/>
      <c r="T1054" s="135"/>
      <c r="U1054" s="135"/>
      <c r="V1054" s="135"/>
      <c r="W1054" s="135"/>
      <c r="X1054" s="135"/>
      <c r="Y1054" s="135"/>
      <c r="Z1054" s="135"/>
      <c r="AA1054" s="135"/>
      <c r="AB1054" s="135"/>
      <c r="AC1054" s="135"/>
      <c r="AD1054" s="135"/>
      <c r="AE1054" s="135"/>
      <c r="AF1054" s="135"/>
      <c r="AG1054" s="135"/>
      <c r="AH1054" s="135"/>
      <c r="AI1054" s="135"/>
      <c r="AJ1054" s="135"/>
      <c r="AK1054" s="135"/>
      <c r="AL1054" s="135"/>
      <c r="AM1054" s="135"/>
      <c r="AN1054" s="135"/>
      <c r="AO1054" s="135"/>
      <c r="AP1054" s="135"/>
      <c r="AQ1054" s="135"/>
      <c r="AR1054" s="135"/>
      <c r="AS1054" s="135"/>
      <c r="AT1054" s="135"/>
      <c r="AU1054" s="135"/>
    </row>
    <row r="1055" spans="1:47" ht="24" customHeight="1" x14ac:dyDescent="0.2">
      <c r="A1055" s="163">
        <v>233</v>
      </c>
      <c r="B1055" s="164" t="s">
        <v>1395</v>
      </c>
      <c r="C1055" s="165"/>
      <c r="D1055" s="166" t="s">
        <v>107</v>
      </c>
      <c r="E1055" s="167"/>
      <c r="F1055" s="167"/>
      <c r="G1055" s="166"/>
      <c r="H1055" s="301"/>
      <c r="I1055" s="299" t="s">
        <v>1396</v>
      </c>
      <c r="J1055" s="347" t="s">
        <v>916</v>
      </c>
      <c r="K1055" s="270">
        <f>9000*50%</f>
        <v>4500</v>
      </c>
      <c r="L1055" s="165" t="s">
        <v>111</v>
      </c>
      <c r="M1055" s="172" t="s">
        <v>1397</v>
      </c>
      <c r="N1055" s="135"/>
      <c r="O1055" s="135"/>
      <c r="P1055" s="135"/>
      <c r="Q1055" s="135"/>
      <c r="R1055" s="135"/>
      <c r="S1055" s="135"/>
      <c r="T1055" s="135"/>
      <c r="U1055" s="135"/>
      <c r="V1055" s="135"/>
      <c r="W1055" s="135"/>
      <c r="X1055" s="135"/>
      <c r="Y1055" s="135"/>
      <c r="Z1055" s="135"/>
      <c r="AA1055" s="135"/>
      <c r="AB1055" s="135"/>
      <c r="AC1055" s="135"/>
      <c r="AD1055" s="135"/>
      <c r="AE1055" s="135"/>
      <c r="AF1055" s="135"/>
      <c r="AG1055" s="135"/>
      <c r="AH1055" s="135"/>
      <c r="AI1055" s="135"/>
      <c r="AJ1055" s="135"/>
      <c r="AK1055" s="135"/>
      <c r="AL1055" s="135"/>
      <c r="AM1055" s="135"/>
      <c r="AN1055" s="135"/>
      <c r="AO1055" s="135"/>
      <c r="AP1055" s="135"/>
      <c r="AQ1055" s="135"/>
      <c r="AR1055" s="135"/>
      <c r="AS1055" s="135"/>
      <c r="AT1055" s="135"/>
      <c r="AU1055" s="135"/>
    </row>
    <row r="1056" spans="1:47" x14ac:dyDescent="0.2">
      <c r="A1056" s="174"/>
      <c r="B1056" s="175"/>
      <c r="C1056" s="176"/>
      <c r="D1056" s="177"/>
      <c r="E1056" s="178"/>
      <c r="F1056" s="178"/>
      <c r="G1056" s="177"/>
      <c r="H1056" s="303"/>
      <c r="I1056" s="186" t="s">
        <v>1398</v>
      </c>
      <c r="J1056" s="348" t="s">
        <v>916</v>
      </c>
      <c r="K1056" s="213">
        <f>9000*20%</f>
        <v>1800</v>
      </c>
      <c r="L1056" s="176"/>
      <c r="M1056" s="183"/>
      <c r="N1056" s="135"/>
      <c r="O1056" s="135"/>
      <c r="P1056" s="135"/>
      <c r="Q1056" s="135"/>
      <c r="R1056" s="135"/>
      <c r="S1056" s="135"/>
      <c r="T1056" s="135"/>
      <c r="U1056" s="135"/>
      <c r="V1056" s="135"/>
      <c r="W1056" s="135"/>
      <c r="X1056" s="135"/>
      <c r="Y1056" s="135"/>
      <c r="Z1056" s="135"/>
      <c r="AA1056" s="135"/>
      <c r="AB1056" s="135"/>
      <c r="AC1056" s="135"/>
      <c r="AD1056" s="135"/>
      <c r="AE1056" s="135"/>
      <c r="AF1056" s="135"/>
      <c r="AG1056" s="135"/>
      <c r="AH1056" s="135"/>
      <c r="AI1056" s="135"/>
      <c r="AJ1056" s="135"/>
      <c r="AK1056" s="135"/>
      <c r="AL1056" s="135"/>
      <c r="AM1056" s="135"/>
      <c r="AN1056" s="135"/>
      <c r="AO1056" s="135"/>
      <c r="AP1056" s="135"/>
      <c r="AQ1056" s="135"/>
      <c r="AR1056" s="135"/>
      <c r="AS1056" s="135"/>
      <c r="AT1056" s="135"/>
      <c r="AU1056" s="135"/>
    </row>
    <row r="1057" spans="1:47" x14ac:dyDescent="0.2">
      <c r="A1057" s="174"/>
      <c r="B1057" s="175"/>
      <c r="C1057" s="176"/>
      <c r="D1057" s="177"/>
      <c r="E1057" s="178"/>
      <c r="F1057" s="178"/>
      <c r="G1057" s="177"/>
      <c r="H1057" s="303"/>
      <c r="I1057" s="186" t="s">
        <v>1399</v>
      </c>
      <c r="J1057" s="348" t="s">
        <v>916</v>
      </c>
      <c r="K1057" s="213">
        <f>9000*20%</f>
        <v>1800</v>
      </c>
      <c r="L1057" s="176"/>
      <c r="M1057" s="183"/>
      <c r="N1057" s="135"/>
      <c r="O1057" s="135"/>
      <c r="P1057" s="135"/>
      <c r="Q1057" s="135"/>
      <c r="R1057" s="135"/>
      <c r="S1057" s="135"/>
      <c r="T1057" s="135"/>
      <c r="U1057" s="135"/>
      <c r="V1057" s="135"/>
      <c r="W1057" s="135"/>
      <c r="X1057" s="135"/>
      <c r="Y1057" s="135"/>
      <c r="Z1057" s="135"/>
      <c r="AA1057" s="135"/>
      <c r="AB1057" s="135"/>
      <c r="AC1057" s="135"/>
      <c r="AD1057" s="135"/>
      <c r="AE1057" s="135"/>
      <c r="AF1057" s="135"/>
      <c r="AG1057" s="135"/>
      <c r="AH1057" s="135"/>
      <c r="AI1057" s="135"/>
      <c r="AJ1057" s="135"/>
      <c r="AK1057" s="135"/>
      <c r="AL1057" s="135"/>
      <c r="AM1057" s="135"/>
      <c r="AN1057" s="135"/>
      <c r="AO1057" s="135"/>
      <c r="AP1057" s="135"/>
      <c r="AQ1057" s="135"/>
      <c r="AR1057" s="135"/>
      <c r="AS1057" s="135"/>
      <c r="AT1057" s="135"/>
      <c r="AU1057" s="135"/>
    </row>
    <row r="1058" spans="1:47" x14ac:dyDescent="0.2">
      <c r="A1058" s="174"/>
      <c r="B1058" s="175"/>
      <c r="C1058" s="176"/>
      <c r="D1058" s="177"/>
      <c r="E1058" s="178"/>
      <c r="F1058" s="178"/>
      <c r="G1058" s="177"/>
      <c r="H1058" s="303"/>
      <c r="I1058" s="186" t="s">
        <v>1400</v>
      </c>
      <c r="J1058" s="348" t="s">
        <v>916</v>
      </c>
      <c r="K1058" s="213">
        <f>9000*10%</f>
        <v>900</v>
      </c>
      <c r="L1058" s="176"/>
      <c r="M1058" s="183"/>
      <c r="N1058" s="135"/>
      <c r="O1058" s="135"/>
      <c r="P1058" s="135"/>
      <c r="Q1058" s="135"/>
      <c r="R1058" s="135"/>
      <c r="S1058" s="135"/>
      <c r="T1058" s="135"/>
      <c r="U1058" s="135"/>
      <c r="V1058" s="135"/>
      <c r="W1058" s="135"/>
      <c r="X1058" s="135"/>
      <c r="Y1058" s="135"/>
      <c r="Z1058" s="135"/>
      <c r="AA1058" s="135"/>
      <c r="AB1058" s="135"/>
      <c r="AC1058" s="135"/>
      <c r="AD1058" s="135"/>
      <c r="AE1058" s="135"/>
      <c r="AF1058" s="135"/>
      <c r="AG1058" s="135"/>
      <c r="AH1058" s="135"/>
      <c r="AI1058" s="135"/>
      <c r="AJ1058" s="135"/>
      <c r="AK1058" s="135"/>
      <c r="AL1058" s="135"/>
      <c r="AM1058" s="135"/>
      <c r="AN1058" s="135"/>
      <c r="AO1058" s="135"/>
      <c r="AP1058" s="135"/>
      <c r="AQ1058" s="135"/>
      <c r="AR1058" s="135"/>
      <c r="AS1058" s="135"/>
      <c r="AT1058" s="135"/>
      <c r="AU1058" s="135"/>
    </row>
    <row r="1059" spans="1:47" x14ac:dyDescent="0.2">
      <c r="A1059" s="187"/>
      <c r="B1059" s="188"/>
      <c r="C1059" s="189"/>
      <c r="D1059" s="190"/>
      <c r="E1059" s="191"/>
      <c r="F1059" s="191"/>
      <c r="G1059" s="190"/>
      <c r="H1059" s="304"/>
      <c r="I1059" s="179"/>
      <c r="J1059" s="356"/>
      <c r="K1059" s="198">
        <f>SUM(K1055:K1058)</f>
        <v>9000</v>
      </c>
      <c r="L1059" s="189"/>
      <c r="M1059" s="196"/>
      <c r="N1059" s="135"/>
      <c r="O1059" s="135"/>
      <c r="P1059" s="135"/>
      <c r="Q1059" s="135"/>
      <c r="R1059" s="135"/>
      <c r="S1059" s="135"/>
      <c r="T1059" s="135"/>
      <c r="U1059" s="135"/>
      <c r="V1059" s="135"/>
      <c r="W1059" s="135"/>
      <c r="X1059" s="135"/>
      <c r="Y1059" s="135"/>
      <c r="Z1059" s="135"/>
      <c r="AA1059" s="135"/>
      <c r="AB1059" s="135"/>
      <c r="AC1059" s="135"/>
      <c r="AD1059" s="135"/>
      <c r="AE1059" s="135"/>
      <c r="AF1059" s="135"/>
      <c r="AG1059" s="135"/>
      <c r="AH1059" s="135"/>
      <c r="AI1059" s="135"/>
      <c r="AJ1059" s="135"/>
      <c r="AK1059" s="135"/>
      <c r="AL1059" s="135"/>
      <c r="AM1059" s="135"/>
      <c r="AN1059" s="135"/>
      <c r="AO1059" s="135"/>
      <c r="AP1059" s="135"/>
      <c r="AQ1059" s="135"/>
      <c r="AR1059" s="135"/>
      <c r="AS1059" s="135"/>
      <c r="AT1059" s="135"/>
      <c r="AU1059" s="135"/>
    </row>
    <row r="1060" spans="1:47" ht="24" customHeight="1" x14ac:dyDescent="0.2">
      <c r="A1060" s="163">
        <v>234</v>
      </c>
      <c r="B1060" s="164" t="s">
        <v>1401</v>
      </c>
      <c r="C1060" s="165"/>
      <c r="D1060" s="166" t="s">
        <v>107</v>
      </c>
      <c r="E1060" s="167"/>
      <c r="F1060" s="167"/>
      <c r="G1060" s="166"/>
      <c r="H1060" s="301"/>
      <c r="I1060" s="217" t="s">
        <v>1402</v>
      </c>
      <c r="J1060" s="355" t="s">
        <v>916</v>
      </c>
      <c r="K1060" s="278">
        <f>6000*60%</f>
        <v>3600</v>
      </c>
      <c r="L1060" s="165" t="s">
        <v>111</v>
      </c>
      <c r="M1060" s="172" t="s">
        <v>1403</v>
      </c>
      <c r="N1060" s="135"/>
      <c r="O1060" s="135"/>
      <c r="P1060" s="135"/>
      <c r="Q1060" s="135"/>
      <c r="R1060" s="135"/>
      <c r="S1060" s="135"/>
      <c r="T1060" s="135"/>
      <c r="U1060" s="135"/>
      <c r="V1060" s="135"/>
      <c r="W1060" s="135"/>
      <c r="X1060" s="135"/>
      <c r="Y1060" s="135"/>
      <c r="Z1060" s="135"/>
      <c r="AA1060" s="135"/>
      <c r="AB1060" s="135"/>
      <c r="AC1060" s="135"/>
      <c r="AD1060" s="135"/>
      <c r="AE1060" s="135"/>
      <c r="AF1060" s="135"/>
      <c r="AG1060" s="135"/>
      <c r="AH1060" s="135"/>
      <c r="AI1060" s="135"/>
      <c r="AJ1060" s="135"/>
      <c r="AK1060" s="135"/>
      <c r="AL1060" s="135"/>
      <c r="AM1060" s="135"/>
      <c r="AN1060" s="135"/>
      <c r="AO1060" s="135"/>
      <c r="AP1060" s="135"/>
      <c r="AQ1060" s="135"/>
      <c r="AR1060" s="135"/>
      <c r="AS1060" s="135"/>
      <c r="AT1060" s="135"/>
      <c r="AU1060" s="135"/>
    </row>
    <row r="1061" spans="1:47" x14ac:dyDescent="0.2">
      <c r="A1061" s="174"/>
      <c r="B1061" s="175"/>
      <c r="C1061" s="176"/>
      <c r="D1061" s="177"/>
      <c r="E1061" s="178"/>
      <c r="F1061" s="178"/>
      <c r="G1061" s="177"/>
      <c r="H1061" s="303"/>
      <c r="I1061" s="186" t="s">
        <v>1404</v>
      </c>
      <c r="J1061" s="348" t="s">
        <v>916</v>
      </c>
      <c r="K1061" s="213">
        <f>6000*20%</f>
        <v>1200</v>
      </c>
      <c r="L1061" s="176"/>
      <c r="M1061" s="183"/>
      <c r="N1061" s="135"/>
      <c r="O1061" s="135"/>
      <c r="P1061" s="135"/>
      <c r="Q1061" s="135"/>
      <c r="R1061" s="135"/>
      <c r="S1061" s="135"/>
      <c r="T1061" s="135"/>
      <c r="U1061" s="135"/>
      <c r="V1061" s="135"/>
      <c r="W1061" s="135"/>
      <c r="X1061" s="135"/>
      <c r="Y1061" s="135"/>
      <c r="Z1061" s="135"/>
      <c r="AA1061" s="135"/>
      <c r="AB1061" s="135"/>
      <c r="AC1061" s="135"/>
      <c r="AD1061" s="135"/>
      <c r="AE1061" s="135"/>
      <c r="AF1061" s="135"/>
      <c r="AG1061" s="135"/>
      <c r="AH1061" s="135"/>
      <c r="AI1061" s="135"/>
      <c r="AJ1061" s="135"/>
      <c r="AK1061" s="135"/>
      <c r="AL1061" s="135"/>
      <c r="AM1061" s="135"/>
      <c r="AN1061" s="135"/>
      <c r="AO1061" s="135"/>
      <c r="AP1061" s="135"/>
      <c r="AQ1061" s="135"/>
      <c r="AR1061" s="135"/>
      <c r="AS1061" s="135"/>
      <c r="AT1061" s="135"/>
      <c r="AU1061" s="135"/>
    </row>
    <row r="1062" spans="1:47" x14ac:dyDescent="0.2">
      <c r="A1062" s="174"/>
      <c r="B1062" s="175"/>
      <c r="C1062" s="176"/>
      <c r="D1062" s="177"/>
      <c r="E1062" s="178"/>
      <c r="F1062" s="178"/>
      <c r="G1062" s="177"/>
      <c r="H1062" s="303"/>
      <c r="I1062" s="186" t="s">
        <v>1405</v>
      </c>
      <c r="J1062" s="348" t="s">
        <v>916</v>
      </c>
      <c r="K1062" s="213">
        <f>6000*20%</f>
        <v>1200</v>
      </c>
      <c r="L1062" s="176"/>
      <c r="M1062" s="183"/>
      <c r="N1062" s="135"/>
      <c r="O1062" s="135"/>
      <c r="P1062" s="135"/>
      <c r="Q1062" s="135"/>
      <c r="R1062" s="135"/>
      <c r="S1062" s="135"/>
      <c r="T1062" s="135"/>
      <c r="U1062" s="135"/>
      <c r="V1062" s="135"/>
      <c r="W1062" s="135"/>
      <c r="X1062" s="135"/>
      <c r="Y1062" s="135"/>
      <c r="Z1062" s="135"/>
      <c r="AA1062" s="135"/>
      <c r="AB1062" s="135"/>
      <c r="AC1062" s="135"/>
      <c r="AD1062" s="135"/>
      <c r="AE1062" s="135"/>
      <c r="AF1062" s="135"/>
      <c r="AG1062" s="135"/>
      <c r="AH1062" s="135"/>
      <c r="AI1062" s="135"/>
      <c r="AJ1062" s="135"/>
      <c r="AK1062" s="135"/>
      <c r="AL1062" s="135"/>
      <c r="AM1062" s="135"/>
      <c r="AN1062" s="135"/>
      <c r="AO1062" s="135"/>
      <c r="AP1062" s="135"/>
      <c r="AQ1062" s="135"/>
      <c r="AR1062" s="135"/>
      <c r="AS1062" s="135"/>
      <c r="AT1062" s="135"/>
      <c r="AU1062" s="135"/>
    </row>
    <row r="1063" spans="1:47" x14ac:dyDescent="0.2">
      <c r="A1063" s="187"/>
      <c r="B1063" s="188"/>
      <c r="C1063" s="189"/>
      <c r="D1063" s="190"/>
      <c r="E1063" s="191"/>
      <c r="F1063" s="191"/>
      <c r="G1063" s="190"/>
      <c r="H1063" s="304"/>
      <c r="I1063" s="202"/>
      <c r="J1063" s="349"/>
      <c r="K1063" s="319">
        <f>SUM(K1060:K1062)</f>
        <v>6000</v>
      </c>
      <c r="L1063" s="189"/>
      <c r="M1063" s="196"/>
      <c r="N1063" s="135"/>
      <c r="O1063" s="135"/>
      <c r="P1063" s="135"/>
      <c r="Q1063" s="135"/>
      <c r="R1063" s="135"/>
      <c r="S1063" s="135"/>
      <c r="T1063" s="135"/>
      <c r="U1063" s="135"/>
      <c r="V1063" s="135"/>
      <c r="W1063" s="135"/>
      <c r="X1063" s="135"/>
      <c r="Y1063" s="135"/>
      <c r="Z1063" s="135"/>
      <c r="AA1063" s="135"/>
      <c r="AB1063" s="135"/>
      <c r="AC1063" s="135"/>
      <c r="AD1063" s="135"/>
      <c r="AE1063" s="135"/>
      <c r="AF1063" s="135"/>
      <c r="AG1063" s="135"/>
      <c r="AH1063" s="135"/>
      <c r="AI1063" s="135"/>
      <c r="AJ1063" s="135"/>
      <c r="AK1063" s="135"/>
      <c r="AL1063" s="135"/>
      <c r="AM1063" s="135"/>
      <c r="AN1063" s="135"/>
      <c r="AO1063" s="135"/>
      <c r="AP1063" s="135"/>
      <c r="AQ1063" s="135"/>
      <c r="AR1063" s="135"/>
      <c r="AS1063" s="135"/>
      <c r="AT1063" s="135"/>
      <c r="AU1063" s="135"/>
    </row>
    <row r="1064" spans="1:47" ht="24" customHeight="1" x14ac:dyDescent="0.2">
      <c r="A1064" s="163">
        <v>235</v>
      </c>
      <c r="B1064" s="164" t="s">
        <v>1406</v>
      </c>
      <c r="C1064" s="165"/>
      <c r="D1064" s="166" t="s">
        <v>107</v>
      </c>
      <c r="E1064" s="167"/>
      <c r="F1064" s="167"/>
      <c r="G1064" s="166"/>
      <c r="H1064" s="301"/>
      <c r="I1064" s="299" t="s">
        <v>1407</v>
      </c>
      <c r="J1064" s="347" t="s">
        <v>916</v>
      </c>
      <c r="K1064" s="270">
        <f>9000*50%</f>
        <v>4500</v>
      </c>
      <c r="L1064" s="165" t="s">
        <v>111</v>
      </c>
      <c r="M1064" s="172" t="s">
        <v>1408</v>
      </c>
      <c r="N1064" s="135"/>
      <c r="O1064" s="135"/>
      <c r="P1064" s="135"/>
      <c r="Q1064" s="135"/>
      <c r="R1064" s="135"/>
      <c r="S1064" s="135"/>
      <c r="T1064" s="135"/>
      <c r="U1064" s="135"/>
      <c r="V1064" s="135"/>
      <c r="W1064" s="135"/>
      <c r="X1064" s="135"/>
      <c r="Y1064" s="135"/>
      <c r="Z1064" s="135"/>
      <c r="AA1064" s="135"/>
      <c r="AB1064" s="135"/>
      <c r="AC1064" s="135"/>
      <c r="AD1064" s="135"/>
      <c r="AE1064" s="135"/>
      <c r="AF1064" s="135"/>
      <c r="AG1064" s="135"/>
      <c r="AH1064" s="135"/>
      <c r="AI1064" s="135"/>
      <c r="AJ1064" s="135"/>
      <c r="AK1064" s="135"/>
      <c r="AL1064" s="135"/>
      <c r="AM1064" s="135"/>
      <c r="AN1064" s="135"/>
      <c r="AO1064" s="135"/>
      <c r="AP1064" s="135"/>
      <c r="AQ1064" s="135"/>
      <c r="AR1064" s="135"/>
      <c r="AS1064" s="135"/>
      <c r="AT1064" s="135"/>
      <c r="AU1064" s="135"/>
    </row>
    <row r="1065" spans="1:47" ht="22.5" customHeight="1" x14ac:dyDescent="0.2">
      <c r="A1065" s="174"/>
      <c r="B1065" s="175"/>
      <c r="C1065" s="176"/>
      <c r="D1065" s="177"/>
      <c r="E1065" s="178"/>
      <c r="F1065" s="178"/>
      <c r="G1065" s="177"/>
      <c r="H1065" s="303"/>
      <c r="I1065" s="186" t="s">
        <v>940</v>
      </c>
      <c r="J1065" s="348" t="s">
        <v>916</v>
      </c>
      <c r="K1065" s="213">
        <f>9000*20%</f>
        <v>1800</v>
      </c>
      <c r="L1065" s="176"/>
      <c r="M1065" s="183"/>
      <c r="N1065" s="135"/>
      <c r="O1065" s="135"/>
      <c r="P1065" s="135"/>
      <c r="Q1065" s="135"/>
      <c r="R1065" s="135"/>
      <c r="S1065" s="135"/>
      <c r="T1065" s="135"/>
      <c r="U1065" s="135"/>
      <c r="V1065" s="135"/>
      <c r="W1065" s="135"/>
      <c r="X1065" s="135"/>
      <c r="Y1065" s="135"/>
      <c r="Z1065" s="135"/>
      <c r="AA1065" s="135"/>
      <c r="AB1065" s="135"/>
      <c r="AC1065" s="135"/>
      <c r="AD1065" s="135"/>
      <c r="AE1065" s="135"/>
      <c r="AF1065" s="135"/>
      <c r="AG1065" s="135"/>
      <c r="AH1065" s="135"/>
      <c r="AI1065" s="135"/>
      <c r="AJ1065" s="135"/>
      <c r="AK1065" s="135"/>
      <c r="AL1065" s="135"/>
      <c r="AM1065" s="135"/>
      <c r="AN1065" s="135"/>
      <c r="AO1065" s="135"/>
      <c r="AP1065" s="135"/>
      <c r="AQ1065" s="135"/>
      <c r="AR1065" s="135"/>
      <c r="AS1065" s="135"/>
      <c r="AT1065" s="135"/>
      <c r="AU1065" s="135"/>
    </row>
    <row r="1066" spans="1:47" x14ac:dyDescent="0.2">
      <c r="A1066" s="174"/>
      <c r="B1066" s="175"/>
      <c r="C1066" s="176"/>
      <c r="D1066" s="177"/>
      <c r="E1066" s="178"/>
      <c r="F1066" s="178"/>
      <c r="G1066" s="177"/>
      <c r="H1066" s="303"/>
      <c r="I1066" s="186" t="s">
        <v>1405</v>
      </c>
      <c r="J1066" s="348" t="s">
        <v>916</v>
      </c>
      <c r="K1066" s="213">
        <f>9000*20%</f>
        <v>1800</v>
      </c>
      <c r="L1066" s="176"/>
      <c r="M1066" s="183"/>
      <c r="N1066" s="135"/>
      <c r="O1066" s="135"/>
      <c r="P1066" s="135"/>
      <c r="Q1066" s="135"/>
      <c r="R1066" s="135"/>
      <c r="S1066" s="135"/>
      <c r="T1066" s="135"/>
      <c r="U1066" s="135"/>
      <c r="V1066" s="135"/>
      <c r="W1066" s="135"/>
      <c r="X1066" s="135"/>
      <c r="Y1066" s="135"/>
      <c r="Z1066" s="135"/>
      <c r="AA1066" s="135"/>
      <c r="AB1066" s="135"/>
      <c r="AC1066" s="135"/>
      <c r="AD1066" s="135"/>
      <c r="AE1066" s="135"/>
      <c r="AF1066" s="135"/>
      <c r="AG1066" s="135"/>
      <c r="AH1066" s="135"/>
      <c r="AI1066" s="135"/>
      <c r="AJ1066" s="135"/>
      <c r="AK1066" s="135"/>
      <c r="AL1066" s="135"/>
      <c r="AM1066" s="135"/>
      <c r="AN1066" s="135"/>
      <c r="AO1066" s="135"/>
      <c r="AP1066" s="135"/>
      <c r="AQ1066" s="135"/>
      <c r="AR1066" s="135"/>
      <c r="AS1066" s="135"/>
      <c r="AT1066" s="135"/>
      <c r="AU1066" s="135"/>
    </row>
    <row r="1067" spans="1:47" x14ac:dyDescent="0.2">
      <c r="A1067" s="174"/>
      <c r="B1067" s="175"/>
      <c r="C1067" s="176"/>
      <c r="D1067" s="177"/>
      <c r="E1067" s="178"/>
      <c r="F1067" s="178"/>
      <c r="G1067" s="177"/>
      <c r="H1067" s="303"/>
      <c r="I1067" s="186" t="s">
        <v>1409</v>
      </c>
      <c r="J1067" s="348" t="s">
        <v>916</v>
      </c>
      <c r="K1067" s="213">
        <f>9000*10%</f>
        <v>900</v>
      </c>
      <c r="L1067" s="176"/>
      <c r="M1067" s="183"/>
      <c r="N1067" s="135"/>
      <c r="O1067" s="135"/>
      <c r="P1067" s="135"/>
      <c r="Q1067" s="135"/>
      <c r="R1067" s="135"/>
      <c r="S1067" s="135"/>
      <c r="T1067" s="135"/>
      <c r="U1067" s="135"/>
      <c r="V1067" s="135"/>
      <c r="W1067" s="135"/>
      <c r="X1067" s="135"/>
      <c r="Y1067" s="135"/>
      <c r="Z1067" s="135"/>
      <c r="AA1067" s="135"/>
      <c r="AB1067" s="135"/>
      <c r="AC1067" s="135"/>
      <c r="AD1067" s="135"/>
      <c r="AE1067" s="135"/>
      <c r="AF1067" s="135"/>
      <c r="AG1067" s="135"/>
      <c r="AH1067" s="135"/>
      <c r="AI1067" s="135"/>
      <c r="AJ1067" s="135"/>
      <c r="AK1067" s="135"/>
      <c r="AL1067" s="135"/>
      <c r="AM1067" s="135"/>
      <c r="AN1067" s="135"/>
      <c r="AO1067" s="135"/>
      <c r="AP1067" s="135"/>
      <c r="AQ1067" s="135"/>
      <c r="AR1067" s="135"/>
      <c r="AS1067" s="135"/>
      <c r="AT1067" s="135"/>
      <c r="AU1067" s="135"/>
    </row>
    <row r="1068" spans="1:47" x14ac:dyDescent="0.2">
      <c r="A1068" s="187"/>
      <c r="B1068" s="188"/>
      <c r="C1068" s="189"/>
      <c r="D1068" s="190"/>
      <c r="E1068" s="191"/>
      <c r="F1068" s="191"/>
      <c r="G1068" s="190"/>
      <c r="H1068" s="304"/>
      <c r="I1068" s="179"/>
      <c r="J1068" s="356"/>
      <c r="K1068" s="198">
        <f>SUM(K1064:K1067)</f>
        <v>9000</v>
      </c>
      <c r="L1068" s="189"/>
      <c r="M1068" s="196"/>
      <c r="N1068" s="135"/>
      <c r="O1068" s="135"/>
      <c r="P1068" s="135"/>
      <c r="Q1068" s="135"/>
      <c r="R1068" s="135"/>
      <c r="S1068" s="135"/>
      <c r="T1068" s="135"/>
      <c r="U1068" s="135"/>
      <c r="V1068" s="135"/>
      <c r="W1068" s="135"/>
      <c r="X1068" s="135"/>
      <c r="Y1068" s="135"/>
      <c r="Z1068" s="135"/>
      <c r="AA1068" s="135"/>
      <c r="AB1068" s="135"/>
      <c r="AC1068" s="135"/>
      <c r="AD1068" s="135"/>
      <c r="AE1068" s="135"/>
      <c r="AF1068" s="135"/>
      <c r="AG1068" s="135"/>
      <c r="AH1068" s="135"/>
      <c r="AI1068" s="135"/>
      <c r="AJ1068" s="135"/>
      <c r="AK1068" s="135"/>
      <c r="AL1068" s="135"/>
      <c r="AM1068" s="135"/>
      <c r="AN1068" s="135"/>
      <c r="AO1068" s="135"/>
      <c r="AP1068" s="135"/>
      <c r="AQ1068" s="135"/>
      <c r="AR1068" s="135"/>
      <c r="AS1068" s="135"/>
      <c r="AT1068" s="135"/>
      <c r="AU1068" s="135"/>
    </row>
    <row r="1069" spans="1:47" ht="24" customHeight="1" x14ac:dyDescent="0.2">
      <c r="A1069" s="163">
        <v>236</v>
      </c>
      <c r="B1069" s="164" t="s">
        <v>1410</v>
      </c>
      <c r="C1069" s="165"/>
      <c r="D1069" s="166" t="s">
        <v>107</v>
      </c>
      <c r="E1069" s="167"/>
      <c r="F1069" s="167"/>
      <c r="G1069" s="166"/>
      <c r="H1069" s="301" t="s">
        <v>108</v>
      </c>
      <c r="I1069" s="217" t="s">
        <v>1411</v>
      </c>
      <c r="J1069" s="355" t="s">
        <v>916</v>
      </c>
      <c r="K1069" s="278">
        <f>9000*50%</f>
        <v>4500</v>
      </c>
      <c r="L1069" s="165" t="s">
        <v>111</v>
      </c>
      <c r="M1069" s="172" t="s">
        <v>1412</v>
      </c>
      <c r="N1069" s="135"/>
      <c r="O1069" s="135"/>
      <c r="P1069" s="135"/>
      <c r="Q1069" s="135"/>
      <c r="R1069" s="135"/>
      <c r="S1069" s="135"/>
      <c r="T1069" s="135"/>
      <c r="U1069" s="135"/>
      <c r="V1069" s="135"/>
      <c r="W1069" s="135"/>
      <c r="X1069" s="135"/>
      <c r="Y1069" s="135"/>
      <c r="Z1069" s="135"/>
      <c r="AA1069" s="135"/>
      <c r="AB1069" s="135"/>
      <c r="AC1069" s="135"/>
      <c r="AD1069" s="135"/>
      <c r="AE1069" s="135"/>
      <c r="AF1069" s="135"/>
      <c r="AG1069" s="135"/>
      <c r="AH1069" s="135"/>
      <c r="AI1069" s="135"/>
      <c r="AJ1069" s="135"/>
      <c r="AK1069" s="135"/>
      <c r="AL1069" s="135"/>
      <c r="AM1069" s="135"/>
      <c r="AN1069" s="135"/>
      <c r="AO1069" s="135"/>
      <c r="AP1069" s="135"/>
      <c r="AQ1069" s="135"/>
      <c r="AR1069" s="135"/>
      <c r="AS1069" s="135"/>
      <c r="AT1069" s="135"/>
      <c r="AU1069" s="135"/>
    </row>
    <row r="1070" spans="1:47" ht="18.75" customHeight="1" x14ac:dyDescent="0.2">
      <c r="A1070" s="174"/>
      <c r="B1070" s="175"/>
      <c r="C1070" s="176"/>
      <c r="D1070" s="177"/>
      <c r="E1070" s="178"/>
      <c r="F1070" s="178"/>
      <c r="G1070" s="177"/>
      <c r="H1070" s="303"/>
      <c r="I1070" s="186" t="s">
        <v>940</v>
      </c>
      <c r="J1070" s="348" t="s">
        <v>916</v>
      </c>
      <c r="K1070" s="213">
        <f>9000*20%</f>
        <v>1800</v>
      </c>
      <c r="L1070" s="176"/>
      <c r="M1070" s="183"/>
      <c r="N1070" s="135"/>
      <c r="O1070" s="135"/>
      <c r="P1070" s="135"/>
      <c r="Q1070" s="135"/>
      <c r="R1070" s="135"/>
      <c r="S1070" s="135"/>
      <c r="T1070" s="135"/>
      <c r="U1070" s="135"/>
      <c r="V1070" s="135"/>
      <c r="W1070" s="135"/>
      <c r="X1070" s="135"/>
      <c r="Y1070" s="135"/>
      <c r="Z1070" s="135"/>
      <c r="AA1070" s="135"/>
      <c r="AB1070" s="135"/>
      <c r="AC1070" s="135"/>
      <c r="AD1070" s="135"/>
      <c r="AE1070" s="135"/>
      <c r="AF1070" s="135"/>
      <c r="AG1070" s="135"/>
      <c r="AH1070" s="135"/>
      <c r="AI1070" s="135"/>
      <c r="AJ1070" s="135"/>
      <c r="AK1070" s="135"/>
      <c r="AL1070" s="135"/>
      <c r="AM1070" s="135"/>
      <c r="AN1070" s="135"/>
      <c r="AO1070" s="135"/>
      <c r="AP1070" s="135"/>
      <c r="AQ1070" s="135"/>
      <c r="AR1070" s="135"/>
      <c r="AS1070" s="135"/>
      <c r="AT1070" s="135"/>
      <c r="AU1070" s="135"/>
    </row>
    <row r="1071" spans="1:47" x14ac:dyDescent="0.2">
      <c r="A1071" s="174"/>
      <c r="B1071" s="175"/>
      <c r="C1071" s="176"/>
      <c r="D1071" s="177"/>
      <c r="E1071" s="178"/>
      <c r="F1071" s="178"/>
      <c r="G1071" s="177"/>
      <c r="H1071" s="303"/>
      <c r="I1071" s="186" t="s">
        <v>1374</v>
      </c>
      <c r="J1071" s="348" t="s">
        <v>916</v>
      </c>
      <c r="K1071" s="213">
        <f>9000*20%</f>
        <v>1800</v>
      </c>
      <c r="L1071" s="176"/>
      <c r="M1071" s="183"/>
      <c r="N1071" s="135"/>
      <c r="O1071" s="135"/>
      <c r="P1071" s="135"/>
      <c r="Q1071" s="135"/>
      <c r="R1071" s="135"/>
      <c r="S1071" s="135"/>
      <c r="T1071" s="135"/>
      <c r="U1071" s="135"/>
      <c r="V1071" s="135"/>
      <c r="W1071" s="135"/>
      <c r="X1071" s="135"/>
      <c r="Y1071" s="135"/>
      <c r="Z1071" s="135"/>
      <c r="AA1071" s="135"/>
      <c r="AB1071" s="135"/>
      <c r="AC1071" s="135"/>
      <c r="AD1071" s="135"/>
      <c r="AE1071" s="135"/>
      <c r="AF1071" s="135"/>
      <c r="AG1071" s="135"/>
      <c r="AH1071" s="135"/>
      <c r="AI1071" s="135"/>
      <c r="AJ1071" s="135"/>
      <c r="AK1071" s="135"/>
      <c r="AL1071" s="135"/>
      <c r="AM1071" s="135"/>
      <c r="AN1071" s="135"/>
      <c r="AO1071" s="135"/>
      <c r="AP1071" s="135"/>
      <c r="AQ1071" s="135"/>
      <c r="AR1071" s="135"/>
      <c r="AS1071" s="135"/>
      <c r="AT1071" s="135"/>
      <c r="AU1071" s="135"/>
    </row>
    <row r="1072" spans="1:47" x14ac:dyDescent="0.2">
      <c r="A1072" s="174"/>
      <c r="B1072" s="175"/>
      <c r="C1072" s="176"/>
      <c r="D1072" s="177"/>
      <c r="E1072" s="178"/>
      <c r="F1072" s="178"/>
      <c r="G1072" s="177"/>
      <c r="H1072" s="303"/>
      <c r="I1072" s="186" t="s">
        <v>1409</v>
      </c>
      <c r="J1072" s="348" t="s">
        <v>916</v>
      </c>
      <c r="K1072" s="213">
        <f>9000*10%</f>
        <v>900</v>
      </c>
      <c r="L1072" s="176"/>
      <c r="M1072" s="183"/>
      <c r="N1072" s="135"/>
      <c r="O1072" s="135"/>
      <c r="P1072" s="135"/>
      <c r="Q1072" s="135"/>
      <c r="R1072" s="135"/>
      <c r="S1072" s="135"/>
      <c r="T1072" s="135"/>
      <c r="U1072" s="135"/>
      <c r="V1072" s="135"/>
      <c r="W1072" s="135"/>
      <c r="X1072" s="135"/>
      <c r="Y1072" s="135"/>
      <c r="Z1072" s="135"/>
      <c r="AA1072" s="135"/>
      <c r="AB1072" s="135"/>
      <c r="AC1072" s="135"/>
      <c r="AD1072" s="135"/>
      <c r="AE1072" s="135"/>
      <c r="AF1072" s="135"/>
      <c r="AG1072" s="135"/>
      <c r="AH1072" s="135"/>
      <c r="AI1072" s="135"/>
      <c r="AJ1072" s="135"/>
      <c r="AK1072" s="135"/>
      <c r="AL1072" s="135"/>
      <c r="AM1072" s="135"/>
      <c r="AN1072" s="135"/>
      <c r="AO1072" s="135"/>
      <c r="AP1072" s="135"/>
      <c r="AQ1072" s="135"/>
      <c r="AR1072" s="135"/>
      <c r="AS1072" s="135"/>
      <c r="AT1072" s="135"/>
      <c r="AU1072" s="135"/>
    </row>
    <row r="1073" spans="1:47" x14ac:dyDescent="0.2">
      <c r="A1073" s="187"/>
      <c r="B1073" s="188"/>
      <c r="C1073" s="189"/>
      <c r="D1073" s="190"/>
      <c r="E1073" s="191"/>
      <c r="F1073" s="191"/>
      <c r="G1073" s="190"/>
      <c r="H1073" s="304"/>
      <c r="I1073" s="202"/>
      <c r="J1073" s="349"/>
      <c r="K1073" s="319">
        <f>SUM(K1069:K1072)</f>
        <v>9000</v>
      </c>
      <c r="L1073" s="189"/>
      <c r="M1073" s="196"/>
      <c r="N1073" s="135"/>
      <c r="O1073" s="135"/>
      <c r="P1073" s="135"/>
      <c r="Q1073" s="135"/>
      <c r="R1073" s="135"/>
      <c r="S1073" s="135"/>
      <c r="T1073" s="135"/>
      <c r="U1073" s="135"/>
      <c r="V1073" s="135"/>
      <c r="W1073" s="135"/>
      <c r="X1073" s="135"/>
      <c r="Y1073" s="135"/>
      <c r="Z1073" s="135"/>
      <c r="AA1073" s="135"/>
      <c r="AB1073" s="135"/>
      <c r="AC1073" s="135"/>
      <c r="AD1073" s="135"/>
      <c r="AE1073" s="135"/>
      <c r="AF1073" s="135"/>
      <c r="AG1073" s="135"/>
      <c r="AH1073" s="135"/>
      <c r="AI1073" s="135"/>
      <c r="AJ1073" s="135"/>
      <c r="AK1073" s="135"/>
      <c r="AL1073" s="135"/>
      <c r="AM1073" s="135"/>
      <c r="AN1073" s="135"/>
      <c r="AO1073" s="135"/>
      <c r="AP1073" s="135"/>
      <c r="AQ1073" s="135"/>
      <c r="AR1073" s="135"/>
      <c r="AS1073" s="135"/>
      <c r="AT1073" s="135"/>
      <c r="AU1073" s="135"/>
    </row>
    <row r="1074" spans="1:47" ht="75.75" customHeight="1" x14ac:dyDescent="0.2">
      <c r="A1074" s="228">
        <v>237</v>
      </c>
      <c r="B1074" s="241" t="s">
        <v>1413</v>
      </c>
      <c r="C1074" s="242" t="s">
        <v>1413</v>
      </c>
      <c r="D1074" s="243" t="s">
        <v>107</v>
      </c>
      <c r="E1074" s="244"/>
      <c r="F1074" s="244"/>
      <c r="G1074" s="243"/>
      <c r="H1074" s="245"/>
      <c r="I1074" s="264" t="s">
        <v>1414</v>
      </c>
      <c r="J1074" s="357" t="s">
        <v>916</v>
      </c>
      <c r="K1074" s="358">
        <v>12600</v>
      </c>
      <c r="L1074" s="254" t="s">
        <v>111</v>
      </c>
      <c r="M1074" s="215" t="s">
        <v>1415</v>
      </c>
      <c r="N1074" s="135"/>
      <c r="O1074" s="135"/>
      <c r="P1074" s="135"/>
      <c r="Q1074" s="135"/>
      <c r="R1074" s="135"/>
      <c r="S1074" s="135"/>
      <c r="T1074" s="135"/>
      <c r="U1074" s="135"/>
      <c r="V1074" s="135"/>
      <c r="W1074" s="135"/>
      <c r="X1074" s="135"/>
      <c r="Y1074" s="135"/>
      <c r="Z1074" s="135"/>
      <c r="AA1074" s="135"/>
      <c r="AB1074" s="135"/>
      <c r="AC1074" s="135"/>
      <c r="AD1074" s="135"/>
      <c r="AE1074" s="135"/>
      <c r="AF1074" s="135"/>
      <c r="AG1074" s="135"/>
      <c r="AH1074" s="135"/>
      <c r="AI1074" s="135"/>
      <c r="AJ1074" s="135"/>
      <c r="AK1074" s="135"/>
      <c r="AL1074" s="135"/>
      <c r="AM1074" s="135"/>
      <c r="AN1074" s="135"/>
      <c r="AO1074" s="135"/>
      <c r="AP1074" s="135"/>
      <c r="AQ1074" s="135"/>
      <c r="AR1074" s="135"/>
      <c r="AS1074" s="135"/>
      <c r="AT1074" s="135"/>
      <c r="AU1074" s="135"/>
    </row>
    <row r="1075" spans="1:47" ht="81.75" customHeight="1" x14ac:dyDescent="0.2">
      <c r="A1075" s="228">
        <v>238</v>
      </c>
      <c r="B1075" s="241" t="s">
        <v>1416</v>
      </c>
      <c r="C1075" s="242" t="s">
        <v>1416</v>
      </c>
      <c r="D1075" s="243" t="s">
        <v>107</v>
      </c>
      <c r="E1075" s="244"/>
      <c r="F1075" s="244"/>
      <c r="G1075" s="243"/>
      <c r="H1075" s="245"/>
      <c r="I1075" s="264" t="s">
        <v>1414</v>
      </c>
      <c r="J1075" s="357" t="s">
        <v>916</v>
      </c>
      <c r="K1075" s="358">
        <v>9000</v>
      </c>
      <c r="L1075" s="254" t="s">
        <v>111</v>
      </c>
      <c r="M1075" s="215" t="s">
        <v>1417</v>
      </c>
      <c r="N1075" s="135"/>
      <c r="O1075" s="135"/>
      <c r="P1075" s="135"/>
      <c r="Q1075" s="135"/>
      <c r="R1075" s="135"/>
      <c r="S1075" s="135"/>
      <c r="T1075" s="135"/>
      <c r="U1075" s="135"/>
      <c r="V1075" s="135"/>
      <c r="W1075" s="135"/>
      <c r="X1075" s="135"/>
      <c r="Y1075" s="135"/>
      <c r="Z1075" s="135"/>
      <c r="AA1075" s="135"/>
      <c r="AB1075" s="135"/>
      <c r="AC1075" s="135"/>
      <c r="AD1075" s="135"/>
      <c r="AE1075" s="135"/>
      <c r="AF1075" s="135"/>
      <c r="AG1075" s="135"/>
      <c r="AH1075" s="135"/>
      <c r="AI1075" s="135"/>
      <c r="AJ1075" s="135"/>
      <c r="AK1075" s="135"/>
      <c r="AL1075" s="135"/>
      <c r="AM1075" s="135"/>
      <c r="AN1075" s="135"/>
      <c r="AO1075" s="135"/>
      <c r="AP1075" s="135"/>
      <c r="AQ1075" s="135"/>
      <c r="AR1075" s="135"/>
      <c r="AS1075" s="135"/>
      <c r="AT1075" s="135"/>
      <c r="AU1075" s="135"/>
    </row>
    <row r="1076" spans="1:47" ht="24" customHeight="1" x14ac:dyDescent="0.2">
      <c r="A1076" s="163">
        <v>239</v>
      </c>
      <c r="B1076" s="164" t="s">
        <v>1418</v>
      </c>
      <c r="C1076" s="165"/>
      <c r="D1076" s="166" t="s">
        <v>107</v>
      </c>
      <c r="E1076" s="167"/>
      <c r="F1076" s="167"/>
      <c r="G1076" s="166"/>
      <c r="H1076" s="301" t="s">
        <v>108</v>
      </c>
      <c r="I1076" s="299" t="s">
        <v>1419</v>
      </c>
      <c r="J1076" s="347" t="s">
        <v>916</v>
      </c>
      <c r="K1076" s="270">
        <f>7500*50%</f>
        <v>3750</v>
      </c>
      <c r="L1076" s="165" t="s">
        <v>111</v>
      </c>
      <c r="M1076" s="172" t="s">
        <v>1420</v>
      </c>
      <c r="N1076" s="135"/>
      <c r="O1076" s="135"/>
      <c r="P1076" s="135"/>
      <c r="Q1076" s="135"/>
      <c r="R1076" s="135"/>
      <c r="S1076" s="135"/>
      <c r="T1076" s="135"/>
      <c r="U1076" s="135"/>
      <c r="V1076" s="135"/>
      <c r="W1076" s="135"/>
      <c r="X1076" s="135"/>
      <c r="Y1076" s="135"/>
      <c r="Z1076" s="135"/>
      <c r="AA1076" s="135"/>
      <c r="AB1076" s="135"/>
      <c r="AC1076" s="135"/>
      <c r="AD1076" s="135"/>
      <c r="AE1076" s="135"/>
      <c r="AF1076" s="135"/>
      <c r="AG1076" s="135"/>
      <c r="AH1076" s="135"/>
      <c r="AI1076" s="135"/>
      <c r="AJ1076" s="135"/>
      <c r="AK1076" s="135"/>
      <c r="AL1076" s="135"/>
      <c r="AM1076" s="135"/>
      <c r="AN1076" s="135"/>
      <c r="AO1076" s="135"/>
      <c r="AP1076" s="135"/>
      <c r="AQ1076" s="135"/>
      <c r="AR1076" s="135"/>
      <c r="AS1076" s="135"/>
      <c r="AT1076" s="135"/>
      <c r="AU1076" s="135"/>
    </row>
    <row r="1077" spans="1:47" x14ac:dyDescent="0.2">
      <c r="A1077" s="174"/>
      <c r="B1077" s="175"/>
      <c r="C1077" s="176"/>
      <c r="D1077" s="177"/>
      <c r="E1077" s="178"/>
      <c r="F1077" s="178"/>
      <c r="G1077" s="177"/>
      <c r="H1077" s="303"/>
      <c r="I1077" s="186" t="s">
        <v>1421</v>
      </c>
      <c r="J1077" s="348" t="s">
        <v>916</v>
      </c>
      <c r="K1077" s="213">
        <f>7500*30%</f>
        <v>2250</v>
      </c>
      <c r="L1077" s="176"/>
      <c r="M1077" s="183"/>
      <c r="N1077" s="135"/>
      <c r="O1077" s="135"/>
      <c r="P1077" s="135"/>
      <c r="Q1077" s="135"/>
      <c r="R1077" s="135"/>
      <c r="S1077" s="135"/>
      <c r="T1077" s="135"/>
      <c r="U1077" s="135"/>
      <c r="V1077" s="135"/>
      <c r="W1077" s="135"/>
      <c r="X1077" s="135"/>
      <c r="Y1077" s="135"/>
      <c r="Z1077" s="135"/>
      <c r="AA1077" s="135"/>
      <c r="AB1077" s="135"/>
      <c r="AC1077" s="135"/>
      <c r="AD1077" s="135"/>
      <c r="AE1077" s="135"/>
      <c r="AF1077" s="135"/>
      <c r="AG1077" s="135"/>
      <c r="AH1077" s="135"/>
      <c r="AI1077" s="135"/>
      <c r="AJ1077" s="135"/>
      <c r="AK1077" s="135"/>
      <c r="AL1077" s="135"/>
      <c r="AM1077" s="135"/>
      <c r="AN1077" s="135"/>
      <c r="AO1077" s="135"/>
      <c r="AP1077" s="135"/>
      <c r="AQ1077" s="135"/>
      <c r="AR1077" s="135"/>
      <c r="AS1077" s="135"/>
      <c r="AT1077" s="135"/>
      <c r="AU1077" s="135"/>
    </row>
    <row r="1078" spans="1:47" x14ac:dyDescent="0.2">
      <c r="A1078" s="174"/>
      <c r="B1078" s="175"/>
      <c r="C1078" s="176"/>
      <c r="D1078" s="177"/>
      <c r="E1078" s="178"/>
      <c r="F1078" s="178"/>
      <c r="G1078" s="177"/>
      <c r="H1078" s="303"/>
      <c r="I1078" s="186" t="s">
        <v>1422</v>
      </c>
      <c r="J1078" s="348" t="s">
        <v>916</v>
      </c>
      <c r="K1078" s="213">
        <f>7500*10%</f>
        <v>750</v>
      </c>
      <c r="L1078" s="176"/>
      <c r="M1078" s="183"/>
      <c r="N1078" s="135"/>
      <c r="O1078" s="135"/>
      <c r="P1078" s="135"/>
      <c r="Q1078" s="135"/>
      <c r="R1078" s="135"/>
      <c r="S1078" s="135"/>
      <c r="T1078" s="135"/>
      <c r="U1078" s="135"/>
      <c r="V1078" s="135"/>
      <c r="W1078" s="135"/>
      <c r="X1078" s="135"/>
      <c r="Y1078" s="135"/>
      <c r="Z1078" s="135"/>
      <c r="AA1078" s="135"/>
      <c r="AB1078" s="135"/>
      <c r="AC1078" s="135"/>
      <c r="AD1078" s="135"/>
      <c r="AE1078" s="135"/>
      <c r="AF1078" s="135"/>
      <c r="AG1078" s="135"/>
      <c r="AH1078" s="135"/>
      <c r="AI1078" s="135"/>
      <c r="AJ1078" s="135"/>
      <c r="AK1078" s="135"/>
      <c r="AL1078" s="135"/>
      <c r="AM1078" s="135"/>
      <c r="AN1078" s="135"/>
      <c r="AO1078" s="135"/>
      <c r="AP1078" s="135"/>
      <c r="AQ1078" s="135"/>
      <c r="AR1078" s="135"/>
      <c r="AS1078" s="135"/>
      <c r="AT1078" s="135"/>
      <c r="AU1078" s="135"/>
    </row>
    <row r="1079" spans="1:47" x14ac:dyDescent="0.2">
      <c r="A1079" s="174"/>
      <c r="B1079" s="175"/>
      <c r="C1079" s="176"/>
      <c r="D1079" s="177"/>
      <c r="E1079" s="178"/>
      <c r="F1079" s="178"/>
      <c r="G1079" s="177"/>
      <c r="H1079" s="303"/>
      <c r="I1079" s="186" t="s">
        <v>1423</v>
      </c>
      <c r="J1079" s="348" t="s">
        <v>398</v>
      </c>
      <c r="K1079" s="213">
        <f>7500*10%</f>
        <v>750</v>
      </c>
      <c r="L1079" s="176"/>
      <c r="M1079" s="183"/>
      <c r="N1079" s="135"/>
      <c r="O1079" s="135"/>
      <c r="P1079" s="135"/>
      <c r="Q1079" s="135"/>
      <c r="R1079" s="135"/>
      <c r="S1079" s="135"/>
      <c r="T1079" s="135"/>
      <c r="U1079" s="135"/>
      <c r="V1079" s="135"/>
      <c r="W1079" s="135"/>
      <c r="X1079" s="135"/>
      <c r="Y1079" s="135"/>
      <c r="Z1079" s="135"/>
      <c r="AA1079" s="135"/>
      <c r="AB1079" s="135"/>
      <c r="AC1079" s="135"/>
      <c r="AD1079" s="135"/>
      <c r="AE1079" s="135"/>
      <c r="AF1079" s="135"/>
      <c r="AG1079" s="135"/>
      <c r="AH1079" s="135"/>
      <c r="AI1079" s="135"/>
      <c r="AJ1079" s="135"/>
      <c r="AK1079" s="135"/>
      <c r="AL1079" s="135"/>
      <c r="AM1079" s="135"/>
      <c r="AN1079" s="135"/>
      <c r="AO1079" s="135"/>
      <c r="AP1079" s="135"/>
      <c r="AQ1079" s="135"/>
      <c r="AR1079" s="135"/>
      <c r="AS1079" s="135"/>
      <c r="AT1079" s="135"/>
      <c r="AU1079" s="135"/>
    </row>
    <row r="1080" spans="1:47" x14ac:dyDescent="0.2">
      <c r="A1080" s="187"/>
      <c r="B1080" s="188"/>
      <c r="C1080" s="189"/>
      <c r="D1080" s="190"/>
      <c r="E1080" s="191"/>
      <c r="F1080" s="191"/>
      <c r="G1080" s="190"/>
      <c r="H1080" s="304"/>
      <c r="I1080" s="179"/>
      <c r="J1080" s="203"/>
      <c r="K1080" s="198">
        <f>SUM(K1076:K1079)</f>
        <v>7500</v>
      </c>
      <c r="L1080" s="189"/>
      <c r="M1080" s="196"/>
      <c r="N1080" s="135"/>
      <c r="O1080" s="135"/>
      <c r="P1080" s="135"/>
      <c r="Q1080" s="135"/>
      <c r="R1080" s="135"/>
      <c r="S1080" s="135"/>
      <c r="T1080" s="135"/>
      <c r="U1080" s="135"/>
      <c r="V1080" s="135"/>
      <c r="W1080" s="135"/>
      <c r="X1080" s="135"/>
      <c r="Y1080" s="135"/>
      <c r="Z1080" s="135"/>
      <c r="AA1080" s="135"/>
      <c r="AB1080" s="135"/>
      <c r="AC1080" s="135"/>
      <c r="AD1080" s="135"/>
      <c r="AE1080" s="135"/>
      <c r="AF1080" s="135"/>
      <c r="AG1080" s="135"/>
      <c r="AH1080" s="135"/>
      <c r="AI1080" s="135"/>
      <c r="AJ1080" s="135"/>
      <c r="AK1080" s="135"/>
      <c r="AL1080" s="135"/>
      <c r="AM1080" s="135"/>
      <c r="AN1080" s="135"/>
      <c r="AO1080" s="135"/>
      <c r="AP1080" s="135"/>
      <c r="AQ1080" s="135"/>
      <c r="AR1080" s="135"/>
      <c r="AS1080" s="135"/>
      <c r="AT1080" s="135"/>
      <c r="AU1080" s="135"/>
    </row>
    <row r="1081" spans="1:47" ht="24" customHeight="1" x14ac:dyDescent="0.2">
      <c r="A1081" s="163">
        <v>240</v>
      </c>
      <c r="B1081" s="164" t="s">
        <v>1424</v>
      </c>
      <c r="C1081" s="165"/>
      <c r="D1081" s="166" t="s">
        <v>107</v>
      </c>
      <c r="E1081" s="167"/>
      <c r="F1081" s="167"/>
      <c r="G1081" s="166"/>
      <c r="H1081" s="301"/>
      <c r="I1081" s="217" t="s">
        <v>1425</v>
      </c>
      <c r="J1081" s="347" t="s">
        <v>916</v>
      </c>
      <c r="K1081" s="278">
        <f>7500*50%</f>
        <v>3750</v>
      </c>
      <c r="L1081" s="165" t="s">
        <v>111</v>
      </c>
      <c r="M1081" s="172" t="s">
        <v>1426</v>
      </c>
      <c r="N1081" s="135"/>
      <c r="O1081" s="135"/>
      <c r="P1081" s="135"/>
      <c r="Q1081" s="135"/>
      <c r="R1081" s="135"/>
      <c r="S1081" s="135"/>
      <c r="T1081" s="135"/>
      <c r="U1081" s="135"/>
      <c r="V1081" s="135"/>
      <c r="W1081" s="135"/>
      <c r="X1081" s="135"/>
      <c r="Y1081" s="135"/>
      <c r="Z1081" s="135"/>
      <c r="AA1081" s="135"/>
      <c r="AB1081" s="135"/>
      <c r="AC1081" s="135"/>
      <c r="AD1081" s="135"/>
      <c r="AE1081" s="135"/>
      <c r="AF1081" s="135"/>
      <c r="AG1081" s="135"/>
      <c r="AH1081" s="135"/>
      <c r="AI1081" s="135"/>
      <c r="AJ1081" s="135"/>
      <c r="AK1081" s="135"/>
      <c r="AL1081" s="135"/>
      <c r="AM1081" s="135"/>
      <c r="AN1081" s="135"/>
      <c r="AO1081" s="135"/>
      <c r="AP1081" s="135"/>
      <c r="AQ1081" s="135"/>
      <c r="AR1081" s="135"/>
      <c r="AS1081" s="135"/>
      <c r="AT1081" s="135"/>
      <c r="AU1081" s="135"/>
    </row>
    <row r="1082" spans="1:47" x14ac:dyDescent="0.2">
      <c r="A1082" s="174"/>
      <c r="B1082" s="175"/>
      <c r="C1082" s="176"/>
      <c r="D1082" s="177"/>
      <c r="E1082" s="178"/>
      <c r="F1082" s="178"/>
      <c r="G1082" s="177"/>
      <c r="H1082" s="303"/>
      <c r="I1082" s="186" t="s">
        <v>1427</v>
      </c>
      <c r="J1082" s="348" t="s">
        <v>916</v>
      </c>
      <c r="K1082" s="213">
        <f>7500*25%</f>
        <v>1875</v>
      </c>
      <c r="L1082" s="176"/>
      <c r="M1082" s="183"/>
      <c r="N1082" s="135"/>
      <c r="O1082" s="135"/>
      <c r="P1082" s="135"/>
      <c r="Q1082" s="135"/>
      <c r="R1082" s="135"/>
      <c r="S1082" s="135"/>
      <c r="T1082" s="135"/>
      <c r="U1082" s="135"/>
      <c r="V1082" s="135"/>
      <c r="W1082" s="135"/>
      <c r="X1082" s="135"/>
      <c r="Y1082" s="135"/>
      <c r="Z1082" s="135"/>
      <c r="AA1082" s="135"/>
      <c r="AB1082" s="135"/>
      <c r="AC1082" s="135"/>
      <c r="AD1082" s="135"/>
      <c r="AE1082" s="135"/>
      <c r="AF1082" s="135"/>
      <c r="AG1082" s="135"/>
      <c r="AH1082" s="135"/>
      <c r="AI1082" s="135"/>
      <c r="AJ1082" s="135"/>
      <c r="AK1082" s="135"/>
      <c r="AL1082" s="135"/>
      <c r="AM1082" s="135"/>
      <c r="AN1082" s="135"/>
      <c r="AO1082" s="135"/>
      <c r="AP1082" s="135"/>
      <c r="AQ1082" s="135"/>
      <c r="AR1082" s="135"/>
      <c r="AS1082" s="135"/>
      <c r="AT1082" s="135"/>
      <c r="AU1082" s="135"/>
    </row>
    <row r="1083" spans="1:47" x14ac:dyDescent="0.2">
      <c r="A1083" s="174"/>
      <c r="B1083" s="175"/>
      <c r="C1083" s="176"/>
      <c r="D1083" s="177"/>
      <c r="E1083" s="178"/>
      <c r="F1083" s="178"/>
      <c r="G1083" s="177"/>
      <c r="H1083" s="303"/>
      <c r="I1083" s="186" t="s">
        <v>562</v>
      </c>
      <c r="J1083" s="348" t="s">
        <v>398</v>
      </c>
      <c r="K1083" s="213">
        <f>7500*25%</f>
        <v>1875</v>
      </c>
      <c r="L1083" s="176"/>
      <c r="M1083" s="183"/>
      <c r="N1083" s="135"/>
      <c r="O1083" s="135"/>
      <c r="P1083" s="135"/>
      <c r="Q1083" s="135"/>
      <c r="R1083" s="135"/>
      <c r="S1083" s="135"/>
      <c r="T1083" s="135"/>
      <c r="U1083" s="135"/>
      <c r="V1083" s="135"/>
      <c r="W1083" s="135"/>
      <c r="X1083" s="135"/>
      <c r="Y1083" s="135"/>
      <c r="Z1083" s="135"/>
      <c r="AA1083" s="135"/>
      <c r="AB1083" s="135"/>
      <c r="AC1083" s="135"/>
      <c r="AD1083" s="135"/>
      <c r="AE1083" s="135"/>
      <c r="AF1083" s="135"/>
      <c r="AG1083" s="135"/>
      <c r="AH1083" s="135"/>
      <c r="AI1083" s="135"/>
      <c r="AJ1083" s="135"/>
      <c r="AK1083" s="135"/>
      <c r="AL1083" s="135"/>
      <c r="AM1083" s="135"/>
      <c r="AN1083" s="135"/>
      <c r="AO1083" s="135"/>
      <c r="AP1083" s="135"/>
      <c r="AQ1083" s="135"/>
      <c r="AR1083" s="135"/>
      <c r="AS1083" s="135"/>
      <c r="AT1083" s="135"/>
      <c r="AU1083" s="135"/>
    </row>
    <row r="1084" spans="1:47" x14ac:dyDescent="0.2">
      <c r="A1084" s="187"/>
      <c r="B1084" s="188"/>
      <c r="C1084" s="189"/>
      <c r="D1084" s="190"/>
      <c r="E1084" s="191"/>
      <c r="F1084" s="191"/>
      <c r="G1084" s="190"/>
      <c r="H1084" s="304"/>
      <c r="I1084" s="179"/>
      <c r="J1084" s="356"/>
      <c r="K1084" s="198">
        <f>SUM(K1081:K1083)</f>
        <v>7500</v>
      </c>
      <c r="L1084" s="189"/>
      <c r="M1084" s="196"/>
      <c r="N1084" s="135"/>
      <c r="O1084" s="135"/>
      <c r="P1084" s="135"/>
      <c r="Q1084" s="135"/>
      <c r="R1084" s="135"/>
      <c r="S1084" s="135"/>
      <c r="T1084" s="135"/>
      <c r="U1084" s="135"/>
      <c r="V1084" s="135"/>
      <c r="W1084" s="135"/>
      <c r="X1084" s="135"/>
      <c r="Y1084" s="135"/>
      <c r="Z1084" s="135"/>
      <c r="AA1084" s="135"/>
      <c r="AB1084" s="135"/>
      <c r="AC1084" s="135"/>
      <c r="AD1084" s="135"/>
      <c r="AE1084" s="135"/>
      <c r="AF1084" s="135"/>
      <c r="AG1084" s="135"/>
      <c r="AH1084" s="135"/>
      <c r="AI1084" s="135"/>
      <c r="AJ1084" s="135"/>
      <c r="AK1084" s="135"/>
      <c r="AL1084" s="135"/>
      <c r="AM1084" s="135"/>
      <c r="AN1084" s="135"/>
      <c r="AO1084" s="135"/>
      <c r="AP1084" s="135"/>
      <c r="AQ1084" s="135"/>
      <c r="AR1084" s="135"/>
      <c r="AS1084" s="135"/>
      <c r="AT1084" s="135"/>
      <c r="AU1084" s="135"/>
    </row>
    <row r="1085" spans="1:47" ht="24" customHeight="1" x14ac:dyDescent="0.2">
      <c r="A1085" s="163">
        <v>241</v>
      </c>
      <c r="B1085" s="164" t="s">
        <v>1428</v>
      </c>
      <c r="C1085" s="165"/>
      <c r="D1085" s="166" t="s">
        <v>107</v>
      </c>
      <c r="E1085" s="167"/>
      <c r="F1085" s="167"/>
      <c r="G1085" s="166"/>
      <c r="H1085" s="301"/>
      <c r="I1085" s="217" t="s">
        <v>1429</v>
      </c>
      <c r="J1085" s="355" t="s">
        <v>916</v>
      </c>
      <c r="K1085" s="278">
        <f>9000*70%</f>
        <v>6300</v>
      </c>
      <c r="L1085" s="165" t="s">
        <v>111</v>
      </c>
      <c r="M1085" s="172" t="s">
        <v>1430</v>
      </c>
      <c r="N1085" s="135"/>
      <c r="O1085" s="135"/>
      <c r="P1085" s="135"/>
      <c r="Q1085" s="135"/>
      <c r="R1085" s="135"/>
      <c r="S1085" s="135"/>
      <c r="T1085" s="135"/>
      <c r="U1085" s="135"/>
      <c r="V1085" s="135"/>
      <c r="W1085" s="135"/>
      <c r="X1085" s="135"/>
      <c r="Y1085" s="135"/>
      <c r="Z1085" s="135"/>
      <c r="AA1085" s="135"/>
      <c r="AB1085" s="135"/>
      <c r="AC1085" s="135"/>
      <c r="AD1085" s="135"/>
      <c r="AE1085" s="135"/>
      <c r="AF1085" s="135"/>
      <c r="AG1085" s="135"/>
      <c r="AH1085" s="135"/>
      <c r="AI1085" s="135"/>
      <c r="AJ1085" s="135"/>
      <c r="AK1085" s="135"/>
      <c r="AL1085" s="135"/>
      <c r="AM1085" s="135"/>
      <c r="AN1085" s="135"/>
      <c r="AO1085" s="135"/>
      <c r="AP1085" s="135"/>
      <c r="AQ1085" s="135"/>
      <c r="AR1085" s="135"/>
      <c r="AS1085" s="135"/>
      <c r="AT1085" s="135"/>
      <c r="AU1085" s="135"/>
    </row>
    <row r="1086" spans="1:47" ht="48" x14ac:dyDescent="0.2">
      <c r="A1086" s="174"/>
      <c r="B1086" s="175"/>
      <c r="C1086" s="176"/>
      <c r="D1086" s="177"/>
      <c r="E1086" s="178"/>
      <c r="F1086" s="178"/>
      <c r="G1086" s="177"/>
      <c r="H1086" s="303"/>
      <c r="I1086" s="186" t="s">
        <v>915</v>
      </c>
      <c r="J1086" s="348" t="s">
        <v>916</v>
      </c>
      <c r="K1086" s="213">
        <f t="shared" ref="K1086:K1091" si="16">9000*5%</f>
        <v>450</v>
      </c>
      <c r="L1086" s="176"/>
      <c r="M1086" s="183"/>
      <c r="N1086" s="135"/>
      <c r="O1086" s="135"/>
      <c r="P1086" s="135"/>
      <c r="Q1086" s="135"/>
      <c r="R1086" s="135"/>
      <c r="S1086" s="135"/>
      <c r="T1086" s="135"/>
      <c r="U1086" s="135"/>
      <c r="V1086" s="135"/>
      <c r="W1086" s="135"/>
      <c r="X1086" s="135"/>
      <c r="Y1086" s="135"/>
      <c r="Z1086" s="135"/>
      <c r="AA1086" s="135"/>
      <c r="AB1086" s="135"/>
      <c r="AC1086" s="135"/>
      <c r="AD1086" s="135"/>
      <c r="AE1086" s="135"/>
      <c r="AF1086" s="135"/>
      <c r="AG1086" s="135"/>
      <c r="AH1086" s="135"/>
      <c r="AI1086" s="135"/>
      <c r="AJ1086" s="135"/>
      <c r="AK1086" s="135"/>
      <c r="AL1086" s="135"/>
      <c r="AM1086" s="135"/>
      <c r="AN1086" s="135"/>
      <c r="AO1086" s="135"/>
      <c r="AP1086" s="135"/>
      <c r="AQ1086" s="135"/>
      <c r="AR1086" s="135"/>
      <c r="AS1086" s="135"/>
      <c r="AT1086" s="135"/>
      <c r="AU1086" s="135"/>
    </row>
    <row r="1087" spans="1:47" x14ac:dyDescent="0.2">
      <c r="A1087" s="174"/>
      <c r="B1087" s="175"/>
      <c r="C1087" s="176"/>
      <c r="D1087" s="177"/>
      <c r="E1087" s="178"/>
      <c r="F1087" s="178"/>
      <c r="G1087" s="177"/>
      <c r="H1087" s="303"/>
      <c r="I1087" s="186" t="s">
        <v>1431</v>
      </c>
      <c r="J1087" s="348" t="s">
        <v>916</v>
      </c>
      <c r="K1087" s="213">
        <f t="shared" si="16"/>
        <v>450</v>
      </c>
      <c r="L1087" s="176"/>
      <c r="M1087" s="183"/>
      <c r="N1087" s="135"/>
      <c r="O1087" s="135"/>
      <c r="P1087" s="135"/>
      <c r="Q1087" s="135"/>
      <c r="R1087" s="135"/>
      <c r="S1087" s="135"/>
      <c r="T1087" s="135"/>
      <c r="U1087" s="135"/>
      <c r="V1087" s="135"/>
      <c r="W1087" s="135"/>
      <c r="X1087" s="135"/>
      <c r="Y1087" s="135"/>
      <c r="Z1087" s="135"/>
      <c r="AA1087" s="135"/>
      <c r="AB1087" s="135"/>
      <c r="AC1087" s="135"/>
      <c r="AD1087" s="135"/>
      <c r="AE1087" s="135"/>
      <c r="AF1087" s="135"/>
      <c r="AG1087" s="135"/>
      <c r="AH1087" s="135"/>
      <c r="AI1087" s="135"/>
      <c r="AJ1087" s="135"/>
      <c r="AK1087" s="135"/>
      <c r="AL1087" s="135"/>
      <c r="AM1087" s="135"/>
      <c r="AN1087" s="135"/>
      <c r="AO1087" s="135"/>
      <c r="AP1087" s="135"/>
      <c r="AQ1087" s="135"/>
      <c r="AR1087" s="135"/>
      <c r="AS1087" s="135"/>
      <c r="AT1087" s="135"/>
      <c r="AU1087" s="135"/>
    </row>
    <row r="1088" spans="1:47" x14ac:dyDescent="0.2">
      <c r="A1088" s="174"/>
      <c r="B1088" s="175"/>
      <c r="C1088" s="176"/>
      <c r="D1088" s="177"/>
      <c r="E1088" s="178"/>
      <c r="F1088" s="178"/>
      <c r="G1088" s="177"/>
      <c r="H1088" s="303"/>
      <c r="I1088" s="186" t="s">
        <v>919</v>
      </c>
      <c r="J1088" s="348" t="s">
        <v>916</v>
      </c>
      <c r="K1088" s="213">
        <f t="shared" si="16"/>
        <v>450</v>
      </c>
      <c r="L1088" s="176"/>
      <c r="M1088" s="183"/>
      <c r="N1088" s="135"/>
      <c r="O1088" s="135"/>
      <c r="P1088" s="135"/>
      <c r="Q1088" s="135"/>
      <c r="R1088" s="135"/>
      <c r="S1088" s="135"/>
      <c r="T1088" s="135"/>
      <c r="U1088" s="135"/>
      <c r="V1088" s="135"/>
      <c r="W1088" s="135"/>
      <c r="X1088" s="135"/>
      <c r="Y1088" s="135"/>
      <c r="Z1088" s="135"/>
      <c r="AA1088" s="135"/>
      <c r="AB1088" s="135"/>
      <c r="AC1088" s="135"/>
      <c r="AD1088" s="135"/>
      <c r="AE1088" s="135"/>
      <c r="AF1088" s="135"/>
      <c r="AG1088" s="135"/>
      <c r="AH1088" s="135"/>
      <c r="AI1088" s="135"/>
      <c r="AJ1088" s="135"/>
      <c r="AK1088" s="135"/>
      <c r="AL1088" s="135"/>
      <c r="AM1088" s="135"/>
      <c r="AN1088" s="135"/>
      <c r="AO1088" s="135"/>
      <c r="AP1088" s="135"/>
      <c r="AQ1088" s="135"/>
      <c r="AR1088" s="135"/>
      <c r="AS1088" s="135"/>
      <c r="AT1088" s="135"/>
      <c r="AU1088" s="135"/>
    </row>
    <row r="1089" spans="1:47" x14ac:dyDescent="0.2">
      <c r="A1089" s="174"/>
      <c r="B1089" s="175"/>
      <c r="C1089" s="176"/>
      <c r="D1089" s="177"/>
      <c r="E1089" s="178"/>
      <c r="F1089" s="178"/>
      <c r="G1089" s="177"/>
      <c r="H1089" s="303"/>
      <c r="I1089" s="186" t="s">
        <v>1081</v>
      </c>
      <c r="J1089" s="348" t="s">
        <v>460</v>
      </c>
      <c r="K1089" s="213">
        <f t="shared" si="16"/>
        <v>450</v>
      </c>
      <c r="L1089" s="176"/>
      <c r="M1089" s="183"/>
      <c r="N1089" s="135"/>
      <c r="O1089" s="135"/>
      <c r="P1089" s="135"/>
      <c r="Q1089" s="135"/>
      <c r="R1089" s="135"/>
      <c r="S1089" s="135"/>
      <c r="T1089" s="135"/>
      <c r="U1089" s="135"/>
      <c r="V1089" s="135"/>
      <c r="W1089" s="135"/>
      <c r="X1089" s="135"/>
      <c r="Y1089" s="135"/>
      <c r="Z1089" s="135"/>
      <c r="AA1089" s="135"/>
      <c r="AB1089" s="135"/>
      <c r="AC1089" s="135"/>
      <c r="AD1089" s="135"/>
      <c r="AE1089" s="135"/>
      <c r="AF1089" s="135"/>
      <c r="AG1089" s="135"/>
      <c r="AH1089" s="135"/>
      <c r="AI1089" s="135"/>
      <c r="AJ1089" s="135"/>
      <c r="AK1089" s="135"/>
      <c r="AL1089" s="135"/>
      <c r="AM1089" s="135"/>
      <c r="AN1089" s="135"/>
      <c r="AO1089" s="135"/>
      <c r="AP1089" s="135"/>
      <c r="AQ1089" s="135"/>
      <c r="AR1089" s="135"/>
      <c r="AS1089" s="135"/>
      <c r="AT1089" s="135"/>
      <c r="AU1089" s="135"/>
    </row>
    <row r="1090" spans="1:47" x14ac:dyDescent="0.2">
      <c r="A1090" s="174"/>
      <c r="B1090" s="175"/>
      <c r="C1090" s="176"/>
      <c r="D1090" s="177"/>
      <c r="E1090" s="178"/>
      <c r="F1090" s="178"/>
      <c r="G1090" s="177"/>
      <c r="H1090" s="303"/>
      <c r="I1090" s="186" t="s">
        <v>1432</v>
      </c>
      <c r="J1090" s="348" t="s">
        <v>460</v>
      </c>
      <c r="K1090" s="213">
        <f t="shared" si="16"/>
        <v>450</v>
      </c>
      <c r="L1090" s="176"/>
      <c r="M1090" s="183"/>
      <c r="N1090" s="135"/>
      <c r="O1090" s="135"/>
      <c r="P1090" s="135"/>
      <c r="Q1090" s="135"/>
      <c r="R1090" s="135"/>
      <c r="S1090" s="135"/>
      <c r="T1090" s="135"/>
      <c r="U1090" s="135"/>
      <c r="V1090" s="135"/>
      <c r="W1090" s="135"/>
      <c r="X1090" s="135"/>
      <c r="Y1090" s="135"/>
      <c r="Z1090" s="135"/>
      <c r="AA1090" s="135"/>
      <c r="AB1090" s="135"/>
      <c r="AC1090" s="135"/>
      <c r="AD1090" s="135"/>
      <c r="AE1090" s="135"/>
      <c r="AF1090" s="135"/>
      <c r="AG1090" s="135"/>
      <c r="AH1090" s="135"/>
      <c r="AI1090" s="135"/>
      <c r="AJ1090" s="135"/>
      <c r="AK1090" s="135"/>
      <c r="AL1090" s="135"/>
      <c r="AM1090" s="135"/>
      <c r="AN1090" s="135"/>
      <c r="AO1090" s="135"/>
      <c r="AP1090" s="135"/>
      <c r="AQ1090" s="135"/>
      <c r="AR1090" s="135"/>
      <c r="AS1090" s="135"/>
      <c r="AT1090" s="135"/>
      <c r="AU1090" s="135"/>
    </row>
    <row r="1091" spans="1:47" x14ac:dyDescent="0.2">
      <c r="A1091" s="174"/>
      <c r="B1091" s="175"/>
      <c r="C1091" s="176"/>
      <c r="D1091" s="177"/>
      <c r="E1091" s="178"/>
      <c r="F1091" s="178"/>
      <c r="G1091" s="177"/>
      <c r="H1091" s="303"/>
      <c r="I1091" s="186" t="s">
        <v>1433</v>
      </c>
      <c r="J1091" s="348" t="s">
        <v>460</v>
      </c>
      <c r="K1091" s="213">
        <f t="shared" si="16"/>
        <v>450</v>
      </c>
      <c r="L1091" s="176"/>
      <c r="M1091" s="183"/>
      <c r="N1091" s="135"/>
      <c r="O1091" s="135"/>
      <c r="P1091" s="135"/>
      <c r="Q1091" s="135"/>
      <c r="R1091" s="135"/>
      <c r="S1091" s="135"/>
      <c r="T1091" s="135"/>
      <c r="U1091" s="135"/>
      <c r="V1091" s="135"/>
      <c r="W1091" s="135"/>
      <c r="X1091" s="135"/>
      <c r="Y1091" s="135"/>
      <c r="Z1091" s="135"/>
      <c r="AA1091" s="135"/>
      <c r="AB1091" s="135"/>
      <c r="AC1091" s="135"/>
      <c r="AD1091" s="135"/>
      <c r="AE1091" s="135"/>
      <c r="AF1091" s="135"/>
      <c r="AG1091" s="135"/>
      <c r="AH1091" s="135"/>
      <c r="AI1091" s="135"/>
      <c r="AJ1091" s="135"/>
      <c r="AK1091" s="135"/>
      <c r="AL1091" s="135"/>
      <c r="AM1091" s="135"/>
      <c r="AN1091" s="135"/>
      <c r="AO1091" s="135"/>
      <c r="AP1091" s="135"/>
      <c r="AQ1091" s="135"/>
      <c r="AR1091" s="135"/>
      <c r="AS1091" s="135"/>
      <c r="AT1091" s="135"/>
      <c r="AU1091" s="135"/>
    </row>
    <row r="1092" spans="1:47" x14ac:dyDescent="0.2">
      <c r="A1092" s="187"/>
      <c r="B1092" s="188"/>
      <c r="C1092" s="189"/>
      <c r="D1092" s="190"/>
      <c r="E1092" s="191"/>
      <c r="F1092" s="191"/>
      <c r="G1092" s="190"/>
      <c r="H1092" s="304"/>
      <c r="I1092" s="202"/>
      <c r="J1092" s="349"/>
      <c r="K1092" s="319">
        <f>SUM(K1085:K1091)</f>
        <v>9000</v>
      </c>
      <c r="L1092" s="189"/>
      <c r="M1092" s="196"/>
      <c r="N1092" s="135"/>
      <c r="O1092" s="135"/>
      <c r="P1092" s="135"/>
      <c r="Q1092" s="135"/>
      <c r="R1092" s="135"/>
      <c r="S1092" s="135"/>
      <c r="T1092" s="135"/>
      <c r="U1092" s="135"/>
      <c r="V1092" s="135"/>
      <c r="W1092" s="135"/>
      <c r="X1092" s="135"/>
      <c r="Y1092" s="135"/>
      <c r="Z1092" s="135"/>
      <c r="AA1092" s="135"/>
      <c r="AB1092" s="135"/>
      <c r="AC1092" s="135"/>
      <c r="AD1092" s="135"/>
      <c r="AE1092" s="135"/>
      <c r="AF1092" s="135"/>
      <c r="AG1092" s="135"/>
      <c r="AH1092" s="135"/>
      <c r="AI1092" s="135"/>
      <c r="AJ1092" s="135"/>
      <c r="AK1092" s="135"/>
      <c r="AL1092" s="135"/>
      <c r="AM1092" s="135"/>
      <c r="AN1092" s="135"/>
      <c r="AO1092" s="135"/>
      <c r="AP1092" s="135"/>
      <c r="AQ1092" s="135"/>
      <c r="AR1092" s="135"/>
      <c r="AS1092" s="135"/>
      <c r="AT1092" s="135"/>
      <c r="AU1092" s="135"/>
    </row>
    <row r="1093" spans="1:47" ht="24" customHeight="1" x14ac:dyDescent="0.2">
      <c r="A1093" s="163">
        <v>242</v>
      </c>
      <c r="B1093" s="164" t="s">
        <v>1434</v>
      </c>
      <c r="C1093" s="165"/>
      <c r="D1093" s="166" t="s">
        <v>107</v>
      </c>
      <c r="E1093" s="167"/>
      <c r="F1093" s="167"/>
      <c r="G1093" s="166"/>
      <c r="H1093" s="301"/>
      <c r="I1093" s="299" t="s">
        <v>1435</v>
      </c>
      <c r="J1093" s="347" t="s">
        <v>916</v>
      </c>
      <c r="K1093" s="270">
        <f>12000*80%</f>
        <v>9600</v>
      </c>
      <c r="L1093" s="165" t="s">
        <v>111</v>
      </c>
      <c r="M1093" s="172" t="s">
        <v>1436</v>
      </c>
      <c r="N1093" s="135"/>
      <c r="O1093" s="135"/>
      <c r="P1093" s="135"/>
      <c r="Q1093" s="135"/>
      <c r="R1093" s="135"/>
      <c r="S1093" s="135"/>
      <c r="T1093" s="135"/>
      <c r="U1093" s="135"/>
      <c r="V1093" s="135"/>
      <c r="W1093" s="135"/>
      <c r="X1093" s="135"/>
      <c r="Y1093" s="135"/>
      <c r="Z1093" s="135"/>
      <c r="AA1093" s="135"/>
      <c r="AB1093" s="135"/>
      <c r="AC1093" s="135"/>
      <c r="AD1093" s="135"/>
      <c r="AE1093" s="135"/>
      <c r="AF1093" s="135"/>
      <c r="AG1093" s="135"/>
      <c r="AH1093" s="135"/>
      <c r="AI1093" s="135"/>
      <c r="AJ1093" s="135"/>
      <c r="AK1093" s="135"/>
      <c r="AL1093" s="135"/>
      <c r="AM1093" s="135"/>
      <c r="AN1093" s="135"/>
      <c r="AO1093" s="135"/>
      <c r="AP1093" s="135"/>
      <c r="AQ1093" s="135"/>
      <c r="AR1093" s="135"/>
      <c r="AS1093" s="135"/>
      <c r="AT1093" s="135"/>
      <c r="AU1093" s="135"/>
    </row>
    <row r="1094" spans="1:47" x14ac:dyDescent="0.2">
      <c r="A1094" s="174"/>
      <c r="B1094" s="175"/>
      <c r="C1094" s="176"/>
      <c r="D1094" s="177"/>
      <c r="E1094" s="178"/>
      <c r="F1094" s="178"/>
      <c r="G1094" s="177"/>
      <c r="H1094" s="303"/>
      <c r="I1094" s="186" t="s">
        <v>1437</v>
      </c>
      <c r="J1094" s="348" t="s">
        <v>916</v>
      </c>
      <c r="K1094" s="213">
        <f>12000*10%</f>
        <v>1200</v>
      </c>
      <c r="L1094" s="176"/>
      <c r="M1094" s="183"/>
      <c r="N1094" s="135"/>
      <c r="O1094" s="135"/>
      <c r="P1094" s="135"/>
      <c r="Q1094" s="135"/>
      <c r="R1094" s="135"/>
      <c r="S1094" s="135"/>
      <c r="T1094" s="135"/>
      <c r="U1094" s="135"/>
      <c r="V1094" s="135"/>
      <c r="W1094" s="135"/>
      <c r="X1094" s="135"/>
      <c r="Y1094" s="135"/>
      <c r="Z1094" s="135"/>
      <c r="AA1094" s="135"/>
      <c r="AB1094" s="135"/>
      <c r="AC1094" s="135"/>
      <c r="AD1094" s="135"/>
      <c r="AE1094" s="135"/>
      <c r="AF1094" s="135"/>
      <c r="AG1094" s="135"/>
      <c r="AH1094" s="135"/>
      <c r="AI1094" s="135"/>
      <c r="AJ1094" s="135"/>
      <c r="AK1094" s="135"/>
      <c r="AL1094" s="135"/>
      <c r="AM1094" s="135"/>
      <c r="AN1094" s="135"/>
      <c r="AO1094" s="135"/>
      <c r="AP1094" s="135"/>
      <c r="AQ1094" s="135"/>
      <c r="AR1094" s="135"/>
      <c r="AS1094" s="135"/>
      <c r="AT1094" s="135"/>
      <c r="AU1094" s="135"/>
    </row>
    <row r="1095" spans="1:47" x14ac:dyDescent="0.2">
      <c r="A1095" s="174"/>
      <c r="B1095" s="175"/>
      <c r="C1095" s="176"/>
      <c r="D1095" s="177"/>
      <c r="E1095" s="178"/>
      <c r="F1095" s="178"/>
      <c r="G1095" s="177"/>
      <c r="H1095" s="303"/>
      <c r="I1095" s="186" t="s">
        <v>1438</v>
      </c>
      <c r="J1095" s="348" t="s">
        <v>916</v>
      </c>
      <c r="K1095" s="213">
        <f>12000*10%</f>
        <v>1200</v>
      </c>
      <c r="L1095" s="176"/>
      <c r="M1095" s="183"/>
      <c r="N1095" s="135"/>
      <c r="O1095" s="135"/>
      <c r="P1095" s="135"/>
      <c r="Q1095" s="135"/>
      <c r="R1095" s="135"/>
      <c r="S1095" s="135"/>
      <c r="T1095" s="135"/>
      <c r="U1095" s="135"/>
      <c r="V1095" s="135"/>
      <c r="W1095" s="135"/>
      <c r="X1095" s="135"/>
      <c r="Y1095" s="135"/>
      <c r="Z1095" s="135"/>
      <c r="AA1095" s="135"/>
      <c r="AB1095" s="135"/>
      <c r="AC1095" s="135"/>
      <c r="AD1095" s="135"/>
      <c r="AE1095" s="135"/>
      <c r="AF1095" s="135"/>
      <c r="AG1095" s="135"/>
      <c r="AH1095" s="135"/>
      <c r="AI1095" s="135"/>
      <c r="AJ1095" s="135"/>
      <c r="AK1095" s="135"/>
      <c r="AL1095" s="135"/>
      <c r="AM1095" s="135"/>
      <c r="AN1095" s="135"/>
      <c r="AO1095" s="135"/>
      <c r="AP1095" s="135"/>
      <c r="AQ1095" s="135"/>
      <c r="AR1095" s="135"/>
      <c r="AS1095" s="135"/>
      <c r="AT1095" s="135"/>
      <c r="AU1095" s="135"/>
    </row>
    <row r="1096" spans="1:47" x14ac:dyDescent="0.2">
      <c r="A1096" s="187"/>
      <c r="B1096" s="188"/>
      <c r="C1096" s="189"/>
      <c r="D1096" s="190"/>
      <c r="E1096" s="191"/>
      <c r="F1096" s="191"/>
      <c r="G1096" s="190"/>
      <c r="H1096" s="304"/>
      <c r="I1096" s="179"/>
      <c r="J1096" s="356"/>
      <c r="K1096" s="198">
        <f>SUM(K1093:K1095)</f>
        <v>12000</v>
      </c>
      <c r="L1096" s="189"/>
      <c r="M1096" s="196"/>
      <c r="N1096" s="135"/>
      <c r="O1096" s="135"/>
      <c r="P1096" s="135"/>
      <c r="Q1096" s="135"/>
      <c r="R1096" s="135"/>
      <c r="S1096" s="135"/>
      <c r="T1096" s="135"/>
      <c r="U1096" s="135"/>
      <c r="V1096" s="135"/>
      <c r="W1096" s="135"/>
      <c r="X1096" s="135"/>
      <c r="Y1096" s="135"/>
      <c r="Z1096" s="135"/>
      <c r="AA1096" s="135"/>
      <c r="AB1096" s="135"/>
      <c r="AC1096" s="135"/>
      <c r="AD1096" s="135"/>
      <c r="AE1096" s="135"/>
      <c r="AF1096" s="135"/>
      <c r="AG1096" s="135"/>
      <c r="AH1096" s="135"/>
      <c r="AI1096" s="135"/>
      <c r="AJ1096" s="135"/>
      <c r="AK1096" s="135"/>
      <c r="AL1096" s="135"/>
      <c r="AM1096" s="135"/>
      <c r="AN1096" s="135"/>
      <c r="AO1096" s="135"/>
      <c r="AP1096" s="135"/>
      <c r="AQ1096" s="135"/>
      <c r="AR1096" s="135"/>
      <c r="AS1096" s="135"/>
      <c r="AT1096" s="135"/>
      <c r="AU1096" s="135"/>
    </row>
    <row r="1097" spans="1:47" ht="24" customHeight="1" x14ac:dyDescent="0.2">
      <c r="A1097" s="163">
        <v>243</v>
      </c>
      <c r="B1097" s="164" t="s">
        <v>1439</v>
      </c>
      <c r="C1097" s="165"/>
      <c r="D1097" s="166" t="s">
        <v>107</v>
      </c>
      <c r="E1097" s="167"/>
      <c r="F1097" s="167"/>
      <c r="G1097" s="166"/>
      <c r="H1097" s="301"/>
      <c r="I1097" s="217" t="s">
        <v>1440</v>
      </c>
      <c r="J1097" s="355" t="s">
        <v>916</v>
      </c>
      <c r="K1097" s="278">
        <f>9000*50%</f>
        <v>4500</v>
      </c>
      <c r="L1097" s="165" t="s">
        <v>111</v>
      </c>
      <c r="M1097" s="172" t="s">
        <v>1441</v>
      </c>
      <c r="N1097" s="135"/>
      <c r="O1097" s="135"/>
      <c r="P1097" s="135"/>
      <c r="Q1097" s="135"/>
      <c r="R1097" s="135"/>
      <c r="S1097" s="135"/>
      <c r="T1097" s="135"/>
      <c r="U1097" s="135"/>
      <c r="V1097" s="135"/>
      <c r="W1097" s="135"/>
      <c r="X1097" s="135"/>
      <c r="Y1097" s="135"/>
      <c r="Z1097" s="135"/>
      <c r="AA1097" s="135"/>
      <c r="AB1097" s="135"/>
      <c r="AC1097" s="135"/>
      <c r="AD1097" s="135"/>
      <c r="AE1097" s="135"/>
      <c r="AF1097" s="135"/>
      <c r="AG1097" s="135"/>
      <c r="AH1097" s="135"/>
      <c r="AI1097" s="135"/>
      <c r="AJ1097" s="135"/>
      <c r="AK1097" s="135"/>
      <c r="AL1097" s="135"/>
      <c r="AM1097" s="135"/>
      <c r="AN1097" s="135"/>
      <c r="AO1097" s="135"/>
      <c r="AP1097" s="135"/>
      <c r="AQ1097" s="135"/>
      <c r="AR1097" s="135"/>
      <c r="AS1097" s="135"/>
      <c r="AT1097" s="135"/>
      <c r="AU1097" s="135"/>
    </row>
    <row r="1098" spans="1:47" x14ac:dyDescent="0.2">
      <c r="A1098" s="174"/>
      <c r="B1098" s="175"/>
      <c r="C1098" s="176"/>
      <c r="D1098" s="177"/>
      <c r="E1098" s="178"/>
      <c r="F1098" s="178"/>
      <c r="G1098" s="177"/>
      <c r="H1098" s="303"/>
      <c r="I1098" s="186" t="s">
        <v>1437</v>
      </c>
      <c r="J1098" s="348" t="s">
        <v>916</v>
      </c>
      <c r="K1098" s="213">
        <f>9000*10%</f>
        <v>900</v>
      </c>
      <c r="L1098" s="176"/>
      <c r="M1098" s="183"/>
      <c r="N1098" s="135"/>
      <c r="O1098" s="135"/>
      <c r="P1098" s="135"/>
      <c r="Q1098" s="135"/>
      <c r="R1098" s="135"/>
      <c r="S1098" s="135"/>
      <c r="T1098" s="135"/>
      <c r="U1098" s="135"/>
      <c r="V1098" s="135"/>
      <c r="W1098" s="135"/>
      <c r="X1098" s="135"/>
      <c r="Y1098" s="135"/>
      <c r="Z1098" s="135"/>
      <c r="AA1098" s="135"/>
      <c r="AB1098" s="135"/>
      <c r="AC1098" s="135"/>
      <c r="AD1098" s="135"/>
      <c r="AE1098" s="135"/>
      <c r="AF1098" s="135"/>
      <c r="AG1098" s="135"/>
      <c r="AH1098" s="135"/>
      <c r="AI1098" s="135"/>
      <c r="AJ1098" s="135"/>
      <c r="AK1098" s="135"/>
      <c r="AL1098" s="135"/>
      <c r="AM1098" s="135"/>
      <c r="AN1098" s="135"/>
      <c r="AO1098" s="135"/>
      <c r="AP1098" s="135"/>
      <c r="AQ1098" s="135"/>
      <c r="AR1098" s="135"/>
      <c r="AS1098" s="135"/>
      <c r="AT1098" s="135"/>
      <c r="AU1098" s="135"/>
    </row>
    <row r="1099" spans="1:47" x14ac:dyDescent="0.2">
      <c r="A1099" s="174"/>
      <c r="B1099" s="175"/>
      <c r="C1099" s="176"/>
      <c r="D1099" s="177"/>
      <c r="E1099" s="178"/>
      <c r="F1099" s="178"/>
      <c r="G1099" s="177"/>
      <c r="H1099" s="303"/>
      <c r="I1099" s="186" t="s">
        <v>1438</v>
      </c>
      <c r="J1099" s="348" t="s">
        <v>916</v>
      </c>
      <c r="K1099" s="213">
        <f>9000*10%</f>
        <v>900</v>
      </c>
      <c r="L1099" s="176"/>
      <c r="M1099" s="183"/>
      <c r="N1099" s="135"/>
      <c r="O1099" s="135"/>
      <c r="P1099" s="135"/>
      <c r="Q1099" s="135"/>
      <c r="R1099" s="135"/>
      <c r="S1099" s="135"/>
      <c r="T1099" s="135"/>
      <c r="U1099" s="135"/>
      <c r="V1099" s="135"/>
      <c r="W1099" s="135"/>
      <c r="X1099" s="135"/>
      <c r="Y1099" s="135"/>
      <c r="Z1099" s="135"/>
      <c r="AA1099" s="135"/>
      <c r="AB1099" s="135"/>
      <c r="AC1099" s="135"/>
      <c r="AD1099" s="135"/>
      <c r="AE1099" s="135"/>
      <c r="AF1099" s="135"/>
      <c r="AG1099" s="135"/>
      <c r="AH1099" s="135"/>
      <c r="AI1099" s="135"/>
      <c r="AJ1099" s="135"/>
      <c r="AK1099" s="135"/>
      <c r="AL1099" s="135"/>
      <c r="AM1099" s="135"/>
      <c r="AN1099" s="135"/>
      <c r="AO1099" s="135"/>
      <c r="AP1099" s="135"/>
      <c r="AQ1099" s="135"/>
      <c r="AR1099" s="135"/>
      <c r="AS1099" s="135"/>
      <c r="AT1099" s="135"/>
      <c r="AU1099" s="135"/>
    </row>
    <row r="1100" spans="1:47" x14ac:dyDescent="0.2">
      <c r="A1100" s="174"/>
      <c r="B1100" s="175"/>
      <c r="C1100" s="176"/>
      <c r="D1100" s="177"/>
      <c r="E1100" s="178"/>
      <c r="F1100" s="178"/>
      <c r="G1100" s="177"/>
      <c r="H1100" s="303"/>
      <c r="I1100" s="186" t="s">
        <v>408</v>
      </c>
      <c r="J1100" s="348" t="s">
        <v>188</v>
      </c>
      <c r="K1100" s="213">
        <f>9000*10%</f>
        <v>900</v>
      </c>
      <c r="L1100" s="176"/>
      <c r="M1100" s="183"/>
      <c r="N1100" s="135"/>
      <c r="O1100" s="135"/>
      <c r="P1100" s="135"/>
      <c r="Q1100" s="135"/>
      <c r="R1100" s="135"/>
      <c r="S1100" s="135"/>
      <c r="T1100" s="135"/>
      <c r="U1100" s="135"/>
      <c r="V1100" s="135"/>
      <c r="W1100" s="135"/>
      <c r="X1100" s="135"/>
      <c r="Y1100" s="135"/>
      <c r="Z1100" s="135"/>
      <c r="AA1100" s="135"/>
      <c r="AB1100" s="135"/>
      <c r="AC1100" s="135"/>
      <c r="AD1100" s="135"/>
      <c r="AE1100" s="135"/>
      <c r="AF1100" s="135"/>
      <c r="AG1100" s="135"/>
      <c r="AH1100" s="135"/>
      <c r="AI1100" s="135"/>
      <c r="AJ1100" s="135"/>
      <c r="AK1100" s="135"/>
      <c r="AL1100" s="135"/>
      <c r="AM1100" s="135"/>
      <c r="AN1100" s="135"/>
      <c r="AO1100" s="135"/>
      <c r="AP1100" s="135"/>
      <c r="AQ1100" s="135"/>
      <c r="AR1100" s="135"/>
      <c r="AS1100" s="135"/>
      <c r="AT1100" s="135"/>
      <c r="AU1100" s="135"/>
    </row>
    <row r="1101" spans="1:47" x14ac:dyDescent="0.2">
      <c r="A1101" s="174"/>
      <c r="B1101" s="175"/>
      <c r="C1101" s="176"/>
      <c r="D1101" s="177"/>
      <c r="E1101" s="178"/>
      <c r="F1101" s="178"/>
      <c r="G1101" s="177"/>
      <c r="H1101" s="303"/>
      <c r="I1101" s="186" t="s">
        <v>1442</v>
      </c>
      <c r="J1101" s="348" t="s">
        <v>188</v>
      </c>
      <c r="K1101" s="213">
        <f>9000*5%</f>
        <v>450</v>
      </c>
      <c r="L1101" s="176"/>
      <c r="M1101" s="183"/>
      <c r="N1101" s="135"/>
      <c r="O1101" s="135"/>
      <c r="P1101" s="135"/>
      <c r="Q1101" s="135"/>
      <c r="R1101" s="135"/>
      <c r="S1101" s="135"/>
      <c r="T1101" s="135"/>
      <c r="U1101" s="135"/>
      <c r="V1101" s="135"/>
      <c r="W1101" s="135"/>
      <c r="X1101" s="135"/>
      <c r="Y1101" s="135"/>
      <c r="Z1101" s="135"/>
      <c r="AA1101" s="135"/>
      <c r="AB1101" s="135"/>
      <c r="AC1101" s="135"/>
      <c r="AD1101" s="135"/>
      <c r="AE1101" s="135"/>
      <c r="AF1101" s="135"/>
      <c r="AG1101" s="135"/>
      <c r="AH1101" s="135"/>
      <c r="AI1101" s="135"/>
      <c r="AJ1101" s="135"/>
      <c r="AK1101" s="135"/>
      <c r="AL1101" s="135"/>
      <c r="AM1101" s="135"/>
      <c r="AN1101" s="135"/>
      <c r="AO1101" s="135"/>
      <c r="AP1101" s="135"/>
      <c r="AQ1101" s="135"/>
      <c r="AR1101" s="135"/>
      <c r="AS1101" s="135"/>
      <c r="AT1101" s="135"/>
      <c r="AU1101" s="135"/>
    </row>
    <row r="1102" spans="1:47" x14ac:dyDescent="0.2">
      <c r="A1102" s="174"/>
      <c r="B1102" s="175"/>
      <c r="C1102" s="176"/>
      <c r="D1102" s="177"/>
      <c r="E1102" s="178"/>
      <c r="F1102" s="178"/>
      <c r="G1102" s="177"/>
      <c r="H1102" s="303"/>
      <c r="I1102" s="186" t="s">
        <v>1443</v>
      </c>
      <c r="J1102" s="348" t="s">
        <v>916</v>
      </c>
      <c r="K1102" s="213">
        <f>9000*10%</f>
        <v>900</v>
      </c>
      <c r="L1102" s="176"/>
      <c r="M1102" s="183"/>
      <c r="N1102" s="135"/>
      <c r="O1102" s="135"/>
      <c r="P1102" s="135"/>
      <c r="Q1102" s="135"/>
      <c r="R1102" s="135"/>
      <c r="S1102" s="135"/>
      <c r="T1102" s="135"/>
      <c r="U1102" s="135"/>
      <c r="V1102" s="135"/>
      <c r="W1102" s="135"/>
      <c r="X1102" s="135"/>
      <c r="Y1102" s="135"/>
      <c r="Z1102" s="135"/>
      <c r="AA1102" s="135"/>
      <c r="AB1102" s="135"/>
      <c r="AC1102" s="135"/>
      <c r="AD1102" s="135"/>
      <c r="AE1102" s="135"/>
      <c r="AF1102" s="135"/>
      <c r="AG1102" s="135"/>
      <c r="AH1102" s="135"/>
      <c r="AI1102" s="135"/>
      <c r="AJ1102" s="135"/>
      <c r="AK1102" s="135"/>
      <c r="AL1102" s="135"/>
      <c r="AM1102" s="135"/>
      <c r="AN1102" s="135"/>
      <c r="AO1102" s="135"/>
      <c r="AP1102" s="135"/>
      <c r="AQ1102" s="135"/>
      <c r="AR1102" s="135"/>
      <c r="AS1102" s="135"/>
      <c r="AT1102" s="135"/>
      <c r="AU1102" s="135"/>
    </row>
    <row r="1103" spans="1:47" x14ac:dyDescent="0.2">
      <c r="A1103" s="174"/>
      <c r="B1103" s="175"/>
      <c r="C1103" s="176"/>
      <c r="D1103" s="177"/>
      <c r="E1103" s="178"/>
      <c r="F1103" s="178"/>
      <c r="G1103" s="177"/>
      <c r="H1103" s="303"/>
      <c r="I1103" s="186" t="s">
        <v>1444</v>
      </c>
      <c r="J1103" s="348" t="s">
        <v>916</v>
      </c>
      <c r="K1103" s="213">
        <f>9000*5%</f>
        <v>450</v>
      </c>
      <c r="L1103" s="176"/>
      <c r="M1103" s="183"/>
      <c r="N1103" s="135"/>
      <c r="O1103" s="135"/>
      <c r="P1103" s="135"/>
      <c r="Q1103" s="135"/>
      <c r="R1103" s="135"/>
      <c r="S1103" s="135"/>
      <c r="T1103" s="135"/>
      <c r="U1103" s="135"/>
      <c r="V1103" s="135"/>
      <c r="W1103" s="135"/>
      <c r="X1103" s="135"/>
      <c r="Y1103" s="135"/>
      <c r="Z1103" s="135"/>
      <c r="AA1103" s="135"/>
      <c r="AB1103" s="135"/>
      <c r="AC1103" s="135"/>
      <c r="AD1103" s="135"/>
      <c r="AE1103" s="135"/>
      <c r="AF1103" s="135"/>
      <c r="AG1103" s="135"/>
      <c r="AH1103" s="135"/>
      <c r="AI1103" s="135"/>
      <c r="AJ1103" s="135"/>
      <c r="AK1103" s="135"/>
      <c r="AL1103" s="135"/>
      <c r="AM1103" s="135"/>
      <c r="AN1103" s="135"/>
      <c r="AO1103" s="135"/>
      <c r="AP1103" s="135"/>
      <c r="AQ1103" s="135"/>
      <c r="AR1103" s="135"/>
      <c r="AS1103" s="135"/>
      <c r="AT1103" s="135"/>
      <c r="AU1103" s="135"/>
    </row>
    <row r="1104" spans="1:47" x14ac:dyDescent="0.2">
      <c r="A1104" s="187"/>
      <c r="B1104" s="188"/>
      <c r="C1104" s="189"/>
      <c r="D1104" s="190"/>
      <c r="E1104" s="191"/>
      <c r="F1104" s="191"/>
      <c r="G1104" s="190"/>
      <c r="H1104" s="304"/>
      <c r="I1104" s="202"/>
      <c r="J1104" s="349"/>
      <c r="K1104" s="319">
        <f>SUM(K1097:K1103)</f>
        <v>9000</v>
      </c>
      <c r="L1104" s="189"/>
      <c r="M1104" s="196"/>
      <c r="N1104" s="135"/>
      <c r="O1104" s="135"/>
      <c r="P1104" s="135"/>
      <c r="Q1104" s="135"/>
      <c r="R1104" s="135"/>
      <c r="S1104" s="135"/>
      <c r="T1104" s="135"/>
      <c r="U1104" s="135"/>
      <c r="V1104" s="135"/>
      <c r="W1104" s="135"/>
      <c r="X1104" s="135"/>
      <c r="Y1104" s="135"/>
      <c r="Z1104" s="135"/>
      <c r="AA1104" s="135"/>
      <c r="AB1104" s="135"/>
      <c r="AC1104" s="135"/>
      <c r="AD1104" s="135"/>
      <c r="AE1104" s="135"/>
      <c r="AF1104" s="135"/>
      <c r="AG1104" s="135"/>
      <c r="AH1104" s="135"/>
      <c r="AI1104" s="135"/>
      <c r="AJ1104" s="135"/>
      <c r="AK1104" s="135"/>
      <c r="AL1104" s="135"/>
      <c r="AM1104" s="135"/>
      <c r="AN1104" s="135"/>
      <c r="AO1104" s="135"/>
      <c r="AP1104" s="135"/>
      <c r="AQ1104" s="135"/>
      <c r="AR1104" s="135"/>
      <c r="AS1104" s="135"/>
      <c r="AT1104" s="135"/>
      <c r="AU1104" s="135"/>
    </row>
    <row r="1105" spans="1:47" ht="48" customHeight="1" x14ac:dyDescent="0.2">
      <c r="A1105" s="163">
        <v>244</v>
      </c>
      <c r="B1105" s="164" t="s">
        <v>1445</v>
      </c>
      <c r="C1105" s="165"/>
      <c r="D1105" s="166" t="s">
        <v>107</v>
      </c>
      <c r="E1105" s="167"/>
      <c r="F1105" s="167"/>
      <c r="G1105" s="166"/>
      <c r="H1105" s="301"/>
      <c r="I1105" s="299" t="s">
        <v>1446</v>
      </c>
      <c r="J1105" s="347" t="s">
        <v>916</v>
      </c>
      <c r="K1105" s="270">
        <f>6600*65%</f>
        <v>4290</v>
      </c>
      <c r="L1105" s="165" t="s">
        <v>111</v>
      </c>
      <c r="M1105" s="172" t="s">
        <v>1447</v>
      </c>
      <c r="N1105" s="135"/>
      <c r="O1105" s="135"/>
      <c r="P1105" s="135"/>
      <c r="Q1105" s="135"/>
      <c r="R1105" s="135"/>
      <c r="S1105" s="135"/>
      <c r="T1105" s="135"/>
      <c r="U1105" s="135"/>
      <c r="V1105" s="135"/>
      <c r="W1105" s="135"/>
      <c r="X1105" s="135"/>
      <c r="Y1105" s="135"/>
      <c r="Z1105" s="135"/>
      <c r="AA1105" s="135"/>
      <c r="AB1105" s="135"/>
      <c r="AC1105" s="135"/>
      <c r="AD1105" s="135"/>
      <c r="AE1105" s="135"/>
      <c r="AF1105" s="135"/>
      <c r="AG1105" s="135"/>
      <c r="AH1105" s="135"/>
      <c r="AI1105" s="135"/>
      <c r="AJ1105" s="135"/>
      <c r="AK1105" s="135"/>
      <c r="AL1105" s="135"/>
      <c r="AM1105" s="135"/>
      <c r="AN1105" s="135"/>
      <c r="AO1105" s="135"/>
      <c r="AP1105" s="135"/>
      <c r="AQ1105" s="135"/>
      <c r="AR1105" s="135"/>
      <c r="AS1105" s="135"/>
      <c r="AT1105" s="135"/>
      <c r="AU1105" s="135"/>
    </row>
    <row r="1106" spans="1:47" x14ac:dyDescent="0.2">
      <c r="A1106" s="174"/>
      <c r="B1106" s="175"/>
      <c r="C1106" s="176"/>
      <c r="D1106" s="177"/>
      <c r="E1106" s="178"/>
      <c r="F1106" s="178"/>
      <c r="G1106" s="177"/>
      <c r="H1106" s="303"/>
      <c r="I1106" s="186" t="s">
        <v>1448</v>
      </c>
      <c r="J1106" s="348" t="s">
        <v>823</v>
      </c>
      <c r="K1106" s="213">
        <f>6600*10%</f>
        <v>660</v>
      </c>
      <c r="L1106" s="176"/>
      <c r="M1106" s="183"/>
      <c r="N1106" s="135"/>
      <c r="O1106" s="135"/>
      <c r="P1106" s="135"/>
      <c r="Q1106" s="135"/>
      <c r="R1106" s="135"/>
      <c r="S1106" s="135"/>
      <c r="T1106" s="135"/>
      <c r="U1106" s="135"/>
      <c r="V1106" s="135"/>
      <c r="W1106" s="135"/>
      <c r="X1106" s="135"/>
      <c r="Y1106" s="135"/>
      <c r="Z1106" s="135"/>
      <c r="AA1106" s="135"/>
      <c r="AB1106" s="135"/>
      <c r="AC1106" s="135"/>
      <c r="AD1106" s="135"/>
      <c r="AE1106" s="135"/>
      <c r="AF1106" s="135"/>
      <c r="AG1106" s="135"/>
      <c r="AH1106" s="135"/>
      <c r="AI1106" s="135"/>
      <c r="AJ1106" s="135"/>
      <c r="AK1106" s="135"/>
      <c r="AL1106" s="135"/>
      <c r="AM1106" s="135"/>
      <c r="AN1106" s="135"/>
      <c r="AO1106" s="135"/>
      <c r="AP1106" s="135"/>
      <c r="AQ1106" s="135"/>
      <c r="AR1106" s="135"/>
      <c r="AS1106" s="135"/>
      <c r="AT1106" s="135"/>
      <c r="AU1106" s="135"/>
    </row>
    <row r="1107" spans="1:47" x14ac:dyDescent="0.2">
      <c r="A1107" s="174"/>
      <c r="B1107" s="175"/>
      <c r="C1107" s="176"/>
      <c r="D1107" s="177"/>
      <c r="E1107" s="178"/>
      <c r="F1107" s="178"/>
      <c r="G1107" s="177"/>
      <c r="H1107" s="303"/>
      <c r="I1107" s="186" t="s">
        <v>1449</v>
      </c>
      <c r="J1107" s="348" t="s">
        <v>916</v>
      </c>
      <c r="K1107" s="213">
        <f>6600*10%</f>
        <v>660</v>
      </c>
      <c r="L1107" s="176"/>
      <c r="M1107" s="183"/>
      <c r="N1107" s="135"/>
      <c r="O1107" s="135"/>
      <c r="P1107" s="135"/>
      <c r="Q1107" s="135"/>
      <c r="R1107" s="135"/>
      <c r="S1107" s="135"/>
      <c r="T1107" s="135"/>
      <c r="U1107" s="135"/>
      <c r="V1107" s="135"/>
      <c r="W1107" s="135"/>
      <c r="X1107" s="135"/>
      <c r="Y1107" s="135"/>
      <c r="Z1107" s="135"/>
      <c r="AA1107" s="135"/>
      <c r="AB1107" s="135"/>
      <c r="AC1107" s="135"/>
      <c r="AD1107" s="135"/>
      <c r="AE1107" s="135"/>
      <c r="AF1107" s="135"/>
      <c r="AG1107" s="135"/>
      <c r="AH1107" s="135"/>
      <c r="AI1107" s="135"/>
      <c r="AJ1107" s="135"/>
      <c r="AK1107" s="135"/>
      <c r="AL1107" s="135"/>
      <c r="AM1107" s="135"/>
      <c r="AN1107" s="135"/>
      <c r="AO1107" s="135"/>
      <c r="AP1107" s="135"/>
      <c r="AQ1107" s="135"/>
      <c r="AR1107" s="135"/>
      <c r="AS1107" s="135"/>
      <c r="AT1107" s="135"/>
      <c r="AU1107" s="135"/>
    </row>
    <row r="1108" spans="1:47" x14ac:dyDescent="0.2">
      <c r="A1108" s="174"/>
      <c r="B1108" s="175"/>
      <c r="C1108" s="176"/>
      <c r="D1108" s="177"/>
      <c r="E1108" s="178"/>
      <c r="F1108" s="178"/>
      <c r="G1108" s="177"/>
      <c r="H1108" s="303"/>
      <c r="I1108" s="186" t="s">
        <v>1450</v>
      </c>
      <c r="J1108" s="348" t="s">
        <v>916</v>
      </c>
      <c r="K1108" s="213">
        <f>6600*10%</f>
        <v>660</v>
      </c>
      <c r="L1108" s="176"/>
      <c r="M1108" s="183"/>
      <c r="N1108" s="135"/>
      <c r="O1108" s="135"/>
      <c r="P1108" s="135"/>
      <c r="Q1108" s="135"/>
      <c r="R1108" s="135"/>
      <c r="S1108" s="135"/>
      <c r="T1108" s="135"/>
      <c r="U1108" s="135"/>
      <c r="V1108" s="135"/>
      <c r="W1108" s="135"/>
      <c r="X1108" s="135"/>
      <c r="Y1108" s="135"/>
      <c r="Z1108" s="135"/>
      <c r="AA1108" s="135"/>
      <c r="AB1108" s="135"/>
      <c r="AC1108" s="135"/>
      <c r="AD1108" s="135"/>
      <c r="AE1108" s="135"/>
      <c r="AF1108" s="135"/>
      <c r="AG1108" s="135"/>
      <c r="AH1108" s="135"/>
      <c r="AI1108" s="135"/>
      <c r="AJ1108" s="135"/>
      <c r="AK1108" s="135"/>
      <c r="AL1108" s="135"/>
      <c r="AM1108" s="135"/>
      <c r="AN1108" s="135"/>
      <c r="AO1108" s="135"/>
      <c r="AP1108" s="135"/>
      <c r="AQ1108" s="135"/>
      <c r="AR1108" s="135"/>
      <c r="AS1108" s="135"/>
      <c r="AT1108" s="135"/>
      <c r="AU1108" s="135"/>
    </row>
    <row r="1109" spans="1:47" x14ac:dyDescent="0.2">
      <c r="A1109" s="174"/>
      <c r="B1109" s="175"/>
      <c r="C1109" s="176"/>
      <c r="D1109" s="177"/>
      <c r="E1109" s="178"/>
      <c r="F1109" s="178"/>
      <c r="G1109" s="177"/>
      <c r="H1109" s="303"/>
      <c r="I1109" s="186" t="s">
        <v>919</v>
      </c>
      <c r="J1109" s="348" t="s">
        <v>916</v>
      </c>
      <c r="K1109" s="213">
        <f>6600*5%</f>
        <v>330</v>
      </c>
      <c r="L1109" s="176"/>
      <c r="M1109" s="183"/>
      <c r="N1109" s="135"/>
      <c r="O1109" s="135"/>
      <c r="P1109" s="135"/>
      <c r="Q1109" s="135"/>
      <c r="R1109" s="135"/>
      <c r="S1109" s="135"/>
      <c r="T1109" s="135"/>
      <c r="U1109" s="135"/>
      <c r="V1109" s="135"/>
      <c r="W1109" s="135"/>
      <c r="X1109" s="135"/>
      <c r="Y1109" s="135"/>
      <c r="Z1109" s="135"/>
      <c r="AA1109" s="135"/>
      <c r="AB1109" s="135"/>
      <c r="AC1109" s="135"/>
      <c r="AD1109" s="135"/>
      <c r="AE1109" s="135"/>
      <c r="AF1109" s="135"/>
      <c r="AG1109" s="135"/>
      <c r="AH1109" s="135"/>
      <c r="AI1109" s="135"/>
      <c r="AJ1109" s="135"/>
      <c r="AK1109" s="135"/>
      <c r="AL1109" s="135"/>
      <c r="AM1109" s="135"/>
      <c r="AN1109" s="135"/>
      <c r="AO1109" s="135"/>
      <c r="AP1109" s="135"/>
      <c r="AQ1109" s="135"/>
      <c r="AR1109" s="135"/>
      <c r="AS1109" s="135"/>
      <c r="AT1109" s="135"/>
      <c r="AU1109" s="135"/>
    </row>
    <row r="1110" spans="1:47" x14ac:dyDescent="0.2">
      <c r="A1110" s="187"/>
      <c r="B1110" s="188"/>
      <c r="C1110" s="189"/>
      <c r="D1110" s="190"/>
      <c r="E1110" s="191"/>
      <c r="F1110" s="191"/>
      <c r="G1110" s="190"/>
      <c r="H1110" s="304"/>
      <c r="I1110" s="179"/>
      <c r="J1110" s="356"/>
      <c r="K1110" s="198">
        <f>SUM(K1105:K1109)</f>
        <v>6600</v>
      </c>
      <c r="L1110" s="189"/>
      <c r="M1110" s="196"/>
      <c r="N1110" s="135"/>
      <c r="O1110" s="135"/>
      <c r="P1110" s="135"/>
      <c r="Q1110" s="135"/>
      <c r="R1110" s="135"/>
      <c r="S1110" s="135"/>
      <c r="T1110" s="135"/>
      <c r="U1110" s="135"/>
      <c r="V1110" s="135"/>
      <c r="W1110" s="135"/>
      <c r="X1110" s="135"/>
      <c r="Y1110" s="135"/>
      <c r="Z1110" s="135"/>
      <c r="AA1110" s="135"/>
      <c r="AB1110" s="135"/>
      <c r="AC1110" s="135"/>
      <c r="AD1110" s="135"/>
      <c r="AE1110" s="135"/>
      <c r="AF1110" s="135"/>
      <c r="AG1110" s="135"/>
      <c r="AH1110" s="135"/>
      <c r="AI1110" s="135"/>
      <c r="AJ1110" s="135"/>
      <c r="AK1110" s="135"/>
      <c r="AL1110" s="135"/>
      <c r="AM1110" s="135"/>
      <c r="AN1110" s="135"/>
      <c r="AO1110" s="135"/>
      <c r="AP1110" s="135"/>
      <c r="AQ1110" s="135"/>
      <c r="AR1110" s="135"/>
      <c r="AS1110" s="135"/>
      <c r="AT1110" s="135"/>
      <c r="AU1110" s="135"/>
    </row>
    <row r="1111" spans="1:47" ht="24" customHeight="1" x14ac:dyDescent="0.2">
      <c r="A1111" s="163">
        <v>245</v>
      </c>
      <c r="B1111" s="164" t="s">
        <v>1451</v>
      </c>
      <c r="C1111" s="165"/>
      <c r="D1111" s="166" t="s">
        <v>107</v>
      </c>
      <c r="E1111" s="167"/>
      <c r="F1111" s="167"/>
      <c r="G1111" s="166"/>
      <c r="H1111" s="301"/>
      <c r="I1111" s="217" t="s">
        <v>1452</v>
      </c>
      <c r="J1111" s="355" t="s">
        <v>916</v>
      </c>
      <c r="K1111" s="278">
        <f>11100*70%</f>
        <v>7769.9999999999991</v>
      </c>
      <c r="L1111" s="165" t="s">
        <v>111</v>
      </c>
      <c r="M1111" s="172" t="s">
        <v>1453</v>
      </c>
      <c r="N1111" s="135"/>
      <c r="O1111" s="135"/>
      <c r="P1111" s="135"/>
      <c r="Q1111" s="135"/>
      <c r="R1111" s="135"/>
      <c r="S1111" s="135"/>
      <c r="T1111" s="135"/>
      <c r="U1111" s="135"/>
      <c r="V1111" s="135"/>
      <c r="W1111" s="135"/>
      <c r="X1111" s="135"/>
      <c r="Y1111" s="135"/>
      <c r="Z1111" s="135"/>
      <c r="AA1111" s="135"/>
      <c r="AB1111" s="135"/>
      <c r="AC1111" s="135"/>
      <c r="AD1111" s="135"/>
      <c r="AE1111" s="135"/>
      <c r="AF1111" s="135"/>
      <c r="AG1111" s="135"/>
      <c r="AH1111" s="135"/>
      <c r="AI1111" s="135"/>
      <c r="AJ1111" s="135"/>
      <c r="AK1111" s="135"/>
      <c r="AL1111" s="135"/>
      <c r="AM1111" s="135"/>
      <c r="AN1111" s="135"/>
      <c r="AO1111" s="135"/>
      <c r="AP1111" s="135"/>
      <c r="AQ1111" s="135"/>
      <c r="AR1111" s="135"/>
      <c r="AS1111" s="135"/>
      <c r="AT1111" s="135"/>
      <c r="AU1111" s="135"/>
    </row>
    <row r="1112" spans="1:47" x14ac:dyDescent="0.2">
      <c r="A1112" s="174"/>
      <c r="B1112" s="175"/>
      <c r="C1112" s="176"/>
      <c r="D1112" s="177"/>
      <c r="E1112" s="178"/>
      <c r="F1112" s="178"/>
      <c r="G1112" s="177"/>
      <c r="H1112" s="303"/>
      <c r="I1112" s="186" t="s">
        <v>1454</v>
      </c>
      <c r="J1112" s="348" t="s">
        <v>916</v>
      </c>
      <c r="K1112" s="213">
        <f t="shared" ref="K1112:K1117" si="17">11100*5%</f>
        <v>555</v>
      </c>
      <c r="L1112" s="176"/>
      <c r="M1112" s="183"/>
      <c r="N1112" s="135"/>
      <c r="O1112" s="135"/>
      <c r="P1112" s="135"/>
      <c r="Q1112" s="135"/>
      <c r="R1112" s="135"/>
      <c r="S1112" s="135"/>
      <c r="T1112" s="135"/>
      <c r="U1112" s="135"/>
      <c r="V1112" s="135"/>
      <c r="W1112" s="135"/>
      <c r="X1112" s="135"/>
      <c r="Y1112" s="135"/>
      <c r="Z1112" s="135"/>
      <c r="AA1112" s="135"/>
      <c r="AB1112" s="135"/>
      <c r="AC1112" s="135"/>
      <c r="AD1112" s="135"/>
      <c r="AE1112" s="135"/>
      <c r="AF1112" s="135"/>
      <c r="AG1112" s="135"/>
      <c r="AH1112" s="135"/>
      <c r="AI1112" s="135"/>
      <c r="AJ1112" s="135"/>
      <c r="AK1112" s="135"/>
      <c r="AL1112" s="135"/>
      <c r="AM1112" s="135"/>
      <c r="AN1112" s="135"/>
      <c r="AO1112" s="135"/>
      <c r="AP1112" s="135"/>
      <c r="AQ1112" s="135"/>
      <c r="AR1112" s="135"/>
      <c r="AS1112" s="135"/>
      <c r="AT1112" s="135"/>
      <c r="AU1112" s="135"/>
    </row>
    <row r="1113" spans="1:47" x14ac:dyDescent="0.2">
      <c r="A1113" s="174"/>
      <c r="B1113" s="175"/>
      <c r="C1113" s="176"/>
      <c r="D1113" s="177"/>
      <c r="E1113" s="178"/>
      <c r="F1113" s="178"/>
      <c r="G1113" s="177"/>
      <c r="H1113" s="303"/>
      <c r="I1113" s="186" t="s">
        <v>385</v>
      </c>
      <c r="J1113" s="348" t="s">
        <v>916</v>
      </c>
      <c r="K1113" s="213">
        <f t="shared" si="17"/>
        <v>555</v>
      </c>
      <c r="L1113" s="176"/>
      <c r="M1113" s="183"/>
      <c r="N1113" s="135"/>
      <c r="O1113" s="135"/>
      <c r="P1113" s="135"/>
      <c r="Q1113" s="135"/>
      <c r="R1113" s="135"/>
      <c r="S1113" s="135"/>
      <c r="T1113" s="135"/>
      <c r="U1113" s="135"/>
      <c r="V1113" s="135"/>
      <c r="W1113" s="135"/>
      <c r="X1113" s="135"/>
      <c r="Y1113" s="135"/>
      <c r="Z1113" s="135"/>
      <c r="AA1113" s="135"/>
      <c r="AB1113" s="135"/>
      <c r="AC1113" s="135"/>
      <c r="AD1113" s="135"/>
      <c r="AE1113" s="135"/>
      <c r="AF1113" s="135"/>
      <c r="AG1113" s="135"/>
      <c r="AH1113" s="135"/>
      <c r="AI1113" s="135"/>
      <c r="AJ1113" s="135"/>
      <c r="AK1113" s="135"/>
      <c r="AL1113" s="135"/>
      <c r="AM1113" s="135"/>
      <c r="AN1113" s="135"/>
      <c r="AO1113" s="135"/>
      <c r="AP1113" s="135"/>
      <c r="AQ1113" s="135"/>
      <c r="AR1113" s="135"/>
      <c r="AS1113" s="135"/>
      <c r="AT1113" s="135"/>
      <c r="AU1113" s="135"/>
    </row>
    <row r="1114" spans="1:47" x14ac:dyDescent="0.2">
      <c r="A1114" s="174"/>
      <c r="B1114" s="175"/>
      <c r="C1114" s="176"/>
      <c r="D1114" s="177"/>
      <c r="E1114" s="178"/>
      <c r="F1114" s="178"/>
      <c r="G1114" s="177"/>
      <c r="H1114" s="303"/>
      <c r="I1114" s="186" t="s">
        <v>1455</v>
      </c>
      <c r="J1114" s="348" t="s">
        <v>916</v>
      </c>
      <c r="K1114" s="213">
        <f t="shared" si="17"/>
        <v>555</v>
      </c>
      <c r="L1114" s="176"/>
      <c r="M1114" s="183"/>
      <c r="N1114" s="135"/>
      <c r="O1114" s="135"/>
      <c r="P1114" s="135"/>
      <c r="Q1114" s="135"/>
      <c r="R1114" s="135"/>
      <c r="S1114" s="135"/>
      <c r="T1114" s="135"/>
      <c r="U1114" s="135"/>
      <c r="V1114" s="135"/>
      <c r="W1114" s="135"/>
      <c r="X1114" s="135"/>
      <c r="Y1114" s="135"/>
      <c r="Z1114" s="135"/>
      <c r="AA1114" s="135"/>
      <c r="AB1114" s="135"/>
      <c r="AC1114" s="135"/>
      <c r="AD1114" s="135"/>
      <c r="AE1114" s="135"/>
      <c r="AF1114" s="135"/>
      <c r="AG1114" s="135"/>
      <c r="AH1114" s="135"/>
      <c r="AI1114" s="135"/>
      <c r="AJ1114" s="135"/>
      <c r="AK1114" s="135"/>
      <c r="AL1114" s="135"/>
      <c r="AM1114" s="135"/>
      <c r="AN1114" s="135"/>
      <c r="AO1114" s="135"/>
      <c r="AP1114" s="135"/>
      <c r="AQ1114" s="135"/>
      <c r="AR1114" s="135"/>
      <c r="AS1114" s="135"/>
      <c r="AT1114" s="135"/>
      <c r="AU1114" s="135"/>
    </row>
    <row r="1115" spans="1:47" x14ac:dyDescent="0.2">
      <c r="A1115" s="174"/>
      <c r="B1115" s="175"/>
      <c r="C1115" s="176"/>
      <c r="D1115" s="177"/>
      <c r="E1115" s="178"/>
      <c r="F1115" s="178"/>
      <c r="G1115" s="177"/>
      <c r="H1115" s="303"/>
      <c r="I1115" s="186" t="s">
        <v>1456</v>
      </c>
      <c r="J1115" s="348" t="s">
        <v>916</v>
      </c>
      <c r="K1115" s="213">
        <f t="shared" si="17"/>
        <v>555</v>
      </c>
      <c r="L1115" s="176"/>
      <c r="M1115" s="183"/>
      <c r="N1115" s="135"/>
      <c r="O1115" s="135"/>
      <c r="P1115" s="135"/>
      <c r="Q1115" s="135"/>
      <c r="R1115" s="135"/>
      <c r="S1115" s="135"/>
      <c r="T1115" s="135"/>
      <c r="U1115" s="135"/>
      <c r="V1115" s="135"/>
      <c r="W1115" s="135"/>
      <c r="X1115" s="135"/>
      <c r="Y1115" s="135"/>
      <c r="Z1115" s="135"/>
      <c r="AA1115" s="135"/>
      <c r="AB1115" s="135"/>
      <c r="AC1115" s="135"/>
      <c r="AD1115" s="135"/>
      <c r="AE1115" s="135"/>
      <c r="AF1115" s="135"/>
      <c r="AG1115" s="135"/>
      <c r="AH1115" s="135"/>
      <c r="AI1115" s="135"/>
      <c r="AJ1115" s="135"/>
      <c r="AK1115" s="135"/>
      <c r="AL1115" s="135"/>
      <c r="AM1115" s="135"/>
      <c r="AN1115" s="135"/>
      <c r="AO1115" s="135"/>
      <c r="AP1115" s="135"/>
      <c r="AQ1115" s="135"/>
      <c r="AR1115" s="135"/>
      <c r="AS1115" s="135"/>
      <c r="AT1115" s="135"/>
      <c r="AU1115" s="135"/>
    </row>
    <row r="1116" spans="1:47" x14ac:dyDescent="0.2">
      <c r="A1116" s="174"/>
      <c r="B1116" s="175"/>
      <c r="C1116" s="176"/>
      <c r="D1116" s="177"/>
      <c r="E1116" s="178"/>
      <c r="F1116" s="178"/>
      <c r="G1116" s="177"/>
      <c r="H1116" s="303"/>
      <c r="I1116" s="186" t="s">
        <v>1457</v>
      </c>
      <c r="J1116" s="348" t="s">
        <v>916</v>
      </c>
      <c r="K1116" s="213">
        <f t="shared" si="17"/>
        <v>555</v>
      </c>
      <c r="L1116" s="176"/>
      <c r="M1116" s="183"/>
      <c r="N1116" s="135"/>
      <c r="O1116" s="135"/>
      <c r="P1116" s="135"/>
      <c r="Q1116" s="135"/>
      <c r="R1116" s="135"/>
      <c r="S1116" s="135"/>
      <c r="T1116" s="135"/>
      <c r="U1116" s="135"/>
      <c r="V1116" s="135"/>
      <c r="W1116" s="135"/>
      <c r="X1116" s="135"/>
      <c r="Y1116" s="135"/>
      <c r="Z1116" s="135"/>
      <c r="AA1116" s="135"/>
      <c r="AB1116" s="135"/>
      <c r="AC1116" s="135"/>
      <c r="AD1116" s="135"/>
      <c r="AE1116" s="135"/>
      <c r="AF1116" s="135"/>
      <c r="AG1116" s="135"/>
      <c r="AH1116" s="135"/>
      <c r="AI1116" s="135"/>
      <c r="AJ1116" s="135"/>
      <c r="AK1116" s="135"/>
      <c r="AL1116" s="135"/>
      <c r="AM1116" s="135"/>
      <c r="AN1116" s="135"/>
      <c r="AO1116" s="135"/>
      <c r="AP1116" s="135"/>
      <c r="AQ1116" s="135"/>
      <c r="AR1116" s="135"/>
      <c r="AS1116" s="135"/>
      <c r="AT1116" s="135"/>
      <c r="AU1116" s="135"/>
    </row>
    <row r="1117" spans="1:47" x14ac:dyDescent="0.2">
      <c r="A1117" s="174"/>
      <c r="B1117" s="175"/>
      <c r="C1117" s="176"/>
      <c r="D1117" s="177"/>
      <c r="E1117" s="178"/>
      <c r="F1117" s="178"/>
      <c r="G1117" s="177"/>
      <c r="H1117" s="303"/>
      <c r="I1117" s="186" t="s">
        <v>1458</v>
      </c>
      <c r="J1117" s="348" t="s">
        <v>916</v>
      </c>
      <c r="K1117" s="213">
        <f t="shared" si="17"/>
        <v>555</v>
      </c>
      <c r="L1117" s="176"/>
      <c r="M1117" s="183"/>
      <c r="N1117" s="135"/>
      <c r="O1117" s="135"/>
      <c r="P1117" s="135"/>
      <c r="Q1117" s="135"/>
      <c r="R1117" s="135"/>
      <c r="S1117" s="135"/>
      <c r="T1117" s="135"/>
      <c r="U1117" s="135"/>
      <c r="V1117" s="135"/>
      <c r="W1117" s="135"/>
      <c r="X1117" s="135"/>
      <c r="Y1117" s="135"/>
      <c r="Z1117" s="135"/>
      <c r="AA1117" s="135"/>
      <c r="AB1117" s="135"/>
      <c r="AC1117" s="135"/>
      <c r="AD1117" s="135"/>
      <c r="AE1117" s="135"/>
      <c r="AF1117" s="135"/>
      <c r="AG1117" s="135"/>
      <c r="AH1117" s="135"/>
      <c r="AI1117" s="135"/>
      <c r="AJ1117" s="135"/>
      <c r="AK1117" s="135"/>
      <c r="AL1117" s="135"/>
      <c r="AM1117" s="135"/>
      <c r="AN1117" s="135"/>
      <c r="AO1117" s="135"/>
      <c r="AP1117" s="135"/>
      <c r="AQ1117" s="135"/>
      <c r="AR1117" s="135"/>
      <c r="AS1117" s="135"/>
      <c r="AT1117" s="135"/>
      <c r="AU1117" s="135"/>
    </row>
    <row r="1118" spans="1:47" x14ac:dyDescent="0.2">
      <c r="A1118" s="187"/>
      <c r="B1118" s="188"/>
      <c r="C1118" s="189"/>
      <c r="D1118" s="190"/>
      <c r="E1118" s="191"/>
      <c r="F1118" s="191"/>
      <c r="G1118" s="190"/>
      <c r="H1118" s="304"/>
      <c r="I1118" s="202"/>
      <c r="J1118" s="349"/>
      <c r="K1118" s="319">
        <f>SUM(K1111:K1117)</f>
        <v>11100</v>
      </c>
      <c r="L1118" s="189"/>
      <c r="M1118" s="196"/>
      <c r="N1118" s="135"/>
      <c r="O1118" s="135"/>
      <c r="P1118" s="135"/>
      <c r="Q1118" s="135"/>
      <c r="R1118" s="135"/>
      <c r="S1118" s="135"/>
      <c r="T1118" s="135"/>
      <c r="U1118" s="135"/>
      <c r="V1118" s="135"/>
      <c r="W1118" s="135"/>
      <c r="X1118" s="135"/>
      <c r="Y1118" s="135"/>
      <c r="Z1118" s="135"/>
      <c r="AA1118" s="135"/>
      <c r="AB1118" s="135"/>
      <c r="AC1118" s="135"/>
      <c r="AD1118" s="135"/>
      <c r="AE1118" s="135"/>
      <c r="AF1118" s="135"/>
      <c r="AG1118" s="135"/>
      <c r="AH1118" s="135"/>
      <c r="AI1118" s="135"/>
      <c r="AJ1118" s="135"/>
      <c r="AK1118" s="135"/>
      <c r="AL1118" s="135"/>
      <c r="AM1118" s="135"/>
      <c r="AN1118" s="135"/>
      <c r="AO1118" s="135"/>
      <c r="AP1118" s="135"/>
      <c r="AQ1118" s="135"/>
      <c r="AR1118" s="135"/>
      <c r="AS1118" s="135"/>
      <c r="AT1118" s="135"/>
      <c r="AU1118" s="135"/>
    </row>
    <row r="1119" spans="1:47" ht="24" customHeight="1" x14ac:dyDescent="0.2">
      <c r="A1119" s="163">
        <v>246</v>
      </c>
      <c r="B1119" s="164" t="s">
        <v>1459</v>
      </c>
      <c r="C1119" s="165"/>
      <c r="D1119" s="166" t="s">
        <v>107</v>
      </c>
      <c r="E1119" s="167"/>
      <c r="F1119" s="167"/>
      <c r="G1119" s="166"/>
      <c r="H1119" s="301"/>
      <c r="I1119" s="299" t="s">
        <v>1460</v>
      </c>
      <c r="J1119" s="347" t="s">
        <v>916</v>
      </c>
      <c r="K1119" s="270">
        <f>3600*70%</f>
        <v>2520</v>
      </c>
      <c r="L1119" s="165" t="s">
        <v>111</v>
      </c>
      <c r="M1119" s="172" t="s">
        <v>1461</v>
      </c>
      <c r="N1119" s="135"/>
      <c r="O1119" s="135"/>
      <c r="P1119" s="135"/>
      <c r="Q1119" s="135"/>
      <c r="R1119" s="135"/>
      <c r="S1119" s="135"/>
      <c r="T1119" s="135"/>
      <c r="U1119" s="135"/>
      <c r="V1119" s="135"/>
      <c r="W1119" s="135"/>
      <c r="X1119" s="135"/>
      <c r="Y1119" s="135"/>
      <c r="Z1119" s="135"/>
      <c r="AA1119" s="135"/>
      <c r="AB1119" s="135"/>
      <c r="AC1119" s="135"/>
      <c r="AD1119" s="135"/>
      <c r="AE1119" s="135"/>
      <c r="AF1119" s="135"/>
      <c r="AG1119" s="135"/>
      <c r="AH1119" s="135"/>
      <c r="AI1119" s="135"/>
      <c r="AJ1119" s="135"/>
      <c r="AK1119" s="135"/>
      <c r="AL1119" s="135"/>
      <c r="AM1119" s="135"/>
      <c r="AN1119" s="135"/>
      <c r="AO1119" s="135"/>
      <c r="AP1119" s="135"/>
      <c r="AQ1119" s="135"/>
      <c r="AR1119" s="135"/>
      <c r="AS1119" s="135"/>
      <c r="AT1119" s="135"/>
      <c r="AU1119" s="135"/>
    </row>
    <row r="1120" spans="1:47" x14ac:dyDescent="0.2">
      <c r="A1120" s="174"/>
      <c r="B1120" s="175"/>
      <c r="C1120" s="176"/>
      <c r="D1120" s="177"/>
      <c r="E1120" s="178"/>
      <c r="F1120" s="178"/>
      <c r="G1120" s="177"/>
      <c r="H1120" s="303"/>
      <c r="I1120" s="186" t="s">
        <v>1462</v>
      </c>
      <c r="J1120" s="348" t="s">
        <v>548</v>
      </c>
      <c r="K1120" s="213">
        <f>3600*10%</f>
        <v>360</v>
      </c>
      <c r="L1120" s="176"/>
      <c r="M1120" s="183"/>
      <c r="N1120" s="173"/>
      <c r="O1120" s="135"/>
      <c r="P1120" s="135"/>
      <c r="Q1120" s="135"/>
      <c r="R1120" s="135"/>
      <c r="S1120" s="135"/>
      <c r="T1120" s="135"/>
      <c r="U1120" s="135"/>
      <c r="V1120" s="135"/>
      <c r="W1120" s="135"/>
      <c r="X1120" s="135"/>
      <c r="Y1120" s="135"/>
      <c r="Z1120" s="135"/>
      <c r="AA1120" s="135"/>
      <c r="AB1120" s="135"/>
      <c r="AC1120" s="135"/>
      <c r="AD1120" s="135"/>
      <c r="AE1120" s="135"/>
      <c r="AF1120" s="135"/>
      <c r="AG1120" s="135"/>
      <c r="AH1120" s="135"/>
      <c r="AI1120" s="135"/>
      <c r="AJ1120" s="135"/>
      <c r="AK1120" s="135"/>
      <c r="AL1120" s="135"/>
      <c r="AM1120" s="135"/>
      <c r="AN1120" s="135"/>
      <c r="AO1120" s="135"/>
      <c r="AP1120" s="135"/>
      <c r="AQ1120" s="135"/>
      <c r="AR1120" s="135"/>
      <c r="AS1120" s="135"/>
      <c r="AT1120" s="135"/>
      <c r="AU1120" s="135"/>
    </row>
    <row r="1121" spans="1:47" ht="48" x14ac:dyDescent="0.2">
      <c r="A1121" s="174"/>
      <c r="B1121" s="175"/>
      <c r="C1121" s="176"/>
      <c r="D1121" s="177"/>
      <c r="E1121" s="178"/>
      <c r="F1121" s="178"/>
      <c r="G1121" s="177"/>
      <c r="H1121" s="303"/>
      <c r="I1121" s="186" t="s">
        <v>1463</v>
      </c>
      <c r="J1121" s="348" t="s">
        <v>552</v>
      </c>
      <c r="K1121" s="213">
        <f>3600*5%</f>
        <v>180</v>
      </c>
      <c r="L1121" s="176"/>
      <c r="M1121" s="183"/>
      <c r="N1121" s="135"/>
      <c r="O1121" s="135"/>
      <c r="P1121" s="135"/>
      <c r="Q1121" s="135"/>
      <c r="R1121" s="135"/>
      <c r="S1121" s="135"/>
      <c r="T1121" s="135"/>
      <c r="U1121" s="135"/>
      <c r="V1121" s="135"/>
      <c r="W1121" s="135"/>
      <c r="X1121" s="135"/>
      <c r="Y1121" s="135"/>
      <c r="Z1121" s="135"/>
      <c r="AA1121" s="135"/>
      <c r="AB1121" s="135"/>
      <c r="AC1121" s="135"/>
      <c r="AD1121" s="135"/>
      <c r="AE1121" s="135"/>
      <c r="AF1121" s="135"/>
      <c r="AG1121" s="135"/>
      <c r="AH1121" s="135"/>
      <c r="AI1121" s="135"/>
      <c r="AJ1121" s="135"/>
      <c r="AK1121" s="135"/>
      <c r="AL1121" s="135"/>
      <c r="AM1121" s="135"/>
      <c r="AN1121" s="135"/>
      <c r="AO1121" s="135"/>
      <c r="AP1121" s="135"/>
      <c r="AQ1121" s="135"/>
      <c r="AR1121" s="135"/>
      <c r="AS1121" s="135"/>
      <c r="AT1121" s="135"/>
      <c r="AU1121" s="135"/>
    </row>
    <row r="1122" spans="1:47" x14ac:dyDescent="0.2">
      <c r="A1122" s="174"/>
      <c r="B1122" s="175"/>
      <c r="C1122" s="176"/>
      <c r="D1122" s="177"/>
      <c r="E1122" s="178"/>
      <c r="F1122" s="178"/>
      <c r="G1122" s="177"/>
      <c r="H1122" s="303"/>
      <c r="I1122" s="186" t="s">
        <v>1464</v>
      </c>
      <c r="J1122" s="348" t="s">
        <v>188</v>
      </c>
      <c r="K1122" s="213">
        <f>3600*5%</f>
        <v>180</v>
      </c>
      <c r="L1122" s="176"/>
      <c r="M1122" s="183"/>
      <c r="N1122" s="135"/>
      <c r="O1122" s="135"/>
      <c r="P1122" s="135"/>
      <c r="Q1122" s="135"/>
      <c r="R1122" s="135"/>
      <c r="S1122" s="135"/>
      <c r="T1122" s="135"/>
      <c r="U1122" s="135"/>
      <c r="V1122" s="135"/>
      <c r="W1122" s="135"/>
      <c r="X1122" s="135"/>
      <c r="Y1122" s="135"/>
      <c r="Z1122" s="135"/>
      <c r="AA1122" s="135"/>
      <c r="AB1122" s="135"/>
      <c r="AC1122" s="135"/>
      <c r="AD1122" s="135"/>
      <c r="AE1122" s="135"/>
      <c r="AF1122" s="135"/>
      <c r="AG1122" s="135"/>
      <c r="AH1122" s="135"/>
      <c r="AI1122" s="135"/>
      <c r="AJ1122" s="135"/>
      <c r="AK1122" s="135"/>
      <c r="AL1122" s="135"/>
      <c r="AM1122" s="135"/>
      <c r="AN1122" s="135"/>
      <c r="AO1122" s="135"/>
      <c r="AP1122" s="135"/>
      <c r="AQ1122" s="135"/>
      <c r="AR1122" s="135"/>
      <c r="AS1122" s="135"/>
      <c r="AT1122" s="135"/>
      <c r="AU1122" s="135"/>
    </row>
    <row r="1123" spans="1:47" ht="48" x14ac:dyDescent="0.2">
      <c r="A1123" s="174"/>
      <c r="B1123" s="175"/>
      <c r="C1123" s="176"/>
      <c r="D1123" s="177"/>
      <c r="E1123" s="178"/>
      <c r="F1123" s="178"/>
      <c r="G1123" s="177"/>
      <c r="H1123" s="303"/>
      <c r="I1123" s="186" t="s">
        <v>1465</v>
      </c>
      <c r="J1123" s="348" t="s">
        <v>916</v>
      </c>
      <c r="K1123" s="213">
        <f>3600*5%</f>
        <v>180</v>
      </c>
      <c r="L1123" s="176"/>
      <c r="M1123" s="183"/>
      <c r="N1123" s="135"/>
      <c r="O1123" s="135"/>
      <c r="P1123" s="135"/>
      <c r="Q1123" s="135"/>
      <c r="R1123" s="135"/>
      <c r="S1123" s="135"/>
      <c r="T1123" s="135"/>
      <c r="U1123" s="135"/>
      <c r="V1123" s="135"/>
      <c r="W1123" s="135"/>
      <c r="X1123" s="135"/>
      <c r="Y1123" s="135"/>
      <c r="Z1123" s="135"/>
      <c r="AA1123" s="135"/>
      <c r="AB1123" s="135"/>
      <c r="AC1123" s="135"/>
      <c r="AD1123" s="135"/>
      <c r="AE1123" s="135"/>
      <c r="AF1123" s="135"/>
      <c r="AG1123" s="135"/>
      <c r="AH1123" s="135"/>
      <c r="AI1123" s="135"/>
      <c r="AJ1123" s="135"/>
      <c r="AK1123" s="135"/>
      <c r="AL1123" s="135"/>
      <c r="AM1123" s="135"/>
      <c r="AN1123" s="135"/>
      <c r="AO1123" s="135"/>
      <c r="AP1123" s="135"/>
      <c r="AQ1123" s="135"/>
      <c r="AR1123" s="135"/>
      <c r="AS1123" s="135"/>
      <c r="AT1123" s="135"/>
      <c r="AU1123" s="135"/>
    </row>
    <row r="1124" spans="1:47" x14ac:dyDescent="0.2">
      <c r="A1124" s="174"/>
      <c r="B1124" s="175"/>
      <c r="C1124" s="176"/>
      <c r="D1124" s="177"/>
      <c r="E1124" s="178"/>
      <c r="F1124" s="178"/>
      <c r="G1124" s="177"/>
      <c r="H1124" s="303"/>
      <c r="I1124" s="186" t="s">
        <v>1466</v>
      </c>
      <c r="J1124" s="348" t="s">
        <v>1467</v>
      </c>
      <c r="K1124" s="213">
        <f>3600*5%</f>
        <v>180</v>
      </c>
      <c r="L1124" s="176"/>
      <c r="M1124" s="183"/>
      <c r="N1124" s="135"/>
      <c r="O1124" s="135"/>
      <c r="P1124" s="135"/>
      <c r="Q1124" s="135"/>
      <c r="R1124" s="135"/>
      <c r="S1124" s="135"/>
      <c r="T1124" s="135"/>
      <c r="U1124" s="135"/>
      <c r="V1124" s="135"/>
      <c r="W1124" s="135"/>
      <c r="X1124" s="135"/>
      <c r="Y1124" s="135"/>
      <c r="Z1124" s="135"/>
      <c r="AA1124" s="135"/>
      <c r="AB1124" s="135"/>
      <c r="AC1124" s="135"/>
      <c r="AD1124" s="135"/>
      <c r="AE1124" s="135"/>
      <c r="AF1124" s="135"/>
      <c r="AG1124" s="135"/>
      <c r="AH1124" s="135"/>
      <c r="AI1124" s="135"/>
      <c r="AJ1124" s="135"/>
      <c r="AK1124" s="135"/>
      <c r="AL1124" s="135"/>
      <c r="AM1124" s="135"/>
      <c r="AN1124" s="135"/>
      <c r="AO1124" s="135"/>
      <c r="AP1124" s="135"/>
      <c r="AQ1124" s="135"/>
      <c r="AR1124" s="135"/>
      <c r="AS1124" s="135"/>
      <c r="AT1124" s="135"/>
      <c r="AU1124" s="135"/>
    </row>
    <row r="1125" spans="1:47" x14ac:dyDescent="0.2">
      <c r="A1125" s="187"/>
      <c r="B1125" s="188"/>
      <c r="C1125" s="189"/>
      <c r="D1125" s="190"/>
      <c r="E1125" s="191"/>
      <c r="F1125" s="191"/>
      <c r="G1125" s="190"/>
      <c r="H1125" s="304"/>
      <c r="I1125" s="179"/>
      <c r="J1125" s="356"/>
      <c r="K1125" s="198">
        <f>SUM(K1119:K1124)</f>
        <v>3600</v>
      </c>
      <c r="L1125" s="189"/>
      <c r="M1125" s="196"/>
      <c r="N1125" s="135"/>
      <c r="O1125" s="135"/>
      <c r="P1125" s="135"/>
      <c r="Q1125" s="135"/>
      <c r="R1125" s="135"/>
      <c r="S1125" s="135"/>
      <c r="T1125" s="135"/>
      <c r="U1125" s="135"/>
      <c r="V1125" s="135"/>
      <c r="W1125" s="135"/>
      <c r="X1125" s="135"/>
      <c r="Y1125" s="135"/>
      <c r="Z1125" s="135"/>
      <c r="AA1125" s="135"/>
      <c r="AB1125" s="135"/>
      <c r="AC1125" s="135"/>
      <c r="AD1125" s="135"/>
      <c r="AE1125" s="135"/>
      <c r="AF1125" s="135"/>
      <c r="AG1125" s="135"/>
      <c r="AH1125" s="135"/>
      <c r="AI1125" s="135"/>
      <c r="AJ1125" s="135"/>
      <c r="AK1125" s="135"/>
      <c r="AL1125" s="135"/>
      <c r="AM1125" s="135"/>
      <c r="AN1125" s="135"/>
      <c r="AO1125" s="135"/>
      <c r="AP1125" s="135"/>
      <c r="AQ1125" s="135"/>
      <c r="AR1125" s="135"/>
      <c r="AS1125" s="135"/>
      <c r="AT1125" s="135"/>
      <c r="AU1125" s="135"/>
    </row>
    <row r="1126" spans="1:47" ht="24" customHeight="1" x14ac:dyDescent="0.2">
      <c r="A1126" s="163">
        <v>247</v>
      </c>
      <c r="B1126" s="164" t="s">
        <v>1468</v>
      </c>
      <c r="C1126" s="165"/>
      <c r="D1126" s="166" t="s">
        <v>107</v>
      </c>
      <c r="E1126" s="167"/>
      <c r="F1126" s="167"/>
      <c r="G1126" s="166"/>
      <c r="H1126" s="301"/>
      <c r="I1126" s="217" t="s">
        <v>1469</v>
      </c>
      <c r="J1126" s="355" t="s">
        <v>916</v>
      </c>
      <c r="K1126" s="278">
        <f>9000*90%</f>
        <v>8100</v>
      </c>
      <c r="L1126" s="165" t="s">
        <v>111</v>
      </c>
      <c r="M1126" s="172" t="s">
        <v>1470</v>
      </c>
      <c r="N1126" s="135"/>
      <c r="O1126" s="135"/>
      <c r="P1126" s="135"/>
      <c r="Q1126" s="135"/>
      <c r="R1126" s="135"/>
      <c r="S1126" s="135"/>
      <c r="T1126" s="135"/>
      <c r="U1126" s="135"/>
      <c r="V1126" s="135"/>
      <c r="W1126" s="135"/>
      <c r="X1126" s="135"/>
      <c r="Y1126" s="135"/>
      <c r="Z1126" s="135"/>
      <c r="AA1126" s="135"/>
      <c r="AB1126" s="135"/>
      <c r="AC1126" s="135"/>
      <c r="AD1126" s="135"/>
      <c r="AE1126" s="135"/>
      <c r="AF1126" s="135"/>
      <c r="AG1126" s="135"/>
      <c r="AH1126" s="135"/>
      <c r="AI1126" s="135"/>
      <c r="AJ1126" s="135"/>
      <c r="AK1126" s="135"/>
      <c r="AL1126" s="135"/>
      <c r="AM1126" s="135"/>
      <c r="AN1126" s="135"/>
      <c r="AO1126" s="135"/>
      <c r="AP1126" s="135"/>
      <c r="AQ1126" s="135"/>
      <c r="AR1126" s="135"/>
      <c r="AS1126" s="135"/>
      <c r="AT1126" s="135"/>
      <c r="AU1126" s="135"/>
    </row>
    <row r="1127" spans="1:47" x14ac:dyDescent="0.2">
      <c r="A1127" s="174"/>
      <c r="B1127" s="175"/>
      <c r="C1127" s="176"/>
      <c r="D1127" s="177"/>
      <c r="E1127" s="178"/>
      <c r="F1127" s="178"/>
      <c r="G1127" s="177"/>
      <c r="H1127" s="303"/>
      <c r="I1127" s="186" t="s">
        <v>1462</v>
      </c>
      <c r="J1127" s="348" t="s">
        <v>548</v>
      </c>
      <c r="K1127" s="213">
        <f>9000*10%</f>
        <v>900</v>
      </c>
      <c r="L1127" s="176"/>
      <c r="M1127" s="183"/>
      <c r="N1127" s="135"/>
      <c r="O1127" s="135"/>
      <c r="P1127" s="135"/>
      <c r="Q1127" s="135"/>
      <c r="R1127" s="135"/>
      <c r="S1127" s="135"/>
      <c r="T1127" s="135"/>
      <c r="U1127" s="135"/>
      <c r="V1127" s="135"/>
      <c r="W1127" s="135"/>
      <c r="X1127" s="135"/>
      <c r="Y1127" s="135"/>
      <c r="Z1127" s="135"/>
      <c r="AA1127" s="135"/>
      <c r="AB1127" s="135"/>
      <c r="AC1127" s="135"/>
      <c r="AD1127" s="135"/>
      <c r="AE1127" s="135"/>
      <c r="AF1127" s="135"/>
      <c r="AG1127" s="135"/>
      <c r="AH1127" s="135"/>
      <c r="AI1127" s="135"/>
      <c r="AJ1127" s="135"/>
      <c r="AK1127" s="135"/>
      <c r="AL1127" s="135"/>
      <c r="AM1127" s="135"/>
      <c r="AN1127" s="135"/>
      <c r="AO1127" s="135"/>
      <c r="AP1127" s="135"/>
      <c r="AQ1127" s="135"/>
      <c r="AR1127" s="135"/>
      <c r="AS1127" s="135"/>
      <c r="AT1127" s="135"/>
      <c r="AU1127" s="135"/>
    </row>
    <row r="1128" spans="1:47" x14ac:dyDescent="0.2">
      <c r="A1128" s="187"/>
      <c r="B1128" s="188"/>
      <c r="C1128" s="189"/>
      <c r="D1128" s="190"/>
      <c r="E1128" s="191"/>
      <c r="F1128" s="191"/>
      <c r="G1128" s="190"/>
      <c r="H1128" s="304"/>
      <c r="I1128" s="202"/>
      <c r="J1128" s="349"/>
      <c r="K1128" s="319">
        <f>SUM(K1126:K1127)</f>
        <v>9000</v>
      </c>
      <c r="L1128" s="189"/>
      <c r="M1128" s="196"/>
      <c r="N1128" s="135"/>
      <c r="O1128" s="135"/>
      <c r="P1128" s="135"/>
      <c r="Q1128" s="135"/>
      <c r="R1128" s="135"/>
      <c r="S1128" s="135"/>
      <c r="T1128" s="135"/>
      <c r="U1128" s="135"/>
      <c r="V1128" s="135"/>
      <c r="W1128" s="135"/>
      <c r="X1128" s="135"/>
      <c r="Y1128" s="135"/>
      <c r="Z1128" s="135"/>
      <c r="AA1128" s="135"/>
      <c r="AB1128" s="135"/>
      <c r="AC1128" s="135"/>
      <c r="AD1128" s="135"/>
      <c r="AE1128" s="135"/>
      <c r="AF1128" s="135"/>
      <c r="AG1128" s="135"/>
      <c r="AH1128" s="135"/>
      <c r="AI1128" s="135"/>
      <c r="AJ1128" s="135"/>
      <c r="AK1128" s="135"/>
      <c r="AL1128" s="135"/>
      <c r="AM1128" s="135"/>
      <c r="AN1128" s="135"/>
      <c r="AO1128" s="135"/>
      <c r="AP1128" s="135"/>
      <c r="AQ1128" s="135"/>
      <c r="AR1128" s="135"/>
      <c r="AS1128" s="135"/>
      <c r="AT1128" s="135"/>
      <c r="AU1128" s="135"/>
    </row>
    <row r="1129" spans="1:47" ht="48" customHeight="1" x14ac:dyDescent="0.2">
      <c r="A1129" s="163">
        <v>248</v>
      </c>
      <c r="B1129" s="164" t="s">
        <v>1471</v>
      </c>
      <c r="C1129" s="165"/>
      <c r="D1129" s="166" t="s">
        <v>107</v>
      </c>
      <c r="E1129" s="167"/>
      <c r="F1129" s="167"/>
      <c r="G1129" s="166"/>
      <c r="H1129" s="301"/>
      <c r="I1129" s="299" t="s">
        <v>1472</v>
      </c>
      <c r="J1129" s="347" t="s">
        <v>916</v>
      </c>
      <c r="K1129" s="270">
        <f>6000*70%</f>
        <v>4200</v>
      </c>
      <c r="L1129" s="165" t="s">
        <v>111</v>
      </c>
      <c r="M1129" s="172" t="s">
        <v>1473</v>
      </c>
      <c r="N1129" s="135"/>
      <c r="O1129" s="135"/>
      <c r="P1129" s="135"/>
      <c r="Q1129" s="135"/>
      <c r="R1129" s="135"/>
      <c r="S1129" s="135"/>
      <c r="T1129" s="135"/>
      <c r="U1129" s="135"/>
      <c r="V1129" s="135"/>
      <c r="W1129" s="135"/>
      <c r="X1129" s="135"/>
      <c r="Y1129" s="135"/>
      <c r="Z1129" s="135"/>
      <c r="AA1129" s="135"/>
      <c r="AB1129" s="135"/>
      <c r="AC1129" s="135"/>
      <c r="AD1129" s="135"/>
      <c r="AE1129" s="135"/>
      <c r="AF1129" s="135"/>
      <c r="AG1129" s="135"/>
      <c r="AH1129" s="135"/>
      <c r="AI1129" s="135"/>
      <c r="AJ1129" s="135"/>
      <c r="AK1129" s="135"/>
      <c r="AL1129" s="135"/>
      <c r="AM1129" s="135"/>
      <c r="AN1129" s="135"/>
      <c r="AO1129" s="135"/>
      <c r="AP1129" s="135"/>
      <c r="AQ1129" s="135"/>
      <c r="AR1129" s="135"/>
      <c r="AS1129" s="135"/>
      <c r="AT1129" s="135"/>
      <c r="AU1129" s="135"/>
    </row>
    <row r="1130" spans="1:47" x14ac:dyDescent="0.2">
      <c r="A1130" s="174"/>
      <c r="B1130" s="175"/>
      <c r="C1130" s="176"/>
      <c r="D1130" s="177"/>
      <c r="E1130" s="178"/>
      <c r="F1130" s="178"/>
      <c r="G1130" s="177"/>
      <c r="H1130" s="303"/>
      <c r="I1130" s="186" t="s">
        <v>1474</v>
      </c>
      <c r="J1130" s="348" t="s">
        <v>916</v>
      </c>
      <c r="K1130" s="213">
        <f>6000*30%</f>
        <v>1800</v>
      </c>
      <c r="L1130" s="176"/>
      <c r="M1130" s="183"/>
      <c r="N1130" s="135"/>
      <c r="O1130" s="135"/>
      <c r="P1130" s="135"/>
      <c r="Q1130" s="135"/>
      <c r="R1130" s="135"/>
      <c r="S1130" s="135"/>
      <c r="T1130" s="135"/>
      <c r="U1130" s="135"/>
      <c r="V1130" s="135"/>
      <c r="W1130" s="135"/>
      <c r="X1130" s="135"/>
      <c r="Y1130" s="135"/>
      <c r="Z1130" s="135"/>
      <c r="AA1130" s="135"/>
      <c r="AB1130" s="135"/>
      <c r="AC1130" s="135"/>
      <c r="AD1130" s="135"/>
      <c r="AE1130" s="135"/>
      <c r="AF1130" s="135"/>
      <c r="AG1130" s="135"/>
      <c r="AH1130" s="135"/>
      <c r="AI1130" s="135"/>
      <c r="AJ1130" s="135"/>
      <c r="AK1130" s="135"/>
      <c r="AL1130" s="135"/>
      <c r="AM1130" s="135"/>
      <c r="AN1130" s="135"/>
      <c r="AO1130" s="135"/>
      <c r="AP1130" s="135"/>
      <c r="AQ1130" s="135"/>
      <c r="AR1130" s="135"/>
      <c r="AS1130" s="135"/>
      <c r="AT1130" s="135"/>
      <c r="AU1130" s="135"/>
    </row>
    <row r="1131" spans="1:47" x14ac:dyDescent="0.2">
      <c r="A1131" s="187"/>
      <c r="B1131" s="188"/>
      <c r="C1131" s="189"/>
      <c r="D1131" s="190"/>
      <c r="E1131" s="191"/>
      <c r="F1131" s="191"/>
      <c r="G1131" s="190"/>
      <c r="H1131" s="304"/>
      <c r="I1131" s="179"/>
      <c r="J1131" s="356"/>
      <c r="K1131" s="198">
        <f>SUM(K1129:K1130)</f>
        <v>6000</v>
      </c>
      <c r="L1131" s="189"/>
      <c r="M1131" s="196"/>
      <c r="N1131" s="135"/>
      <c r="O1131" s="135"/>
      <c r="P1131" s="135"/>
      <c r="Q1131" s="135"/>
      <c r="R1131" s="135"/>
      <c r="S1131" s="135"/>
      <c r="T1131" s="135"/>
      <c r="U1131" s="135"/>
      <c r="V1131" s="135"/>
      <c r="W1131" s="135"/>
      <c r="X1131" s="135"/>
      <c r="Y1131" s="135"/>
      <c r="Z1131" s="135"/>
      <c r="AA1131" s="135"/>
      <c r="AB1131" s="135"/>
      <c r="AC1131" s="135"/>
      <c r="AD1131" s="135"/>
      <c r="AE1131" s="135"/>
      <c r="AF1131" s="135"/>
      <c r="AG1131" s="135"/>
      <c r="AH1131" s="135"/>
      <c r="AI1131" s="135"/>
      <c r="AJ1131" s="135"/>
      <c r="AK1131" s="135"/>
      <c r="AL1131" s="135"/>
      <c r="AM1131" s="135"/>
      <c r="AN1131" s="135"/>
      <c r="AO1131" s="135"/>
      <c r="AP1131" s="135"/>
      <c r="AQ1131" s="135"/>
      <c r="AR1131" s="135"/>
      <c r="AS1131" s="135"/>
      <c r="AT1131" s="135"/>
      <c r="AU1131" s="135"/>
    </row>
    <row r="1132" spans="1:47" ht="48" customHeight="1" x14ac:dyDescent="0.2">
      <c r="A1132" s="163">
        <v>249</v>
      </c>
      <c r="B1132" s="164" t="s">
        <v>1475</v>
      </c>
      <c r="C1132" s="165"/>
      <c r="D1132" s="166" t="s">
        <v>107</v>
      </c>
      <c r="E1132" s="167"/>
      <c r="F1132" s="167"/>
      <c r="G1132" s="166"/>
      <c r="H1132" s="301" t="s">
        <v>108</v>
      </c>
      <c r="I1132" s="217" t="s">
        <v>1476</v>
      </c>
      <c r="J1132" s="355" t="s">
        <v>916</v>
      </c>
      <c r="K1132" s="278">
        <f>13500*50%</f>
        <v>6750</v>
      </c>
      <c r="L1132" s="165" t="s">
        <v>111</v>
      </c>
      <c r="M1132" s="172" t="s">
        <v>1477</v>
      </c>
      <c r="N1132" s="135"/>
      <c r="O1132" s="135"/>
      <c r="P1132" s="135"/>
      <c r="Q1132" s="135"/>
      <c r="R1132" s="135"/>
      <c r="S1132" s="135"/>
      <c r="T1132" s="135"/>
      <c r="U1132" s="135"/>
      <c r="V1132" s="135"/>
      <c r="W1132" s="135"/>
      <c r="X1132" s="135"/>
      <c r="Y1132" s="135"/>
      <c r="Z1132" s="135"/>
      <c r="AA1132" s="135"/>
      <c r="AB1132" s="135"/>
      <c r="AC1132" s="135"/>
      <c r="AD1132" s="135"/>
      <c r="AE1132" s="135"/>
      <c r="AF1132" s="135"/>
      <c r="AG1132" s="135"/>
      <c r="AH1132" s="135"/>
      <c r="AI1132" s="135"/>
      <c r="AJ1132" s="135"/>
      <c r="AK1132" s="135"/>
      <c r="AL1132" s="135"/>
      <c r="AM1132" s="135"/>
      <c r="AN1132" s="135"/>
      <c r="AO1132" s="135"/>
      <c r="AP1132" s="135"/>
      <c r="AQ1132" s="135"/>
      <c r="AR1132" s="135"/>
      <c r="AS1132" s="135"/>
      <c r="AT1132" s="135"/>
      <c r="AU1132" s="135"/>
    </row>
    <row r="1133" spans="1:47" x14ac:dyDescent="0.2">
      <c r="A1133" s="174"/>
      <c r="B1133" s="175"/>
      <c r="C1133" s="176"/>
      <c r="D1133" s="177"/>
      <c r="E1133" s="178"/>
      <c r="F1133" s="178"/>
      <c r="G1133" s="177"/>
      <c r="H1133" s="303"/>
      <c r="I1133" s="186" t="s">
        <v>1374</v>
      </c>
      <c r="J1133" s="348" t="s">
        <v>916</v>
      </c>
      <c r="K1133" s="213">
        <f>13500*20%</f>
        <v>2700</v>
      </c>
      <c r="L1133" s="176"/>
      <c r="M1133" s="183"/>
      <c r="N1133" s="135"/>
      <c r="O1133" s="135"/>
      <c r="P1133" s="135"/>
      <c r="Q1133" s="135"/>
      <c r="R1133" s="135"/>
      <c r="S1133" s="135"/>
      <c r="T1133" s="135"/>
      <c r="U1133" s="135"/>
      <c r="V1133" s="135"/>
      <c r="W1133" s="135"/>
      <c r="X1133" s="135"/>
      <c r="Y1133" s="135"/>
      <c r="Z1133" s="135"/>
      <c r="AA1133" s="135"/>
      <c r="AB1133" s="135"/>
      <c r="AC1133" s="135"/>
      <c r="AD1133" s="135"/>
      <c r="AE1133" s="135"/>
      <c r="AF1133" s="135"/>
      <c r="AG1133" s="135"/>
      <c r="AH1133" s="135"/>
      <c r="AI1133" s="135"/>
      <c r="AJ1133" s="135"/>
      <c r="AK1133" s="135"/>
      <c r="AL1133" s="135"/>
      <c r="AM1133" s="135"/>
      <c r="AN1133" s="135"/>
      <c r="AO1133" s="135"/>
      <c r="AP1133" s="135"/>
      <c r="AQ1133" s="135"/>
      <c r="AR1133" s="135"/>
      <c r="AS1133" s="135"/>
      <c r="AT1133" s="135"/>
      <c r="AU1133" s="135"/>
    </row>
    <row r="1134" spans="1:47" x14ac:dyDescent="0.2">
      <c r="A1134" s="174"/>
      <c r="B1134" s="175"/>
      <c r="C1134" s="176"/>
      <c r="D1134" s="177"/>
      <c r="E1134" s="178"/>
      <c r="F1134" s="178"/>
      <c r="G1134" s="177"/>
      <c r="H1134" s="303"/>
      <c r="I1134" s="186" t="s">
        <v>1478</v>
      </c>
      <c r="J1134" s="348" t="s">
        <v>876</v>
      </c>
      <c r="K1134" s="213">
        <f>13500*20%</f>
        <v>2700</v>
      </c>
      <c r="L1134" s="176"/>
      <c r="M1134" s="183"/>
      <c r="N1134" s="135"/>
      <c r="O1134" s="135"/>
      <c r="P1134" s="135"/>
      <c r="Q1134" s="135"/>
      <c r="R1134" s="135"/>
      <c r="S1134" s="135"/>
      <c r="T1134" s="135"/>
      <c r="U1134" s="135"/>
      <c r="V1134" s="135"/>
      <c r="W1134" s="135"/>
      <c r="X1134" s="135"/>
      <c r="Y1134" s="135"/>
      <c r="Z1134" s="135"/>
      <c r="AA1134" s="135"/>
      <c r="AB1134" s="135"/>
      <c r="AC1134" s="135"/>
      <c r="AD1134" s="135"/>
      <c r="AE1134" s="135"/>
      <c r="AF1134" s="135"/>
      <c r="AG1134" s="135"/>
      <c r="AH1134" s="135"/>
      <c r="AI1134" s="135"/>
      <c r="AJ1134" s="135"/>
      <c r="AK1134" s="135"/>
      <c r="AL1134" s="135"/>
      <c r="AM1134" s="135"/>
      <c r="AN1134" s="135"/>
      <c r="AO1134" s="135"/>
      <c r="AP1134" s="135"/>
      <c r="AQ1134" s="135"/>
      <c r="AR1134" s="135"/>
      <c r="AS1134" s="135"/>
      <c r="AT1134" s="135"/>
      <c r="AU1134" s="135"/>
    </row>
    <row r="1135" spans="1:47" x14ac:dyDescent="0.2">
      <c r="A1135" s="174"/>
      <c r="B1135" s="175"/>
      <c r="C1135" s="176"/>
      <c r="D1135" s="177"/>
      <c r="E1135" s="178"/>
      <c r="F1135" s="178"/>
      <c r="G1135" s="177"/>
      <c r="H1135" s="303"/>
      <c r="I1135" s="186" t="s">
        <v>1479</v>
      </c>
      <c r="J1135" s="348" t="s">
        <v>916</v>
      </c>
      <c r="K1135" s="213">
        <f>13500*10%</f>
        <v>1350</v>
      </c>
      <c r="L1135" s="176"/>
      <c r="M1135" s="183"/>
      <c r="N1135" s="135"/>
      <c r="O1135" s="135"/>
      <c r="P1135" s="135"/>
      <c r="Q1135" s="135"/>
      <c r="R1135" s="135"/>
      <c r="S1135" s="135"/>
      <c r="T1135" s="135"/>
      <c r="U1135" s="135"/>
      <c r="V1135" s="135"/>
      <c r="W1135" s="135"/>
      <c r="X1135" s="135"/>
      <c r="Y1135" s="135"/>
      <c r="Z1135" s="135"/>
      <c r="AA1135" s="135"/>
      <c r="AB1135" s="135"/>
      <c r="AC1135" s="135"/>
      <c r="AD1135" s="135"/>
      <c r="AE1135" s="135"/>
      <c r="AF1135" s="135"/>
      <c r="AG1135" s="135"/>
      <c r="AH1135" s="135"/>
      <c r="AI1135" s="135"/>
      <c r="AJ1135" s="135"/>
      <c r="AK1135" s="135"/>
      <c r="AL1135" s="135"/>
      <c r="AM1135" s="135"/>
      <c r="AN1135" s="135"/>
      <c r="AO1135" s="135"/>
      <c r="AP1135" s="135"/>
      <c r="AQ1135" s="135"/>
      <c r="AR1135" s="135"/>
      <c r="AS1135" s="135"/>
      <c r="AT1135" s="135"/>
      <c r="AU1135" s="135"/>
    </row>
    <row r="1136" spans="1:47" x14ac:dyDescent="0.2">
      <c r="A1136" s="187"/>
      <c r="B1136" s="188"/>
      <c r="C1136" s="189"/>
      <c r="D1136" s="190"/>
      <c r="E1136" s="191"/>
      <c r="F1136" s="191"/>
      <c r="G1136" s="190"/>
      <c r="H1136" s="304"/>
      <c r="I1136" s="202"/>
      <c r="J1136" s="349"/>
      <c r="K1136" s="319">
        <f>SUM(K1132:K1135)</f>
        <v>13500</v>
      </c>
      <c r="L1136" s="189"/>
      <c r="M1136" s="196"/>
      <c r="N1136" s="135"/>
      <c r="O1136" s="135"/>
      <c r="P1136" s="135"/>
      <c r="Q1136" s="135"/>
      <c r="R1136" s="135"/>
      <c r="S1136" s="135"/>
      <c r="T1136" s="135"/>
      <c r="U1136" s="135"/>
      <c r="V1136" s="135"/>
      <c r="W1136" s="135"/>
      <c r="X1136" s="135"/>
      <c r="Y1136" s="135"/>
      <c r="Z1136" s="135"/>
      <c r="AA1136" s="135"/>
      <c r="AB1136" s="135"/>
      <c r="AC1136" s="135"/>
      <c r="AD1136" s="135"/>
      <c r="AE1136" s="135"/>
      <c r="AF1136" s="135"/>
      <c r="AG1136" s="135"/>
      <c r="AH1136" s="135"/>
      <c r="AI1136" s="135"/>
      <c r="AJ1136" s="135"/>
      <c r="AK1136" s="135"/>
      <c r="AL1136" s="135"/>
      <c r="AM1136" s="135"/>
      <c r="AN1136" s="135"/>
      <c r="AO1136" s="135"/>
      <c r="AP1136" s="135"/>
      <c r="AQ1136" s="135"/>
      <c r="AR1136" s="135"/>
      <c r="AS1136" s="135"/>
      <c r="AT1136" s="135"/>
      <c r="AU1136" s="135"/>
    </row>
    <row r="1137" spans="1:47" ht="24" customHeight="1" x14ac:dyDescent="0.2">
      <c r="A1137" s="163">
        <v>250</v>
      </c>
      <c r="B1137" s="164" t="s">
        <v>1480</v>
      </c>
      <c r="C1137" s="165"/>
      <c r="D1137" s="166" t="s">
        <v>107</v>
      </c>
      <c r="E1137" s="167"/>
      <c r="F1137" s="167"/>
      <c r="G1137" s="166"/>
      <c r="H1137" s="301"/>
      <c r="I1137" s="217" t="s">
        <v>1481</v>
      </c>
      <c r="J1137" s="355" t="s">
        <v>916</v>
      </c>
      <c r="K1137" s="278">
        <f>15000*70%</f>
        <v>10500</v>
      </c>
      <c r="L1137" s="165" t="s">
        <v>111</v>
      </c>
      <c r="M1137" s="172" t="s">
        <v>1482</v>
      </c>
      <c r="N1137" s="135"/>
      <c r="O1137" s="135"/>
      <c r="P1137" s="135"/>
      <c r="Q1137" s="135"/>
      <c r="R1137" s="135"/>
      <c r="S1137" s="135"/>
      <c r="T1137" s="135"/>
      <c r="U1137" s="135"/>
      <c r="V1137" s="135"/>
      <c r="W1137" s="135"/>
      <c r="X1137" s="135"/>
      <c r="Y1137" s="135"/>
      <c r="Z1137" s="135"/>
      <c r="AA1137" s="135"/>
      <c r="AB1137" s="135"/>
      <c r="AC1137" s="135"/>
      <c r="AD1137" s="135"/>
      <c r="AE1137" s="135"/>
      <c r="AF1137" s="135"/>
      <c r="AG1137" s="135"/>
      <c r="AH1137" s="135"/>
      <c r="AI1137" s="135"/>
      <c r="AJ1137" s="135"/>
      <c r="AK1137" s="135"/>
      <c r="AL1137" s="135"/>
      <c r="AM1137" s="135"/>
      <c r="AN1137" s="135"/>
      <c r="AO1137" s="135"/>
      <c r="AP1137" s="135"/>
      <c r="AQ1137" s="135"/>
      <c r="AR1137" s="135"/>
      <c r="AS1137" s="135"/>
      <c r="AT1137" s="135"/>
      <c r="AU1137" s="135"/>
    </row>
    <row r="1138" spans="1:47" x14ac:dyDescent="0.2">
      <c r="A1138" s="174"/>
      <c r="B1138" s="175"/>
      <c r="C1138" s="176"/>
      <c r="D1138" s="177"/>
      <c r="E1138" s="178"/>
      <c r="F1138" s="178"/>
      <c r="G1138" s="177"/>
      <c r="H1138" s="303"/>
      <c r="I1138" s="186" t="s">
        <v>385</v>
      </c>
      <c r="J1138" s="348" t="s">
        <v>916</v>
      </c>
      <c r="K1138" s="213">
        <f t="shared" ref="K1138:K1143" si="18">15000*5%</f>
        <v>750</v>
      </c>
      <c r="L1138" s="176"/>
      <c r="M1138" s="183"/>
      <c r="N1138" s="135"/>
      <c r="O1138" s="135"/>
      <c r="P1138" s="135"/>
      <c r="Q1138" s="135"/>
      <c r="R1138" s="135"/>
      <c r="S1138" s="135"/>
      <c r="T1138" s="135"/>
      <c r="U1138" s="135"/>
      <c r="V1138" s="135"/>
      <c r="W1138" s="135"/>
      <c r="X1138" s="135"/>
      <c r="Y1138" s="135"/>
      <c r="Z1138" s="135"/>
      <c r="AA1138" s="135"/>
      <c r="AB1138" s="135"/>
      <c r="AC1138" s="135"/>
      <c r="AD1138" s="135"/>
      <c r="AE1138" s="135"/>
      <c r="AF1138" s="135"/>
      <c r="AG1138" s="135"/>
      <c r="AH1138" s="135"/>
      <c r="AI1138" s="135"/>
      <c r="AJ1138" s="135"/>
      <c r="AK1138" s="135"/>
      <c r="AL1138" s="135"/>
      <c r="AM1138" s="135"/>
      <c r="AN1138" s="135"/>
      <c r="AO1138" s="135"/>
      <c r="AP1138" s="135"/>
      <c r="AQ1138" s="135"/>
      <c r="AR1138" s="135"/>
      <c r="AS1138" s="135"/>
      <c r="AT1138" s="135"/>
      <c r="AU1138" s="135"/>
    </row>
    <row r="1139" spans="1:47" x14ac:dyDescent="0.2">
      <c r="A1139" s="174"/>
      <c r="B1139" s="175"/>
      <c r="C1139" s="176"/>
      <c r="D1139" s="177"/>
      <c r="E1139" s="178"/>
      <c r="F1139" s="178"/>
      <c r="G1139" s="177"/>
      <c r="H1139" s="303"/>
      <c r="I1139" s="186" t="s">
        <v>1455</v>
      </c>
      <c r="J1139" s="348" t="s">
        <v>916</v>
      </c>
      <c r="K1139" s="213">
        <f t="shared" si="18"/>
        <v>750</v>
      </c>
      <c r="L1139" s="176"/>
      <c r="M1139" s="183"/>
      <c r="N1139" s="135"/>
      <c r="O1139" s="135"/>
      <c r="P1139" s="135"/>
      <c r="Q1139" s="135"/>
      <c r="R1139" s="135"/>
      <c r="S1139" s="135"/>
      <c r="T1139" s="135"/>
      <c r="U1139" s="135"/>
      <c r="V1139" s="135"/>
      <c r="W1139" s="135"/>
      <c r="X1139" s="135"/>
      <c r="Y1139" s="135"/>
      <c r="Z1139" s="135"/>
      <c r="AA1139" s="135"/>
      <c r="AB1139" s="135"/>
      <c r="AC1139" s="135"/>
      <c r="AD1139" s="135"/>
      <c r="AE1139" s="135"/>
      <c r="AF1139" s="135"/>
      <c r="AG1139" s="135"/>
      <c r="AH1139" s="135"/>
      <c r="AI1139" s="135"/>
      <c r="AJ1139" s="135"/>
      <c r="AK1139" s="135"/>
      <c r="AL1139" s="135"/>
      <c r="AM1139" s="135"/>
      <c r="AN1139" s="135"/>
      <c r="AO1139" s="135"/>
      <c r="AP1139" s="135"/>
      <c r="AQ1139" s="135"/>
      <c r="AR1139" s="135"/>
      <c r="AS1139" s="135"/>
      <c r="AT1139" s="135"/>
      <c r="AU1139" s="135"/>
    </row>
    <row r="1140" spans="1:47" x14ac:dyDescent="0.2">
      <c r="A1140" s="174"/>
      <c r="B1140" s="175"/>
      <c r="C1140" s="176"/>
      <c r="D1140" s="177"/>
      <c r="E1140" s="178"/>
      <c r="F1140" s="178"/>
      <c r="G1140" s="177"/>
      <c r="H1140" s="303"/>
      <c r="I1140" s="186" t="s">
        <v>1483</v>
      </c>
      <c r="J1140" s="348" t="s">
        <v>916</v>
      </c>
      <c r="K1140" s="213">
        <f t="shared" si="18"/>
        <v>750</v>
      </c>
      <c r="L1140" s="176"/>
      <c r="M1140" s="183"/>
      <c r="N1140" s="135"/>
      <c r="O1140" s="135"/>
      <c r="P1140" s="135"/>
      <c r="Q1140" s="135"/>
      <c r="R1140" s="135"/>
      <c r="S1140" s="135"/>
      <c r="T1140" s="135"/>
      <c r="U1140" s="135"/>
      <c r="V1140" s="135"/>
      <c r="W1140" s="135"/>
      <c r="X1140" s="135"/>
      <c r="Y1140" s="135"/>
      <c r="Z1140" s="135"/>
      <c r="AA1140" s="135"/>
      <c r="AB1140" s="135"/>
      <c r="AC1140" s="135"/>
      <c r="AD1140" s="135"/>
      <c r="AE1140" s="135"/>
      <c r="AF1140" s="135"/>
      <c r="AG1140" s="135"/>
      <c r="AH1140" s="135"/>
      <c r="AI1140" s="135"/>
      <c r="AJ1140" s="135"/>
      <c r="AK1140" s="135"/>
      <c r="AL1140" s="135"/>
      <c r="AM1140" s="135"/>
      <c r="AN1140" s="135"/>
      <c r="AO1140" s="135"/>
      <c r="AP1140" s="135"/>
      <c r="AQ1140" s="135"/>
      <c r="AR1140" s="135"/>
      <c r="AS1140" s="135"/>
      <c r="AT1140" s="135"/>
      <c r="AU1140" s="135"/>
    </row>
    <row r="1141" spans="1:47" x14ac:dyDescent="0.2">
      <c r="A1141" s="174"/>
      <c r="B1141" s="175"/>
      <c r="C1141" s="176"/>
      <c r="D1141" s="177"/>
      <c r="E1141" s="178"/>
      <c r="F1141" s="178"/>
      <c r="G1141" s="177"/>
      <c r="H1141" s="303"/>
      <c r="I1141" s="186" t="s">
        <v>1458</v>
      </c>
      <c r="J1141" s="348" t="s">
        <v>916</v>
      </c>
      <c r="K1141" s="213">
        <f t="shared" si="18"/>
        <v>750</v>
      </c>
      <c r="L1141" s="176"/>
      <c r="M1141" s="183"/>
      <c r="N1141" s="135"/>
      <c r="O1141" s="135"/>
      <c r="P1141" s="135"/>
      <c r="Q1141" s="135"/>
      <c r="R1141" s="135"/>
      <c r="S1141" s="135"/>
      <c r="T1141" s="135"/>
      <c r="U1141" s="135"/>
      <c r="V1141" s="135"/>
      <c r="W1141" s="135"/>
      <c r="X1141" s="135"/>
      <c r="Y1141" s="135"/>
      <c r="Z1141" s="135"/>
      <c r="AA1141" s="135"/>
      <c r="AB1141" s="135"/>
      <c r="AC1141" s="135"/>
      <c r="AD1141" s="135"/>
      <c r="AE1141" s="135"/>
      <c r="AF1141" s="135"/>
      <c r="AG1141" s="135"/>
      <c r="AH1141" s="135"/>
      <c r="AI1141" s="135"/>
      <c r="AJ1141" s="135"/>
      <c r="AK1141" s="135"/>
      <c r="AL1141" s="135"/>
      <c r="AM1141" s="135"/>
      <c r="AN1141" s="135"/>
      <c r="AO1141" s="135"/>
      <c r="AP1141" s="135"/>
      <c r="AQ1141" s="135"/>
      <c r="AR1141" s="135"/>
      <c r="AS1141" s="135"/>
      <c r="AT1141" s="135"/>
      <c r="AU1141" s="135"/>
    </row>
    <row r="1142" spans="1:47" x14ac:dyDescent="0.2">
      <c r="A1142" s="174"/>
      <c r="B1142" s="175"/>
      <c r="C1142" s="176"/>
      <c r="D1142" s="177"/>
      <c r="E1142" s="178"/>
      <c r="F1142" s="178"/>
      <c r="G1142" s="177"/>
      <c r="H1142" s="303"/>
      <c r="I1142" s="186" t="s">
        <v>1456</v>
      </c>
      <c r="J1142" s="348" t="s">
        <v>916</v>
      </c>
      <c r="K1142" s="213">
        <f t="shared" si="18"/>
        <v>750</v>
      </c>
      <c r="L1142" s="176"/>
      <c r="M1142" s="183"/>
      <c r="N1142" s="135"/>
      <c r="O1142" s="135"/>
      <c r="P1142" s="135"/>
      <c r="Q1142" s="135"/>
      <c r="R1142" s="135"/>
      <c r="S1142" s="135"/>
      <c r="T1142" s="135"/>
      <c r="U1142" s="135"/>
      <c r="V1142" s="135"/>
      <c r="W1142" s="135"/>
      <c r="X1142" s="135"/>
      <c r="Y1142" s="135"/>
      <c r="Z1142" s="135"/>
      <c r="AA1142" s="135"/>
      <c r="AB1142" s="135"/>
      <c r="AC1142" s="135"/>
      <c r="AD1142" s="135"/>
      <c r="AE1142" s="135"/>
      <c r="AF1142" s="135"/>
      <c r="AG1142" s="135"/>
      <c r="AH1142" s="135"/>
      <c r="AI1142" s="135"/>
      <c r="AJ1142" s="135"/>
      <c r="AK1142" s="135"/>
      <c r="AL1142" s="135"/>
      <c r="AM1142" s="135"/>
      <c r="AN1142" s="135"/>
      <c r="AO1142" s="135"/>
      <c r="AP1142" s="135"/>
      <c r="AQ1142" s="135"/>
      <c r="AR1142" s="135"/>
      <c r="AS1142" s="135"/>
      <c r="AT1142" s="135"/>
      <c r="AU1142" s="135"/>
    </row>
    <row r="1143" spans="1:47" x14ac:dyDescent="0.2">
      <c r="A1143" s="174"/>
      <c r="B1143" s="175"/>
      <c r="C1143" s="176"/>
      <c r="D1143" s="177"/>
      <c r="E1143" s="178"/>
      <c r="F1143" s="178"/>
      <c r="G1143" s="177"/>
      <c r="H1143" s="303"/>
      <c r="I1143" s="186" t="s">
        <v>1457</v>
      </c>
      <c r="J1143" s="348" t="s">
        <v>916</v>
      </c>
      <c r="K1143" s="213">
        <f t="shared" si="18"/>
        <v>750</v>
      </c>
      <c r="L1143" s="176"/>
      <c r="M1143" s="183"/>
      <c r="N1143" s="135"/>
      <c r="O1143" s="135"/>
      <c r="P1143" s="135"/>
      <c r="Q1143" s="135"/>
      <c r="R1143" s="135"/>
      <c r="S1143" s="135"/>
      <c r="T1143" s="135"/>
      <c r="U1143" s="135"/>
      <c r="V1143" s="135"/>
      <c r="W1143" s="135"/>
      <c r="X1143" s="135"/>
      <c r="Y1143" s="135"/>
      <c r="Z1143" s="135"/>
      <c r="AA1143" s="135"/>
      <c r="AB1143" s="135"/>
      <c r="AC1143" s="135"/>
      <c r="AD1143" s="135"/>
      <c r="AE1143" s="135"/>
      <c r="AF1143" s="135"/>
      <c r="AG1143" s="135"/>
      <c r="AH1143" s="135"/>
      <c r="AI1143" s="135"/>
      <c r="AJ1143" s="135"/>
      <c r="AK1143" s="135"/>
      <c r="AL1143" s="135"/>
      <c r="AM1143" s="135"/>
      <c r="AN1143" s="135"/>
      <c r="AO1143" s="135"/>
      <c r="AP1143" s="135"/>
      <c r="AQ1143" s="135"/>
      <c r="AR1143" s="135"/>
      <c r="AS1143" s="135"/>
      <c r="AT1143" s="135"/>
      <c r="AU1143" s="135"/>
    </row>
    <row r="1144" spans="1:47" x14ac:dyDescent="0.2">
      <c r="A1144" s="187"/>
      <c r="B1144" s="188"/>
      <c r="C1144" s="189"/>
      <c r="D1144" s="190"/>
      <c r="E1144" s="191"/>
      <c r="F1144" s="191"/>
      <c r="G1144" s="190"/>
      <c r="H1144" s="304"/>
      <c r="I1144" s="202"/>
      <c r="J1144" s="349"/>
      <c r="K1144" s="319">
        <f>SUM(K1137:K1143)</f>
        <v>15000</v>
      </c>
      <c r="L1144" s="189"/>
      <c r="M1144" s="196"/>
      <c r="N1144" s="135"/>
      <c r="O1144" s="135"/>
      <c r="P1144" s="135"/>
      <c r="Q1144" s="135"/>
      <c r="R1144" s="135"/>
      <c r="S1144" s="135"/>
      <c r="T1144" s="135"/>
      <c r="U1144" s="135"/>
      <c r="V1144" s="135"/>
      <c r="W1144" s="135"/>
      <c r="X1144" s="135"/>
      <c r="Y1144" s="135"/>
      <c r="Z1144" s="135"/>
      <c r="AA1144" s="135"/>
      <c r="AB1144" s="135"/>
      <c r="AC1144" s="135"/>
      <c r="AD1144" s="135"/>
      <c r="AE1144" s="135"/>
      <c r="AF1144" s="135"/>
      <c r="AG1144" s="135"/>
      <c r="AH1144" s="135"/>
      <c r="AI1144" s="135"/>
      <c r="AJ1144" s="135"/>
      <c r="AK1144" s="135"/>
      <c r="AL1144" s="135"/>
      <c r="AM1144" s="135"/>
      <c r="AN1144" s="135"/>
      <c r="AO1144" s="135"/>
      <c r="AP1144" s="135"/>
      <c r="AQ1144" s="135"/>
      <c r="AR1144" s="135"/>
      <c r="AS1144" s="135"/>
      <c r="AT1144" s="135"/>
      <c r="AU1144" s="135"/>
    </row>
    <row r="1145" spans="1:47" ht="24" customHeight="1" x14ac:dyDescent="0.2">
      <c r="A1145" s="163">
        <v>251</v>
      </c>
      <c r="B1145" s="164" t="s">
        <v>1484</v>
      </c>
      <c r="C1145" s="165"/>
      <c r="D1145" s="166" t="s">
        <v>161</v>
      </c>
      <c r="E1145" s="167"/>
      <c r="F1145" s="167"/>
      <c r="G1145" s="166"/>
      <c r="H1145" s="301"/>
      <c r="I1145" s="217" t="s">
        <v>1485</v>
      </c>
      <c r="J1145" s="355" t="s">
        <v>916</v>
      </c>
      <c r="K1145" s="278">
        <f>530000*60%</f>
        <v>318000</v>
      </c>
      <c r="L1145" s="165" t="s">
        <v>164</v>
      </c>
      <c r="M1145" s="172" t="s">
        <v>1486</v>
      </c>
      <c r="N1145" s="135"/>
      <c r="O1145" s="135"/>
      <c r="P1145" s="135"/>
      <c r="Q1145" s="135"/>
      <c r="R1145" s="135"/>
      <c r="S1145" s="135"/>
      <c r="T1145" s="135"/>
      <c r="U1145" s="135"/>
      <c r="V1145" s="135"/>
      <c r="W1145" s="135"/>
      <c r="X1145" s="135"/>
      <c r="Y1145" s="135"/>
      <c r="Z1145" s="135"/>
      <c r="AA1145" s="135"/>
      <c r="AB1145" s="135"/>
      <c r="AC1145" s="135"/>
      <c r="AD1145" s="135"/>
      <c r="AE1145" s="135"/>
      <c r="AF1145" s="135"/>
      <c r="AG1145" s="135"/>
      <c r="AH1145" s="135"/>
      <c r="AI1145" s="135"/>
      <c r="AJ1145" s="135"/>
      <c r="AK1145" s="135"/>
      <c r="AL1145" s="135"/>
      <c r="AM1145" s="135"/>
      <c r="AN1145" s="135"/>
      <c r="AO1145" s="135"/>
      <c r="AP1145" s="135"/>
      <c r="AQ1145" s="135"/>
      <c r="AR1145" s="135"/>
      <c r="AS1145" s="135"/>
      <c r="AT1145" s="135"/>
      <c r="AU1145" s="135"/>
    </row>
    <row r="1146" spans="1:47" x14ac:dyDescent="0.2">
      <c r="A1146" s="174"/>
      <c r="B1146" s="175"/>
      <c r="C1146" s="176"/>
      <c r="D1146" s="177"/>
      <c r="E1146" s="178"/>
      <c r="F1146" s="178"/>
      <c r="G1146" s="177"/>
      <c r="H1146" s="303"/>
      <c r="I1146" s="186" t="s">
        <v>1487</v>
      </c>
      <c r="J1146" s="348" t="s">
        <v>876</v>
      </c>
      <c r="K1146" s="213">
        <f>530000*10%</f>
        <v>53000</v>
      </c>
      <c r="L1146" s="176"/>
      <c r="M1146" s="183"/>
      <c r="N1146" s="135"/>
      <c r="O1146" s="135"/>
      <c r="P1146" s="135"/>
      <c r="Q1146" s="135"/>
      <c r="R1146" s="135"/>
      <c r="S1146" s="135"/>
      <c r="T1146" s="135"/>
      <c r="U1146" s="135"/>
      <c r="V1146" s="135"/>
      <c r="W1146" s="135"/>
      <c r="X1146" s="135"/>
      <c r="Y1146" s="135"/>
      <c r="Z1146" s="135"/>
      <c r="AA1146" s="135"/>
      <c r="AB1146" s="135"/>
      <c r="AC1146" s="135"/>
      <c r="AD1146" s="135"/>
      <c r="AE1146" s="135"/>
      <c r="AF1146" s="135"/>
      <c r="AG1146" s="135"/>
      <c r="AH1146" s="135"/>
      <c r="AI1146" s="135"/>
      <c r="AJ1146" s="135"/>
      <c r="AK1146" s="135"/>
      <c r="AL1146" s="135"/>
      <c r="AM1146" s="135"/>
      <c r="AN1146" s="135"/>
      <c r="AO1146" s="135"/>
      <c r="AP1146" s="135"/>
      <c r="AQ1146" s="135"/>
      <c r="AR1146" s="135"/>
      <c r="AS1146" s="135"/>
      <c r="AT1146" s="135"/>
      <c r="AU1146" s="135"/>
    </row>
    <row r="1147" spans="1:47" x14ac:dyDescent="0.2">
      <c r="A1147" s="174"/>
      <c r="B1147" s="175"/>
      <c r="C1147" s="176"/>
      <c r="D1147" s="177"/>
      <c r="E1147" s="178"/>
      <c r="F1147" s="178"/>
      <c r="G1147" s="177"/>
      <c r="H1147" s="303"/>
      <c r="I1147" s="186" t="s">
        <v>1488</v>
      </c>
      <c r="J1147" s="348" t="s">
        <v>823</v>
      </c>
      <c r="K1147" s="213">
        <f>530000*10%</f>
        <v>53000</v>
      </c>
      <c r="L1147" s="176"/>
      <c r="M1147" s="183"/>
      <c r="N1147" s="135"/>
      <c r="O1147" s="135"/>
      <c r="P1147" s="135"/>
      <c r="Q1147" s="135"/>
      <c r="R1147" s="135"/>
      <c r="S1147" s="135"/>
      <c r="T1147" s="135"/>
      <c r="U1147" s="135"/>
      <c r="V1147" s="135"/>
      <c r="W1147" s="135"/>
      <c r="X1147" s="135"/>
      <c r="Y1147" s="135"/>
      <c r="Z1147" s="135"/>
      <c r="AA1147" s="135"/>
      <c r="AB1147" s="135"/>
      <c r="AC1147" s="135"/>
      <c r="AD1147" s="135"/>
      <c r="AE1147" s="135"/>
      <c r="AF1147" s="135"/>
      <c r="AG1147" s="135"/>
      <c r="AH1147" s="135"/>
      <c r="AI1147" s="135"/>
      <c r="AJ1147" s="135"/>
      <c r="AK1147" s="135"/>
      <c r="AL1147" s="135"/>
      <c r="AM1147" s="135"/>
      <c r="AN1147" s="135"/>
      <c r="AO1147" s="135"/>
      <c r="AP1147" s="135"/>
      <c r="AQ1147" s="135"/>
      <c r="AR1147" s="135"/>
      <c r="AS1147" s="135"/>
      <c r="AT1147" s="135"/>
      <c r="AU1147" s="135"/>
    </row>
    <row r="1148" spans="1:47" x14ac:dyDescent="0.2">
      <c r="A1148" s="174"/>
      <c r="B1148" s="175"/>
      <c r="C1148" s="176"/>
      <c r="D1148" s="177"/>
      <c r="E1148" s="178"/>
      <c r="F1148" s="178"/>
      <c r="G1148" s="177"/>
      <c r="H1148" s="303"/>
      <c r="I1148" s="186" t="s">
        <v>381</v>
      </c>
      <c r="J1148" s="348" t="s">
        <v>916</v>
      </c>
      <c r="K1148" s="213">
        <f>530000*5%</f>
        <v>26500</v>
      </c>
      <c r="L1148" s="176"/>
      <c r="M1148" s="183"/>
      <c r="N1148" s="135"/>
      <c r="O1148" s="135"/>
      <c r="P1148" s="135"/>
      <c r="Q1148" s="135"/>
      <c r="R1148" s="135"/>
      <c r="S1148" s="135"/>
      <c r="T1148" s="135"/>
      <c r="U1148" s="135"/>
      <c r="V1148" s="135"/>
      <c r="W1148" s="135"/>
      <c r="X1148" s="135"/>
      <c r="Y1148" s="135"/>
      <c r="Z1148" s="135"/>
      <c r="AA1148" s="135"/>
      <c r="AB1148" s="135"/>
      <c r="AC1148" s="135"/>
      <c r="AD1148" s="135"/>
      <c r="AE1148" s="135"/>
      <c r="AF1148" s="135"/>
      <c r="AG1148" s="135"/>
      <c r="AH1148" s="135"/>
      <c r="AI1148" s="135"/>
      <c r="AJ1148" s="135"/>
      <c r="AK1148" s="135"/>
      <c r="AL1148" s="135"/>
      <c r="AM1148" s="135"/>
      <c r="AN1148" s="135"/>
      <c r="AO1148" s="135"/>
      <c r="AP1148" s="135"/>
      <c r="AQ1148" s="135"/>
      <c r="AR1148" s="135"/>
      <c r="AS1148" s="135"/>
      <c r="AT1148" s="135"/>
      <c r="AU1148" s="135"/>
    </row>
    <row r="1149" spans="1:47" ht="48" x14ac:dyDescent="0.2">
      <c r="A1149" s="174"/>
      <c r="B1149" s="175"/>
      <c r="C1149" s="176"/>
      <c r="D1149" s="177"/>
      <c r="E1149" s="178"/>
      <c r="F1149" s="178"/>
      <c r="G1149" s="177"/>
      <c r="H1149" s="303"/>
      <c r="I1149" s="186" t="s">
        <v>1465</v>
      </c>
      <c r="J1149" s="348" t="s">
        <v>916</v>
      </c>
      <c r="K1149" s="213">
        <f>530000*5%</f>
        <v>26500</v>
      </c>
      <c r="L1149" s="176"/>
      <c r="M1149" s="183"/>
      <c r="N1149" s="135"/>
      <c r="O1149" s="135"/>
      <c r="P1149" s="135"/>
      <c r="Q1149" s="135"/>
      <c r="R1149" s="135"/>
      <c r="S1149" s="135"/>
      <c r="T1149" s="135"/>
      <c r="U1149" s="135"/>
      <c r="V1149" s="135"/>
      <c r="W1149" s="135"/>
      <c r="X1149" s="135"/>
      <c r="Y1149" s="135"/>
      <c r="Z1149" s="135"/>
      <c r="AA1149" s="135"/>
      <c r="AB1149" s="135"/>
      <c r="AC1149" s="135"/>
      <c r="AD1149" s="135"/>
      <c r="AE1149" s="135"/>
      <c r="AF1149" s="135"/>
      <c r="AG1149" s="135"/>
      <c r="AH1149" s="135"/>
      <c r="AI1149" s="135"/>
      <c r="AJ1149" s="135"/>
      <c r="AK1149" s="135"/>
      <c r="AL1149" s="135"/>
      <c r="AM1149" s="135"/>
      <c r="AN1149" s="135"/>
      <c r="AO1149" s="135"/>
      <c r="AP1149" s="135"/>
      <c r="AQ1149" s="135"/>
      <c r="AR1149" s="135"/>
      <c r="AS1149" s="135"/>
      <c r="AT1149" s="135"/>
      <c r="AU1149" s="135"/>
    </row>
    <row r="1150" spans="1:47" x14ac:dyDescent="0.2">
      <c r="A1150" s="174"/>
      <c r="B1150" s="175"/>
      <c r="C1150" s="176"/>
      <c r="D1150" s="177"/>
      <c r="E1150" s="178"/>
      <c r="F1150" s="178"/>
      <c r="G1150" s="177"/>
      <c r="H1150" s="303"/>
      <c r="I1150" s="186" t="s">
        <v>1489</v>
      </c>
      <c r="J1150" s="348" t="s">
        <v>916</v>
      </c>
      <c r="K1150" s="213">
        <f>530000*5%</f>
        <v>26500</v>
      </c>
      <c r="L1150" s="176"/>
      <c r="M1150" s="183"/>
      <c r="N1150" s="135"/>
      <c r="O1150" s="135"/>
      <c r="P1150" s="135"/>
      <c r="Q1150" s="135"/>
      <c r="R1150" s="135"/>
      <c r="S1150" s="135"/>
      <c r="T1150" s="135"/>
      <c r="U1150" s="135"/>
      <c r="V1150" s="135"/>
      <c r="W1150" s="135"/>
      <c r="X1150" s="135"/>
      <c r="Y1150" s="135"/>
      <c r="Z1150" s="135"/>
      <c r="AA1150" s="135"/>
      <c r="AB1150" s="135"/>
      <c r="AC1150" s="135"/>
      <c r="AD1150" s="135"/>
      <c r="AE1150" s="135"/>
      <c r="AF1150" s="135"/>
      <c r="AG1150" s="135"/>
      <c r="AH1150" s="135"/>
      <c r="AI1150" s="135"/>
      <c r="AJ1150" s="135"/>
      <c r="AK1150" s="135"/>
      <c r="AL1150" s="135"/>
      <c r="AM1150" s="135"/>
      <c r="AN1150" s="135"/>
      <c r="AO1150" s="135"/>
      <c r="AP1150" s="135"/>
      <c r="AQ1150" s="135"/>
      <c r="AR1150" s="135"/>
      <c r="AS1150" s="135"/>
      <c r="AT1150" s="135"/>
      <c r="AU1150" s="135"/>
    </row>
    <row r="1151" spans="1:47" x14ac:dyDescent="0.2">
      <c r="A1151" s="187"/>
      <c r="B1151" s="188"/>
      <c r="C1151" s="189"/>
      <c r="D1151" s="190"/>
      <c r="E1151" s="191"/>
      <c r="F1151" s="191"/>
      <c r="G1151" s="190"/>
      <c r="H1151" s="304"/>
      <c r="I1151" s="202"/>
      <c r="J1151" s="349"/>
      <c r="K1151" s="319">
        <f>SUM(K1145:K1150)</f>
        <v>503500</v>
      </c>
      <c r="L1151" s="189"/>
      <c r="M1151" s="196"/>
      <c r="N1151" s="135"/>
      <c r="O1151" s="135"/>
      <c r="P1151" s="135"/>
      <c r="Q1151" s="135"/>
      <c r="R1151" s="135"/>
      <c r="S1151" s="135"/>
      <c r="T1151" s="135"/>
      <c r="U1151" s="135"/>
      <c r="V1151" s="135"/>
      <c r="W1151" s="135"/>
      <c r="X1151" s="135"/>
      <c r="Y1151" s="135"/>
      <c r="Z1151" s="135"/>
      <c r="AA1151" s="135"/>
      <c r="AB1151" s="135"/>
      <c r="AC1151" s="135"/>
      <c r="AD1151" s="135"/>
      <c r="AE1151" s="135"/>
      <c r="AF1151" s="135"/>
      <c r="AG1151" s="135"/>
      <c r="AH1151" s="135"/>
      <c r="AI1151" s="135"/>
      <c r="AJ1151" s="135"/>
      <c r="AK1151" s="135"/>
      <c r="AL1151" s="135"/>
      <c r="AM1151" s="135"/>
      <c r="AN1151" s="135"/>
      <c r="AO1151" s="135"/>
      <c r="AP1151" s="135"/>
      <c r="AQ1151" s="135"/>
      <c r="AR1151" s="135"/>
      <c r="AS1151" s="135"/>
      <c r="AT1151" s="135"/>
      <c r="AU1151" s="135"/>
    </row>
    <row r="1152" spans="1:47" ht="24" customHeight="1" x14ac:dyDescent="0.2">
      <c r="A1152" s="163">
        <v>252</v>
      </c>
      <c r="B1152" s="164" t="s">
        <v>1490</v>
      </c>
      <c r="C1152" s="165"/>
      <c r="D1152" s="166" t="s">
        <v>161</v>
      </c>
      <c r="E1152" s="167"/>
      <c r="F1152" s="167"/>
      <c r="G1152" s="166"/>
      <c r="H1152" s="301"/>
      <c r="I1152" s="299" t="s">
        <v>1491</v>
      </c>
      <c r="J1152" s="347" t="s">
        <v>916</v>
      </c>
      <c r="K1152" s="270">
        <f>530000*50%</f>
        <v>265000</v>
      </c>
      <c r="L1152" s="165" t="s">
        <v>164</v>
      </c>
      <c r="M1152" s="172" t="s">
        <v>1492</v>
      </c>
      <c r="N1152" s="135"/>
      <c r="O1152" s="135"/>
      <c r="P1152" s="135"/>
      <c r="Q1152" s="135"/>
      <c r="R1152" s="135"/>
      <c r="S1152" s="135"/>
      <c r="T1152" s="135"/>
      <c r="U1152" s="135"/>
      <c r="V1152" s="135"/>
      <c r="W1152" s="135"/>
      <c r="X1152" s="135"/>
      <c r="Y1152" s="135"/>
      <c r="Z1152" s="135"/>
      <c r="AA1152" s="135"/>
      <c r="AB1152" s="135"/>
      <c r="AC1152" s="135"/>
      <c r="AD1152" s="135"/>
      <c r="AE1152" s="135"/>
      <c r="AF1152" s="135"/>
      <c r="AG1152" s="135"/>
      <c r="AH1152" s="135"/>
      <c r="AI1152" s="135"/>
      <c r="AJ1152" s="135"/>
      <c r="AK1152" s="135"/>
      <c r="AL1152" s="135"/>
      <c r="AM1152" s="135"/>
      <c r="AN1152" s="135"/>
      <c r="AO1152" s="135"/>
      <c r="AP1152" s="135"/>
      <c r="AQ1152" s="135"/>
      <c r="AR1152" s="135"/>
      <c r="AS1152" s="135"/>
      <c r="AT1152" s="135"/>
      <c r="AU1152" s="135"/>
    </row>
    <row r="1153" spans="1:47" x14ac:dyDescent="0.2">
      <c r="A1153" s="174"/>
      <c r="B1153" s="175"/>
      <c r="C1153" s="176"/>
      <c r="D1153" s="177"/>
      <c r="E1153" s="178"/>
      <c r="F1153" s="178"/>
      <c r="G1153" s="177"/>
      <c r="H1153" s="303"/>
      <c r="I1153" s="186" t="s">
        <v>1493</v>
      </c>
      <c r="J1153" s="348" t="s">
        <v>916</v>
      </c>
      <c r="K1153" s="213">
        <f>530000*50%</f>
        <v>265000</v>
      </c>
      <c r="L1153" s="176"/>
      <c r="M1153" s="183"/>
      <c r="N1153" s="135"/>
      <c r="O1153" s="135"/>
      <c r="P1153" s="135"/>
      <c r="Q1153" s="135"/>
      <c r="R1153" s="135"/>
      <c r="S1153" s="135"/>
      <c r="T1153" s="135"/>
      <c r="U1153" s="135"/>
      <c r="V1153" s="135"/>
      <c r="W1153" s="135"/>
      <c r="X1153" s="135"/>
      <c r="Y1153" s="135"/>
      <c r="Z1153" s="135"/>
      <c r="AA1153" s="135"/>
      <c r="AB1153" s="135"/>
      <c r="AC1153" s="135"/>
      <c r="AD1153" s="135"/>
      <c r="AE1153" s="135"/>
      <c r="AF1153" s="135"/>
      <c r="AG1153" s="135"/>
      <c r="AH1153" s="135"/>
      <c r="AI1153" s="135"/>
      <c r="AJ1153" s="135"/>
      <c r="AK1153" s="135"/>
      <c r="AL1153" s="135"/>
      <c r="AM1153" s="135"/>
      <c r="AN1153" s="135"/>
      <c r="AO1153" s="135"/>
      <c r="AP1153" s="135"/>
      <c r="AQ1153" s="135"/>
      <c r="AR1153" s="135"/>
      <c r="AS1153" s="135"/>
      <c r="AT1153" s="135"/>
      <c r="AU1153" s="135"/>
    </row>
    <row r="1154" spans="1:47" x14ac:dyDescent="0.2">
      <c r="A1154" s="187"/>
      <c r="B1154" s="188"/>
      <c r="C1154" s="189"/>
      <c r="D1154" s="190"/>
      <c r="E1154" s="191"/>
      <c r="F1154" s="191"/>
      <c r="G1154" s="190"/>
      <c r="H1154" s="304"/>
      <c r="I1154" s="179"/>
      <c r="J1154" s="356"/>
      <c r="K1154" s="198">
        <f>SUM(K1152:K1153)</f>
        <v>530000</v>
      </c>
      <c r="L1154" s="189"/>
      <c r="M1154" s="196"/>
      <c r="N1154" s="135"/>
      <c r="O1154" s="135"/>
      <c r="P1154" s="135"/>
      <c r="Q1154" s="135"/>
      <c r="R1154" s="135"/>
      <c r="S1154" s="135"/>
      <c r="T1154" s="135"/>
      <c r="U1154" s="135"/>
      <c r="V1154" s="135"/>
      <c r="W1154" s="135"/>
      <c r="X1154" s="135"/>
      <c r="Y1154" s="135"/>
      <c r="Z1154" s="135"/>
      <c r="AA1154" s="135"/>
      <c r="AB1154" s="135"/>
      <c r="AC1154" s="135"/>
      <c r="AD1154" s="135"/>
      <c r="AE1154" s="135"/>
      <c r="AF1154" s="135"/>
      <c r="AG1154" s="135"/>
      <c r="AH1154" s="135"/>
      <c r="AI1154" s="135"/>
      <c r="AJ1154" s="135"/>
      <c r="AK1154" s="135"/>
      <c r="AL1154" s="135"/>
      <c r="AM1154" s="135"/>
      <c r="AN1154" s="135"/>
      <c r="AO1154" s="135"/>
      <c r="AP1154" s="135"/>
      <c r="AQ1154" s="135"/>
      <c r="AR1154" s="135"/>
      <c r="AS1154" s="135"/>
      <c r="AT1154" s="135"/>
      <c r="AU1154" s="135"/>
    </row>
    <row r="1155" spans="1:47" ht="24" customHeight="1" x14ac:dyDescent="0.2">
      <c r="A1155" s="163">
        <v>253</v>
      </c>
      <c r="B1155" s="164" t="s">
        <v>1494</v>
      </c>
      <c r="C1155" s="165"/>
      <c r="D1155" s="166" t="s">
        <v>161</v>
      </c>
      <c r="E1155" s="167"/>
      <c r="F1155" s="167"/>
      <c r="G1155" s="166"/>
      <c r="H1155" s="301"/>
      <c r="I1155" s="217" t="s">
        <v>1485</v>
      </c>
      <c r="J1155" s="355" t="s">
        <v>916</v>
      </c>
      <c r="K1155" s="278">
        <f>530000*60%</f>
        <v>318000</v>
      </c>
      <c r="L1155" s="165" t="s">
        <v>164</v>
      </c>
      <c r="M1155" s="172" t="s">
        <v>1495</v>
      </c>
      <c r="N1155" s="135"/>
      <c r="O1155" s="135"/>
      <c r="P1155" s="135"/>
      <c r="Q1155" s="135"/>
      <c r="R1155" s="135"/>
      <c r="S1155" s="135"/>
      <c r="T1155" s="135"/>
      <c r="U1155" s="135"/>
      <c r="V1155" s="135"/>
      <c r="W1155" s="135"/>
      <c r="X1155" s="135"/>
      <c r="Y1155" s="135"/>
      <c r="Z1155" s="135"/>
      <c r="AA1155" s="135"/>
      <c r="AB1155" s="135"/>
      <c r="AC1155" s="135"/>
      <c r="AD1155" s="135"/>
      <c r="AE1155" s="135"/>
      <c r="AF1155" s="135"/>
      <c r="AG1155" s="135"/>
      <c r="AH1155" s="135"/>
      <c r="AI1155" s="135"/>
      <c r="AJ1155" s="135"/>
      <c r="AK1155" s="135"/>
      <c r="AL1155" s="135"/>
      <c r="AM1155" s="135"/>
      <c r="AN1155" s="135"/>
      <c r="AO1155" s="135"/>
      <c r="AP1155" s="135"/>
      <c r="AQ1155" s="135"/>
      <c r="AR1155" s="135"/>
      <c r="AS1155" s="135"/>
      <c r="AT1155" s="135"/>
      <c r="AU1155" s="135"/>
    </row>
    <row r="1156" spans="1:47" x14ac:dyDescent="0.2">
      <c r="A1156" s="174"/>
      <c r="B1156" s="175"/>
      <c r="C1156" s="176"/>
      <c r="D1156" s="177"/>
      <c r="E1156" s="178"/>
      <c r="F1156" s="178"/>
      <c r="G1156" s="177"/>
      <c r="H1156" s="303"/>
      <c r="I1156" s="186" t="s">
        <v>1496</v>
      </c>
      <c r="J1156" s="348" t="s">
        <v>876</v>
      </c>
      <c r="K1156" s="213">
        <f>530000*15%</f>
        <v>79500</v>
      </c>
      <c r="L1156" s="176"/>
      <c r="M1156" s="183"/>
      <c r="N1156" s="135"/>
      <c r="O1156" s="135"/>
      <c r="P1156" s="135"/>
      <c r="Q1156" s="135"/>
      <c r="R1156" s="135"/>
      <c r="S1156" s="135"/>
      <c r="T1156" s="135"/>
      <c r="U1156" s="135"/>
      <c r="V1156" s="135"/>
      <c r="W1156" s="135"/>
      <c r="X1156" s="135"/>
      <c r="Y1156" s="135"/>
      <c r="Z1156" s="135"/>
      <c r="AA1156" s="135"/>
      <c r="AB1156" s="135"/>
      <c r="AC1156" s="135"/>
      <c r="AD1156" s="135"/>
      <c r="AE1156" s="135"/>
      <c r="AF1156" s="135"/>
      <c r="AG1156" s="135"/>
      <c r="AH1156" s="135"/>
      <c r="AI1156" s="135"/>
      <c r="AJ1156" s="135"/>
      <c r="AK1156" s="135"/>
      <c r="AL1156" s="135"/>
      <c r="AM1156" s="135"/>
      <c r="AN1156" s="135"/>
      <c r="AO1156" s="135"/>
      <c r="AP1156" s="135"/>
      <c r="AQ1156" s="135"/>
      <c r="AR1156" s="135"/>
      <c r="AS1156" s="135"/>
      <c r="AT1156" s="135"/>
      <c r="AU1156" s="135"/>
    </row>
    <row r="1157" spans="1:47" x14ac:dyDescent="0.2">
      <c r="A1157" s="174"/>
      <c r="B1157" s="175"/>
      <c r="C1157" s="176"/>
      <c r="D1157" s="177"/>
      <c r="E1157" s="178"/>
      <c r="F1157" s="178"/>
      <c r="G1157" s="177"/>
      <c r="H1157" s="303"/>
      <c r="I1157" s="186" t="s">
        <v>1488</v>
      </c>
      <c r="J1157" s="348" t="s">
        <v>823</v>
      </c>
      <c r="K1157" s="213">
        <f>530000*10%</f>
        <v>53000</v>
      </c>
      <c r="L1157" s="176"/>
      <c r="M1157" s="183"/>
      <c r="N1157" s="135"/>
      <c r="O1157" s="135"/>
      <c r="P1157" s="135"/>
      <c r="Q1157" s="135"/>
      <c r="R1157" s="135"/>
      <c r="S1157" s="135"/>
      <c r="T1157" s="135"/>
      <c r="U1157" s="135"/>
      <c r="V1157" s="135"/>
      <c r="W1157" s="135"/>
      <c r="X1157" s="135"/>
      <c r="Y1157" s="135"/>
      <c r="Z1157" s="135"/>
      <c r="AA1157" s="135"/>
      <c r="AB1157" s="135"/>
      <c r="AC1157" s="135"/>
      <c r="AD1157" s="135"/>
      <c r="AE1157" s="135"/>
      <c r="AF1157" s="135"/>
      <c r="AG1157" s="135"/>
      <c r="AH1157" s="135"/>
      <c r="AI1157" s="135"/>
      <c r="AJ1157" s="135"/>
      <c r="AK1157" s="135"/>
      <c r="AL1157" s="135"/>
      <c r="AM1157" s="135"/>
      <c r="AN1157" s="135"/>
      <c r="AO1157" s="135"/>
      <c r="AP1157" s="135"/>
      <c r="AQ1157" s="135"/>
      <c r="AR1157" s="135"/>
      <c r="AS1157" s="135"/>
      <c r="AT1157" s="135"/>
      <c r="AU1157" s="135"/>
    </row>
    <row r="1158" spans="1:47" x14ac:dyDescent="0.2">
      <c r="A1158" s="174"/>
      <c r="B1158" s="175"/>
      <c r="C1158" s="176"/>
      <c r="D1158" s="177"/>
      <c r="E1158" s="178"/>
      <c r="F1158" s="178"/>
      <c r="G1158" s="177"/>
      <c r="H1158" s="303"/>
      <c r="I1158" s="186" t="s">
        <v>1497</v>
      </c>
      <c r="J1158" s="348" t="s">
        <v>916</v>
      </c>
      <c r="K1158" s="213">
        <f>530000*5%</f>
        <v>26500</v>
      </c>
      <c r="L1158" s="176"/>
      <c r="M1158" s="183"/>
      <c r="N1158" s="135"/>
      <c r="O1158" s="135"/>
      <c r="P1158" s="135"/>
      <c r="Q1158" s="135"/>
      <c r="R1158" s="135"/>
      <c r="S1158" s="135"/>
      <c r="T1158" s="135"/>
      <c r="U1158" s="135"/>
      <c r="V1158" s="135"/>
      <c r="W1158" s="135"/>
      <c r="X1158" s="135"/>
      <c r="Y1158" s="135"/>
      <c r="Z1158" s="135"/>
      <c r="AA1158" s="135"/>
      <c r="AB1158" s="135"/>
      <c r="AC1158" s="135"/>
      <c r="AD1158" s="135"/>
      <c r="AE1158" s="135"/>
      <c r="AF1158" s="135"/>
      <c r="AG1158" s="135"/>
      <c r="AH1158" s="135"/>
      <c r="AI1158" s="135"/>
      <c r="AJ1158" s="135"/>
      <c r="AK1158" s="135"/>
      <c r="AL1158" s="135"/>
      <c r="AM1158" s="135"/>
      <c r="AN1158" s="135"/>
      <c r="AO1158" s="135"/>
      <c r="AP1158" s="135"/>
      <c r="AQ1158" s="135"/>
      <c r="AR1158" s="135"/>
      <c r="AS1158" s="135"/>
      <c r="AT1158" s="135"/>
      <c r="AU1158" s="135"/>
    </row>
    <row r="1159" spans="1:47" x14ac:dyDescent="0.2">
      <c r="A1159" s="174"/>
      <c r="B1159" s="175"/>
      <c r="C1159" s="176"/>
      <c r="D1159" s="177"/>
      <c r="E1159" s="178"/>
      <c r="F1159" s="178"/>
      <c r="G1159" s="177"/>
      <c r="H1159" s="303"/>
      <c r="I1159" s="186" t="s">
        <v>1498</v>
      </c>
      <c r="J1159" s="348" t="s">
        <v>916</v>
      </c>
      <c r="K1159" s="213">
        <f>530000*5%</f>
        <v>26500</v>
      </c>
      <c r="L1159" s="176"/>
      <c r="M1159" s="183"/>
      <c r="N1159" s="135"/>
      <c r="O1159" s="135"/>
      <c r="P1159" s="135"/>
      <c r="Q1159" s="135"/>
      <c r="R1159" s="135"/>
      <c r="S1159" s="135"/>
      <c r="T1159" s="135"/>
      <c r="U1159" s="135"/>
      <c r="V1159" s="135"/>
      <c r="W1159" s="135"/>
      <c r="X1159" s="135"/>
      <c r="Y1159" s="135"/>
      <c r="Z1159" s="135"/>
      <c r="AA1159" s="135"/>
      <c r="AB1159" s="135"/>
      <c r="AC1159" s="135"/>
      <c r="AD1159" s="135"/>
      <c r="AE1159" s="135"/>
      <c r="AF1159" s="135"/>
      <c r="AG1159" s="135"/>
      <c r="AH1159" s="135"/>
      <c r="AI1159" s="135"/>
      <c r="AJ1159" s="135"/>
      <c r="AK1159" s="135"/>
      <c r="AL1159" s="135"/>
      <c r="AM1159" s="135"/>
      <c r="AN1159" s="135"/>
      <c r="AO1159" s="135"/>
      <c r="AP1159" s="135"/>
      <c r="AQ1159" s="135"/>
      <c r="AR1159" s="135"/>
      <c r="AS1159" s="135"/>
      <c r="AT1159" s="135"/>
      <c r="AU1159" s="135"/>
    </row>
    <row r="1160" spans="1:47" ht="48" x14ac:dyDescent="0.2">
      <c r="A1160" s="174"/>
      <c r="B1160" s="175"/>
      <c r="C1160" s="176"/>
      <c r="D1160" s="177"/>
      <c r="E1160" s="178"/>
      <c r="F1160" s="178"/>
      <c r="G1160" s="177"/>
      <c r="H1160" s="303"/>
      <c r="I1160" s="186" t="s">
        <v>1499</v>
      </c>
      <c r="J1160" s="348" t="s">
        <v>916</v>
      </c>
      <c r="K1160" s="213">
        <f>530000*5%</f>
        <v>26500</v>
      </c>
      <c r="L1160" s="176"/>
      <c r="M1160" s="183"/>
      <c r="N1160" s="135"/>
      <c r="O1160" s="135"/>
      <c r="P1160" s="135"/>
      <c r="Q1160" s="135"/>
      <c r="R1160" s="135"/>
      <c r="S1160" s="135"/>
      <c r="T1160" s="135"/>
      <c r="U1160" s="135"/>
      <c r="V1160" s="135"/>
      <c r="W1160" s="135"/>
      <c r="X1160" s="135"/>
      <c r="Y1160" s="135"/>
      <c r="Z1160" s="135"/>
      <c r="AA1160" s="135"/>
      <c r="AB1160" s="135"/>
      <c r="AC1160" s="135"/>
      <c r="AD1160" s="135"/>
      <c r="AE1160" s="135"/>
      <c r="AF1160" s="135"/>
      <c r="AG1160" s="135"/>
      <c r="AH1160" s="135"/>
      <c r="AI1160" s="135"/>
      <c r="AJ1160" s="135"/>
      <c r="AK1160" s="135"/>
      <c r="AL1160" s="135"/>
      <c r="AM1160" s="135"/>
      <c r="AN1160" s="135"/>
      <c r="AO1160" s="135"/>
      <c r="AP1160" s="135"/>
      <c r="AQ1160" s="135"/>
      <c r="AR1160" s="135"/>
      <c r="AS1160" s="135"/>
      <c r="AT1160" s="135"/>
      <c r="AU1160" s="135"/>
    </row>
    <row r="1161" spans="1:47" x14ac:dyDescent="0.2">
      <c r="A1161" s="187"/>
      <c r="B1161" s="188"/>
      <c r="C1161" s="189"/>
      <c r="D1161" s="190"/>
      <c r="E1161" s="191"/>
      <c r="F1161" s="191"/>
      <c r="G1161" s="190"/>
      <c r="H1161" s="304"/>
      <c r="I1161" s="202"/>
      <c r="J1161" s="349"/>
      <c r="K1161" s="319">
        <f>SUM(K1155:K1160)</f>
        <v>530000</v>
      </c>
      <c r="L1161" s="189"/>
      <c r="M1161" s="196"/>
      <c r="N1161" s="135"/>
      <c r="O1161" s="135"/>
      <c r="P1161" s="135"/>
      <c r="Q1161" s="135"/>
      <c r="R1161" s="135"/>
      <c r="S1161" s="135"/>
      <c r="T1161" s="135"/>
      <c r="U1161" s="135"/>
      <c r="V1161" s="135"/>
      <c r="W1161" s="135"/>
      <c r="X1161" s="135"/>
      <c r="Y1161" s="135"/>
      <c r="Z1161" s="135"/>
      <c r="AA1161" s="135"/>
      <c r="AB1161" s="135"/>
      <c r="AC1161" s="135"/>
      <c r="AD1161" s="135"/>
      <c r="AE1161" s="135"/>
      <c r="AF1161" s="135"/>
      <c r="AG1161" s="135"/>
      <c r="AH1161" s="135"/>
      <c r="AI1161" s="135"/>
      <c r="AJ1161" s="135"/>
      <c r="AK1161" s="135"/>
      <c r="AL1161" s="135"/>
      <c r="AM1161" s="135"/>
      <c r="AN1161" s="135"/>
      <c r="AO1161" s="135"/>
      <c r="AP1161" s="135"/>
      <c r="AQ1161" s="135"/>
      <c r="AR1161" s="135"/>
      <c r="AS1161" s="135"/>
      <c r="AT1161" s="135"/>
      <c r="AU1161" s="135"/>
    </row>
    <row r="1162" spans="1:47" ht="24" customHeight="1" x14ac:dyDescent="0.2">
      <c r="A1162" s="163">
        <v>254</v>
      </c>
      <c r="B1162" s="164" t="s">
        <v>1500</v>
      </c>
      <c r="C1162" s="165"/>
      <c r="D1162" s="166" t="s">
        <v>161</v>
      </c>
      <c r="E1162" s="167"/>
      <c r="F1162" s="167"/>
      <c r="G1162" s="166"/>
      <c r="H1162" s="301"/>
      <c r="I1162" s="299" t="s">
        <v>1501</v>
      </c>
      <c r="J1162" s="347" t="s">
        <v>916</v>
      </c>
      <c r="K1162" s="270">
        <f>530000*85%</f>
        <v>450500</v>
      </c>
      <c r="L1162" s="165" t="s">
        <v>164</v>
      </c>
      <c r="M1162" s="172" t="s">
        <v>1502</v>
      </c>
      <c r="N1162" s="135"/>
      <c r="O1162" s="135"/>
      <c r="P1162" s="135"/>
      <c r="Q1162" s="135"/>
      <c r="R1162" s="135"/>
      <c r="S1162" s="135"/>
      <c r="T1162" s="135"/>
      <c r="U1162" s="135"/>
      <c r="V1162" s="135"/>
      <c r="W1162" s="135"/>
      <c r="X1162" s="135"/>
      <c r="Y1162" s="135"/>
      <c r="Z1162" s="135"/>
      <c r="AA1162" s="135"/>
      <c r="AB1162" s="135"/>
      <c r="AC1162" s="135"/>
      <c r="AD1162" s="135"/>
      <c r="AE1162" s="135"/>
      <c r="AF1162" s="135"/>
      <c r="AG1162" s="135"/>
      <c r="AH1162" s="135"/>
      <c r="AI1162" s="135"/>
      <c r="AJ1162" s="135"/>
      <c r="AK1162" s="135"/>
      <c r="AL1162" s="135"/>
      <c r="AM1162" s="135"/>
      <c r="AN1162" s="135"/>
      <c r="AO1162" s="135"/>
      <c r="AP1162" s="135"/>
      <c r="AQ1162" s="135"/>
      <c r="AR1162" s="135"/>
      <c r="AS1162" s="135"/>
      <c r="AT1162" s="135"/>
      <c r="AU1162" s="135"/>
    </row>
    <row r="1163" spans="1:47" x14ac:dyDescent="0.2">
      <c r="A1163" s="174"/>
      <c r="B1163" s="175"/>
      <c r="C1163" s="176"/>
      <c r="D1163" s="177"/>
      <c r="E1163" s="178"/>
      <c r="F1163" s="178"/>
      <c r="G1163" s="177"/>
      <c r="H1163" s="303"/>
      <c r="I1163" s="186" t="s">
        <v>1503</v>
      </c>
      <c r="J1163" s="348" t="s">
        <v>916</v>
      </c>
      <c r="K1163" s="213">
        <f>530000*5%</f>
        <v>26500</v>
      </c>
      <c r="L1163" s="176"/>
      <c r="M1163" s="183"/>
      <c r="N1163" s="135"/>
      <c r="O1163" s="135"/>
      <c r="P1163" s="135"/>
      <c r="Q1163" s="135"/>
      <c r="R1163" s="135"/>
      <c r="S1163" s="135"/>
      <c r="T1163" s="135"/>
      <c r="U1163" s="135"/>
      <c r="V1163" s="135"/>
      <c r="W1163" s="135"/>
      <c r="X1163" s="135"/>
      <c r="Y1163" s="135"/>
      <c r="Z1163" s="135"/>
      <c r="AA1163" s="135"/>
      <c r="AB1163" s="135"/>
      <c r="AC1163" s="135"/>
      <c r="AD1163" s="135"/>
      <c r="AE1163" s="135"/>
      <c r="AF1163" s="135"/>
      <c r="AG1163" s="135"/>
      <c r="AH1163" s="135"/>
      <c r="AI1163" s="135"/>
      <c r="AJ1163" s="135"/>
      <c r="AK1163" s="135"/>
      <c r="AL1163" s="135"/>
      <c r="AM1163" s="135"/>
      <c r="AN1163" s="135"/>
      <c r="AO1163" s="135"/>
      <c r="AP1163" s="135"/>
      <c r="AQ1163" s="135"/>
      <c r="AR1163" s="135"/>
      <c r="AS1163" s="135"/>
      <c r="AT1163" s="135"/>
      <c r="AU1163" s="135"/>
    </row>
    <row r="1164" spans="1:47" x14ac:dyDescent="0.2">
      <c r="A1164" s="174"/>
      <c r="B1164" s="175"/>
      <c r="C1164" s="176"/>
      <c r="D1164" s="177"/>
      <c r="E1164" s="178"/>
      <c r="F1164" s="178"/>
      <c r="G1164" s="177"/>
      <c r="H1164" s="303"/>
      <c r="I1164" s="186" t="s">
        <v>1504</v>
      </c>
      <c r="J1164" s="348" t="s">
        <v>823</v>
      </c>
      <c r="K1164" s="213">
        <f>530000*5%</f>
        <v>26500</v>
      </c>
      <c r="L1164" s="176"/>
      <c r="M1164" s="183"/>
      <c r="N1164" s="135"/>
      <c r="O1164" s="135"/>
      <c r="P1164" s="135"/>
      <c r="Q1164" s="135"/>
      <c r="R1164" s="135"/>
      <c r="S1164" s="135"/>
      <c r="T1164" s="135"/>
      <c r="U1164" s="135"/>
      <c r="V1164" s="135"/>
      <c r="W1164" s="135"/>
      <c r="X1164" s="135"/>
      <c r="Y1164" s="135"/>
      <c r="Z1164" s="135"/>
      <c r="AA1164" s="135"/>
      <c r="AB1164" s="135"/>
      <c r="AC1164" s="135"/>
      <c r="AD1164" s="135"/>
      <c r="AE1164" s="135"/>
      <c r="AF1164" s="135"/>
      <c r="AG1164" s="135"/>
      <c r="AH1164" s="135"/>
      <c r="AI1164" s="135"/>
      <c r="AJ1164" s="135"/>
      <c r="AK1164" s="135"/>
      <c r="AL1164" s="135"/>
      <c r="AM1164" s="135"/>
      <c r="AN1164" s="135"/>
      <c r="AO1164" s="135"/>
      <c r="AP1164" s="135"/>
      <c r="AQ1164" s="135"/>
      <c r="AR1164" s="135"/>
      <c r="AS1164" s="135"/>
      <c r="AT1164" s="135"/>
      <c r="AU1164" s="135"/>
    </row>
    <row r="1165" spans="1:47" ht="48" x14ac:dyDescent="0.2">
      <c r="A1165" s="174"/>
      <c r="B1165" s="175"/>
      <c r="C1165" s="176"/>
      <c r="D1165" s="177"/>
      <c r="E1165" s="178"/>
      <c r="F1165" s="178"/>
      <c r="G1165" s="177"/>
      <c r="H1165" s="303"/>
      <c r="I1165" s="186" t="s">
        <v>1465</v>
      </c>
      <c r="J1165" s="348" t="s">
        <v>916</v>
      </c>
      <c r="K1165" s="213">
        <f>530000*5%</f>
        <v>26500</v>
      </c>
      <c r="L1165" s="176"/>
      <c r="M1165" s="183"/>
      <c r="N1165" s="135"/>
      <c r="O1165" s="135"/>
      <c r="P1165" s="135"/>
      <c r="Q1165" s="135"/>
      <c r="R1165" s="135"/>
      <c r="S1165" s="135"/>
      <c r="T1165" s="135"/>
      <c r="U1165" s="135"/>
      <c r="V1165" s="135"/>
      <c r="W1165" s="135"/>
      <c r="X1165" s="135"/>
      <c r="Y1165" s="135"/>
      <c r="Z1165" s="135"/>
      <c r="AA1165" s="135"/>
      <c r="AB1165" s="135"/>
      <c r="AC1165" s="135"/>
      <c r="AD1165" s="135"/>
      <c r="AE1165" s="135"/>
      <c r="AF1165" s="135"/>
      <c r="AG1165" s="135"/>
      <c r="AH1165" s="135"/>
      <c r="AI1165" s="135"/>
      <c r="AJ1165" s="135"/>
      <c r="AK1165" s="135"/>
      <c r="AL1165" s="135"/>
      <c r="AM1165" s="135"/>
      <c r="AN1165" s="135"/>
      <c r="AO1165" s="135"/>
      <c r="AP1165" s="135"/>
      <c r="AQ1165" s="135"/>
      <c r="AR1165" s="135"/>
      <c r="AS1165" s="135"/>
      <c r="AT1165" s="135"/>
      <c r="AU1165" s="135"/>
    </row>
    <row r="1166" spans="1:47" x14ac:dyDescent="0.2">
      <c r="A1166" s="187"/>
      <c r="B1166" s="188"/>
      <c r="C1166" s="189"/>
      <c r="D1166" s="190"/>
      <c r="E1166" s="191"/>
      <c r="F1166" s="191"/>
      <c r="G1166" s="190"/>
      <c r="H1166" s="304"/>
      <c r="I1166" s="179"/>
      <c r="J1166" s="356"/>
      <c r="K1166" s="198">
        <f>SUM(K1162:K1165)</f>
        <v>530000</v>
      </c>
      <c r="L1166" s="189"/>
      <c r="M1166" s="196"/>
      <c r="N1166" s="135"/>
      <c r="O1166" s="135"/>
      <c r="P1166" s="135"/>
      <c r="Q1166" s="135"/>
      <c r="R1166" s="135"/>
      <c r="S1166" s="135"/>
      <c r="T1166" s="135"/>
      <c r="U1166" s="135"/>
      <c r="V1166" s="135"/>
      <c r="W1166" s="135"/>
      <c r="X1166" s="135"/>
      <c r="Y1166" s="135"/>
      <c r="Z1166" s="135"/>
      <c r="AA1166" s="135"/>
      <c r="AB1166" s="135"/>
      <c r="AC1166" s="135"/>
      <c r="AD1166" s="135"/>
      <c r="AE1166" s="135"/>
      <c r="AF1166" s="135"/>
      <c r="AG1166" s="135"/>
      <c r="AH1166" s="135"/>
      <c r="AI1166" s="135"/>
      <c r="AJ1166" s="135"/>
      <c r="AK1166" s="135"/>
      <c r="AL1166" s="135"/>
      <c r="AM1166" s="135"/>
      <c r="AN1166" s="135"/>
      <c r="AO1166" s="135"/>
      <c r="AP1166" s="135"/>
      <c r="AQ1166" s="135"/>
      <c r="AR1166" s="135"/>
      <c r="AS1166" s="135"/>
      <c r="AT1166" s="135"/>
      <c r="AU1166" s="135"/>
    </row>
    <row r="1167" spans="1:47" ht="24" customHeight="1" x14ac:dyDescent="0.2">
      <c r="A1167" s="163">
        <v>255</v>
      </c>
      <c r="B1167" s="164" t="s">
        <v>1505</v>
      </c>
      <c r="C1167" s="165"/>
      <c r="D1167" s="166" t="s">
        <v>161</v>
      </c>
      <c r="E1167" s="167"/>
      <c r="F1167" s="167"/>
      <c r="G1167" s="166"/>
      <c r="H1167" s="301"/>
      <c r="I1167" s="217" t="s">
        <v>1506</v>
      </c>
      <c r="J1167" s="355" t="s">
        <v>916</v>
      </c>
      <c r="K1167" s="278">
        <f>138105*70%</f>
        <v>96673.5</v>
      </c>
      <c r="L1167" s="165" t="s">
        <v>164</v>
      </c>
      <c r="M1167" s="172" t="s">
        <v>1507</v>
      </c>
      <c r="N1167" s="135"/>
      <c r="O1167" s="135"/>
      <c r="P1167" s="135"/>
      <c r="Q1167" s="135"/>
      <c r="R1167" s="135"/>
      <c r="S1167" s="135"/>
      <c r="T1167" s="135"/>
      <c r="U1167" s="135"/>
      <c r="V1167" s="135"/>
      <c r="W1167" s="135"/>
      <c r="X1167" s="135"/>
      <c r="Y1167" s="135"/>
      <c r="Z1167" s="135"/>
      <c r="AA1167" s="135"/>
      <c r="AB1167" s="135"/>
      <c r="AC1167" s="135"/>
      <c r="AD1167" s="135"/>
      <c r="AE1167" s="135"/>
      <c r="AF1167" s="135"/>
      <c r="AG1167" s="135"/>
      <c r="AH1167" s="135"/>
      <c r="AI1167" s="135"/>
      <c r="AJ1167" s="135"/>
      <c r="AK1167" s="135"/>
      <c r="AL1167" s="135"/>
      <c r="AM1167" s="135"/>
      <c r="AN1167" s="135"/>
      <c r="AO1167" s="135"/>
      <c r="AP1167" s="135"/>
      <c r="AQ1167" s="135"/>
      <c r="AR1167" s="135"/>
      <c r="AS1167" s="135"/>
      <c r="AT1167" s="135"/>
      <c r="AU1167" s="135"/>
    </row>
    <row r="1168" spans="1:47" x14ac:dyDescent="0.2">
      <c r="A1168" s="174"/>
      <c r="B1168" s="175"/>
      <c r="C1168" s="176"/>
      <c r="D1168" s="177"/>
      <c r="E1168" s="178"/>
      <c r="F1168" s="178"/>
      <c r="G1168" s="177"/>
      <c r="H1168" s="303"/>
      <c r="I1168" s="186" t="s">
        <v>992</v>
      </c>
      <c r="J1168" s="348" t="s">
        <v>823</v>
      </c>
      <c r="K1168" s="213">
        <f>138105*10%</f>
        <v>13810.5</v>
      </c>
      <c r="L1168" s="176"/>
      <c r="M1168" s="183"/>
      <c r="N1168" s="135"/>
      <c r="O1168" s="135"/>
      <c r="P1168" s="135"/>
      <c r="Q1168" s="135"/>
      <c r="R1168" s="135"/>
      <c r="S1168" s="135"/>
      <c r="T1168" s="135"/>
      <c r="U1168" s="135"/>
      <c r="V1168" s="135"/>
      <c r="W1168" s="135"/>
      <c r="X1168" s="135"/>
      <c r="Y1168" s="135"/>
      <c r="Z1168" s="135"/>
      <c r="AA1168" s="135"/>
      <c r="AB1168" s="135"/>
      <c r="AC1168" s="135"/>
      <c r="AD1168" s="135"/>
      <c r="AE1168" s="135"/>
      <c r="AF1168" s="135"/>
      <c r="AG1168" s="135"/>
      <c r="AH1168" s="135"/>
      <c r="AI1168" s="135"/>
      <c r="AJ1168" s="135"/>
      <c r="AK1168" s="135"/>
      <c r="AL1168" s="135"/>
      <c r="AM1168" s="135"/>
      <c r="AN1168" s="135"/>
      <c r="AO1168" s="135"/>
      <c r="AP1168" s="135"/>
      <c r="AQ1168" s="135"/>
      <c r="AR1168" s="135"/>
      <c r="AS1168" s="135"/>
      <c r="AT1168" s="135"/>
      <c r="AU1168" s="135"/>
    </row>
    <row r="1169" spans="1:47" x14ac:dyDescent="0.2">
      <c r="A1169" s="174"/>
      <c r="B1169" s="175"/>
      <c r="C1169" s="176"/>
      <c r="D1169" s="177"/>
      <c r="E1169" s="178"/>
      <c r="F1169" s="178"/>
      <c r="G1169" s="177"/>
      <c r="H1169" s="303"/>
      <c r="I1169" s="186" t="s">
        <v>1508</v>
      </c>
      <c r="J1169" s="348" t="s">
        <v>916</v>
      </c>
      <c r="K1169" s="213">
        <f>138105*10%</f>
        <v>13810.5</v>
      </c>
      <c r="L1169" s="176"/>
      <c r="M1169" s="183"/>
      <c r="N1169" s="135"/>
      <c r="O1169" s="135"/>
      <c r="P1169" s="135"/>
      <c r="Q1169" s="135"/>
      <c r="R1169" s="135"/>
      <c r="S1169" s="135"/>
      <c r="T1169" s="135"/>
      <c r="U1169" s="135"/>
      <c r="V1169" s="135"/>
      <c r="W1169" s="135"/>
      <c r="X1169" s="135"/>
      <c r="Y1169" s="135"/>
      <c r="Z1169" s="135"/>
      <c r="AA1169" s="135"/>
      <c r="AB1169" s="135"/>
      <c r="AC1169" s="135"/>
      <c r="AD1169" s="135"/>
      <c r="AE1169" s="135"/>
      <c r="AF1169" s="135"/>
      <c r="AG1169" s="135"/>
      <c r="AH1169" s="135"/>
      <c r="AI1169" s="135"/>
      <c r="AJ1169" s="135"/>
      <c r="AK1169" s="135"/>
      <c r="AL1169" s="135"/>
      <c r="AM1169" s="135"/>
      <c r="AN1169" s="135"/>
      <c r="AO1169" s="135"/>
      <c r="AP1169" s="135"/>
      <c r="AQ1169" s="135"/>
      <c r="AR1169" s="135"/>
      <c r="AS1169" s="135"/>
      <c r="AT1169" s="135"/>
      <c r="AU1169" s="135"/>
    </row>
    <row r="1170" spans="1:47" x14ac:dyDescent="0.2">
      <c r="A1170" s="174"/>
      <c r="B1170" s="175"/>
      <c r="C1170" s="176"/>
      <c r="D1170" s="177"/>
      <c r="E1170" s="178"/>
      <c r="F1170" s="178"/>
      <c r="G1170" s="177"/>
      <c r="H1170" s="303"/>
      <c r="I1170" s="186" t="s">
        <v>1479</v>
      </c>
      <c r="J1170" s="348" t="s">
        <v>916</v>
      </c>
      <c r="K1170" s="213">
        <f>138105*10%</f>
        <v>13810.5</v>
      </c>
      <c r="L1170" s="176"/>
      <c r="M1170" s="183"/>
      <c r="N1170" s="135"/>
      <c r="O1170" s="135"/>
      <c r="P1170" s="135"/>
      <c r="Q1170" s="135"/>
      <c r="R1170" s="135"/>
      <c r="S1170" s="135"/>
      <c r="T1170" s="135"/>
      <c r="U1170" s="135"/>
      <c r="V1170" s="135"/>
      <c r="W1170" s="135"/>
      <c r="X1170" s="135"/>
      <c r="Y1170" s="135"/>
      <c r="Z1170" s="135"/>
      <c r="AA1170" s="135"/>
      <c r="AB1170" s="135"/>
      <c r="AC1170" s="135"/>
      <c r="AD1170" s="135"/>
      <c r="AE1170" s="135"/>
      <c r="AF1170" s="135"/>
      <c r="AG1170" s="135"/>
      <c r="AH1170" s="135"/>
      <c r="AI1170" s="135"/>
      <c r="AJ1170" s="135"/>
      <c r="AK1170" s="135"/>
      <c r="AL1170" s="135"/>
      <c r="AM1170" s="135"/>
      <c r="AN1170" s="135"/>
      <c r="AO1170" s="135"/>
      <c r="AP1170" s="135"/>
      <c r="AQ1170" s="135"/>
      <c r="AR1170" s="135"/>
      <c r="AS1170" s="135"/>
      <c r="AT1170" s="135"/>
      <c r="AU1170" s="135"/>
    </row>
    <row r="1171" spans="1:47" x14ac:dyDescent="0.2">
      <c r="A1171" s="187"/>
      <c r="B1171" s="188"/>
      <c r="C1171" s="189"/>
      <c r="D1171" s="190"/>
      <c r="E1171" s="191"/>
      <c r="F1171" s="191"/>
      <c r="G1171" s="190"/>
      <c r="H1171" s="304"/>
      <c r="I1171" s="202"/>
      <c r="J1171" s="349"/>
      <c r="K1171" s="319">
        <f>SUM(K1167:K1170)</f>
        <v>138105</v>
      </c>
      <c r="L1171" s="189"/>
      <c r="M1171" s="196"/>
      <c r="N1171" s="135"/>
      <c r="O1171" s="135"/>
      <c r="P1171" s="135"/>
      <c r="Q1171" s="135"/>
      <c r="R1171" s="135"/>
      <c r="S1171" s="135"/>
      <c r="T1171" s="135"/>
      <c r="U1171" s="135"/>
      <c r="V1171" s="135"/>
      <c r="W1171" s="135"/>
      <c r="X1171" s="135"/>
      <c r="Y1171" s="135"/>
      <c r="Z1171" s="135"/>
      <c r="AA1171" s="135"/>
      <c r="AB1171" s="135"/>
      <c r="AC1171" s="135"/>
      <c r="AD1171" s="135"/>
      <c r="AE1171" s="135"/>
      <c r="AF1171" s="135"/>
      <c r="AG1171" s="135"/>
      <c r="AH1171" s="135"/>
      <c r="AI1171" s="135"/>
      <c r="AJ1171" s="135"/>
      <c r="AK1171" s="135"/>
      <c r="AL1171" s="135"/>
      <c r="AM1171" s="135"/>
      <c r="AN1171" s="135"/>
      <c r="AO1171" s="135"/>
      <c r="AP1171" s="135"/>
      <c r="AQ1171" s="135"/>
      <c r="AR1171" s="135"/>
      <c r="AS1171" s="135"/>
      <c r="AT1171" s="135"/>
      <c r="AU1171" s="135"/>
    </row>
    <row r="1172" spans="1:47" ht="24" customHeight="1" x14ac:dyDescent="0.2">
      <c r="A1172" s="163">
        <v>256</v>
      </c>
      <c r="B1172" s="164" t="s">
        <v>1509</v>
      </c>
      <c r="C1172" s="165"/>
      <c r="D1172" s="166" t="s">
        <v>161</v>
      </c>
      <c r="E1172" s="167"/>
      <c r="F1172" s="167"/>
      <c r="G1172" s="166"/>
      <c r="H1172" s="301"/>
      <c r="I1172" s="299" t="s">
        <v>1510</v>
      </c>
      <c r="J1172" s="347" t="s">
        <v>916</v>
      </c>
      <c r="K1172" s="270">
        <f>322245*75%</f>
        <v>241683.75</v>
      </c>
      <c r="L1172" s="165" t="s">
        <v>164</v>
      </c>
      <c r="M1172" s="172" t="s">
        <v>1511</v>
      </c>
      <c r="N1172" s="135"/>
      <c r="O1172" s="135"/>
      <c r="P1172" s="135"/>
      <c r="Q1172" s="135"/>
      <c r="R1172" s="135"/>
      <c r="S1172" s="135"/>
      <c r="T1172" s="135"/>
      <c r="U1172" s="135"/>
      <c r="V1172" s="135"/>
      <c r="W1172" s="135"/>
      <c r="X1172" s="135"/>
      <c r="Y1172" s="135"/>
      <c r="Z1172" s="135"/>
      <c r="AA1172" s="135"/>
      <c r="AB1172" s="135"/>
      <c r="AC1172" s="135"/>
      <c r="AD1172" s="135"/>
      <c r="AE1172" s="135"/>
      <c r="AF1172" s="135"/>
      <c r="AG1172" s="135"/>
      <c r="AH1172" s="135"/>
      <c r="AI1172" s="135"/>
      <c r="AJ1172" s="135"/>
      <c r="AK1172" s="135"/>
      <c r="AL1172" s="135"/>
      <c r="AM1172" s="135"/>
      <c r="AN1172" s="135"/>
      <c r="AO1172" s="135"/>
      <c r="AP1172" s="135"/>
      <c r="AQ1172" s="135"/>
      <c r="AR1172" s="135"/>
      <c r="AS1172" s="135"/>
      <c r="AT1172" s="135"/>
      <c r="AU1172" s="135"/>
    </row>
    <row r="1173" spans="1:47" x14ac:dyDescent="0.2">
      <c r="A1173" s="174"/>
      <c r="B1173" s="175"/>
      <c r="C1173" s="176"/>
      <c r="D1173" s="177"/>
      <c r="E1173" s="178"/>
      <c r="F1173" s="178"/>
      <c r="G1173" s="177"/>
      <c r="H1173" s="303"/>
      <c r="I1173" s="186" t="s">
        <v>1512</v>
      </c>
      <c r="J1173" s="348" t="s">
        <v>916</v>
      </c>
      <c r="K1173" s="213">
        <f>322245*5%</f>
        <v>16112.25</v>
      </c>
      <c r="L1173" s="176"/>
      <c r="M1173" s="183"/>
      <c r="N1173" s="135"/>
      <c r="O1173" s="135"/>
      <c r="P1173" s="135"/>
      <c r="Q1173" s="135"/>
      <c r="R1173" s="135"/>
      <c r="S1173" s="135"/>
      <c r="T1173" s="135"/>
      <c r="U1173" s="135"/>
      <c r="V1173" s="135"/>
      <c r="W1173" s="135"/>
      <c r="X1173" s="135"/>
      <c r="Y1173" s="135"/>
      <c r="Z1173" s="135"/>
      <c r="AA1173" s="135"/>
      <c r="AB1173" s="135"/>
      <c r="AC1173" s="135"/>
      <c r="AD1173" s="135"/>
      <c r="AE1173" s="135"/>
      <c r="AF1173" s="135"/>
      <c r="AG1173" s="135"/>
      <c r="AH1173" s="135"/>
      <c r="AI1173" s="135"/>
      <c r="AJ1173" s="135"/>
      <c r="AK1173" s="135"/>
      <c r="AL1173" s="135"/>
      <c r="AM1173" s="135"/>
      <c r="AN1173" s="135"/>
      <c r="AO1173" s="135"/>
      <c r="AP1173" s="135"/>
      <c r="AQ1173" s="135"/>
      <c r="AR1173" s="135"/>
      <c r="AS1173" s="135"/>
      <c r="AT1173" s="135"/>
      <c r="AU1173" s="135"/>
    </row>
    <row r="1174" spans="1:47" x14ac:dyDescent="0.2">
      <c r="A1174" s="174"/>
      <c r="B1174" s="175"/>
      <c r="C1174" s="176"/>
      <c r="D1174" s="177"/>
      <c r="E1174" s="178"/>
      <c r="F1174" s="178"/>
      <c r="G1174" s="177"/>
      <c r="H1174" s="303"/>
      <c r="I1174" s="186" t="s">
        <v>1513</v>
      </c>
      <c r="J1174" s="348" t="s">
        <v>916</v>
      </c>
      <c r="K1174" s="213">
        <f>322245*5%</f>
        <v>16112.25</v>
      </c>
      <c r="L1174" s="176"/>
      <c r="M1174" s="183"/>
      <c r="N1174" s="135"/>
      <c r="O1174" s="135"/>
      <c r="P1174" s="135"/>
      <c r="Q1174" s="135"/>
      <c r="R1174" s="135"/>
      <c r="S1174" s="135"/>
      <c r="T1174" s="135"/>
      <c r="U1174" s="135"/>
      <c r="V1174" s="135"/>
      <c r="W1174" s="135"/>
      <c r="X1174" s="135"/>
      <c r="Y1174" s="135"/>
      <c r="Z1174" s="135"/>
      <c r="AA1174" s="135"/>
      <c r="AB1174" s="135"/>
      <c r="AC1174" s="135"/>
      <c r="AD1174" s="135"/>
      <c r="AE1174" s="135"/>
      <c r="AF1174" s="135"/>
      <c r="AG1174" s="135"/>
      <c r="AH1174" s="135"/>
      <c r="AI1174" s="135"/>
      <c r="AJ1174" s="135"/>
      <c r="AK1174" s="135"/>
      <c r="AL1174" s="135"/>
      <c r="AM1174" s="135"/>
      <c r="AN1174" s="135"/>
      <c r="AO1174" s="135"/>
      <c r="AP1174" s="135"/>
      <c r="AQ1174" s="135"/>
      <c r="AR1174" s="135"/>
      <c r="AS1174" s="135"/>
      <c r="AT1174" s="135"/>
      <c r="AU1174" s="135"/>
    </row>
    <row r="1175" spans="1:47" x14ac:dyDescent="0.2">
      <c r="A1175" s="174"/>
      <c r="B1175" s="175"/>
      <c r="C1175" s="176"/>
      <c r="D1175" s="177"/>
      <c r="E1175" s="178"/>
      <c r="F1175" s="178"/>
      <c r="G1175" s="177"/>
      <c r="H1175" s="303"/>
      <c r="I1175" s="186" t="s">
        <v>1514</v>
      </c>
      <c r="J1175" s="348" t="s">
        <v>916</v>
      </c>
      <c r="K1175" s="213">
        <f>322245*5%</f>
        <v>16112.25</v>
      </c>
      <c r="L1175" s="176"/>
      <c r="M1175" s="183"/>
      <c r="N1175" s="135"/>
      <c r="O1175" s="135"/>
      <c r="P1175" s="135"/>
      <c r="Q1175" s="135"/>
      <c r="R1175" s="135"/>
      <c r="S1175" s="135"/>
      <c r="T1175" s="135"/>
      <c r="U1175" s="135"/>
      <c r="V1175" s="135"/>
      <c r="W1175" s="135"/>
      <c r="X1175" s="135"/>
      <c r="Y1175" s="135"/>
      <c r="Z1175" s="135"/>
      <c r="AA1175" s="135"/>
      <c r="AB1175" s="135"/>
      <c r="AC1175" s="135"/>
      <c r="AD1175" s="135"/>
      <c r="AE1175" s="135"/>
      <c r="AF1175" s="135"/>
      <c r="AG1175" s="135"/>
      <c r="AH1175" s="135"/>
      <c r="AI1175" s="135"/>
      <c r="AJ1175" s="135"/>
      <c r="AK1175" s="135"/>
      <c r="AL1175" s="135"/>
      <c r="AM1175" s="135"/>
      <c r="AN1175" s="135"/>
      <c r="AO1175" s="135"/>
      <c r="AP1175" s="135"/>
      <c r="AQ1175" s="135"/>
      <c r="AR1175" s="135"/>
      <c r="AS1175" s="135"/>
      <c r="AT1175" s="135"/>
      <c r="AU1175" s="135"/>
    </row>
    <row r="1176" spans="1:47" ht="48" x14ac:dyDescent="0.2">
      <c r="A1176" s="174"/>
      <c r="B1176" s="175"/>
      <c r="C1176" s="176"/>
      <c r="D1176" s="177"/>
      <c r="E1176" s="178"/>
      <c r="F1176" s="178"/>
      <c r="G1176" s="177"/>
      <c r="H1176" s="303"/>
      <c r="I1176" s="186" t="s">
        <v>1515</v>
      </c>
      <c r="J1176" s="348" t="s">
        <v>916</v>
      </c>
      <c r="K1176" s="213">
        <f>322245*5%</f>
        <v>16112.25</v>
      </c>
      <c r="L1176" s="176"/>
      <c r="M1176" s="183"/>
      <c r="N1176" s="135"/>
      <c r="O1176" s="135"/>
      <c r="P1176" s="135"/>
      <c r="Q1176" s="135"/>
      <c r="R1176" s="135"/>
      <c r="S1176" s="135"/>
      <c r="T1176" s="135"/>
      <c r="U1176" s="135"/>
      <c r="V1176" s="135"/>
      <c r="W1176" s="135"/>
      <c r="X1176" s="135"/>
      <c r="Y1176" s="135"/>
      <c r="Z1176" s="135"/>
      <c r="AA1176" s="135"/>
      <c r="AB1176" s="135"/>
      <c r="AC1176" s="135"/>
      <c r="AD1176" s="135"/>
      <c r="AE1176" s="135"/>
      <c r="AF1176" s="135"/>
      <c r="AG1176" s="135"/>
      <c r="AH1176" s="135"/>
      <c r="AI1176" s="135"/>
      <c r="AJ1176" s="135"/>
      <c r="AK1176" s="135"/>
      <c r="AL1176" s="135"/>
      <c r="AM1176" s="135"/>
      <c r="AN1176" s="135"/>
      <c r="AO1176" s="135"/>
      <c r="AP1176" s="135"/>
      <c r="AQ1176" s="135"/>
      <c r="AR1176" s="135"/>
      <c r="AS1176" s="135"/>
      <c r="AT1176" s="135"/>
      <c r="AU1176" s="135"/>
    </row>
    <row r="1177" spans="1:47" x14ac:dyDescent="0.2">
      <c r="A1177" s="174"/>
      <c r="B1177" s="175"/>
      <c r="C1177" s="176"/>
      <c r="D1177" s="177"/>
      <c r="E1177" s="178"/>
      <c r="F1177" s="178"/>
      <c r="G1177" s="177"/>
      <c r="H1177" s="303"/>
      <c r="I1177" s="186" t="s">
        <v>1516</v>
      </c>
      <c r="J1177" s="348" t="s">
        <v>823</v>
      </c>
      <c r="K1177" s="213">
        <f>322245*5%</f>
        <v>16112.25</v>
      </c>
      <c r="L1177" s="176"/>
      <c r="M1177" s="183"/>
      <c r="N1177" s="135"/>
      <c r="O1177" s="135"/>
      <c r="P1177" s="135"/>
      <c r="Q1177" s="135"/>
      <c r="R1177" s="135"/>
      <c r="S1177" s="135"/>
      <c r="T1177" s="135"/>
      <c r="U1177" s="135"/>
      <c r="V1177" s="135"/>
      <c r="W1177" s="135"/>
      <c r="X1177" s="135"/>
      <c r="Y1177" s="135"/>
      <c r="Z1177" s="135"/>
      <c r="AA1177" s="135"/>
      <c r="AB1177" s="135"/>
      <c r="AC1177" s="135"/>
      <c r="AD1177" s="135"/>
      <c r="AE1177" s="135"/>
      <c r="AF1177" s="135"/>
      <c r="AG1177" s="135"/>
      <c r="AH1177" s="135"/>
      <c r="AI1177" s="135"/>
      <c r="AJ1177" s="135"/>
      <c r="AK1177" s="135"/>
      <c r="AL1177" s="135"/>
      <c r="AM1177" s="135"/>
      <c r="AN1177" s="135"/>
      <c r="AO1177" s="135"/>
      <c r="AP1177" s="135"/>
      <c r="AQ1177" s="135"/>
      <c r="AR1177" s="135"/>
      <c r="AS1177" s="135"/>
      <c r="AT1177" s="135"/>
      <c r="AU1177" s="135"/>
    </row>
    <row r="1178" spans="1:47" x14ac:dyDescent="0.2">
      <c r="A1178" s="187"/>
      <c r="B1178" s="188"/>
      <c r="C1178" s="189"/>
      <c r="D1178" s="190"/>
      <c r="E1178" s="191"/>
      <c r="F1178" s="191"/>
      <c r="G1178" s="190"/>
      <c r="H1178" s="304"/>
      <c r="I1178" s="179"/>
      <c r="J1178" s="356"/>
      <c r="K1178" s="198">
        <f>SUM(K1172:K1177)</f>
        <v>322245</v>
      </c>
      <c r="L1178" s="189"/>
      <c r="M1178" s="196"/>
      <c r="N1178" s="135"/>
      <c r="O1178" s="135"/>
      <c r="P1178" s="135"/>
      <c r="Q1178" s="135"/>
      <c r="R1178" s="135"/>
      <c r="S1178" s="135"/>
      <c r="T1178" s="135"/>
      <c r="U1178" s="135"/>
      <c r="V1178" s="135"/>
      <c r="W1178" s="135"/>
      <c r="X1178" s="135"/>
      <c r="Y1178" s="135"/>
      <c r="Z1178" s="135"/>
      <c r="AA1178" s="135"/>
      <c r="AB1178" s="135"/>
      <c r="AC1178" s="135"/>
      <c r="AD1178" s="135"/>
      <c r="AE1178" s="135"/>
      <c r="AF1178" s="135"/>
      <c r="AG1178" s="135"/>
      <c r="AH1178" s="135"/>
      <c r="AI1178" s="135"/>
      <c r="AJ1178" s="135"/>
      <c r="AK1178" s="135"/>
      <c r="AL1178" s="135"/>
      <c r="AM1178" s="135"/>
      <c r="AN1178" s="135"/>
      <c r="AO1178" s="135"/>
      <c r="AP1178" s="135"/>
      <c r="AQ1178" s="135"/>
      <c r="AR1178" s="135"/>
      <c r="AS1178" s="135"/>
      <c r="AT1178" s="135"/>
      <c r="AU1178" s="135"/>
    </row>
    <row r="1179" spans="1:47" ht="24" customHeight="1" x14ac:dyDescent="0.2">
      <c r="A1179" s="163">
        <v>257</v>
      </c>
      <c r="B1179" s="164" t="s">
        <v>1517</v>
      </c>
      <c r="C1179" s="165"/>
      <c r="D1179" s="166" t="s">
        <v>161</v>
      </c>
      <c r="E1179" s="167"/>
      <c r="F1179" s="167"/>
      <c r="G1179" s="166"/>
      <c r="H1179" s="301"/>
      <c r="I1179" s="217" t="s">
        <v>1518</v>
      </c>
      <c r="J1179" s="355" t="s">
        <v>916</v>
      </c>
      <c r="K1179" s="278">
        <f>209550*50%</f>
        <v>104775</v>
      </c>
      <c r="L1179" s="165" t="s">
        <v>164</v>
      </c>
      <c r="M1179" s="172" t="s">
        <v>1519</v>
      </c>
      <c r="N1179" s="135"/>
      <c r="O1179" s="135"/>
      <c r="P1179" s="135"/>
      <c r="Q1179" s="135"/>
      <c r="R1179" s="135"/>
      <c r="S1179" s="135"/>
      <c r="T1179" s="135"/>
      <c r="U1179" s="135"/>
      <c r="V1179" s="135"/>
      <c r="W1179" s="135"/>
      <c r="X1179" s="135"/>
      <c r="Y1179" s="135"/>
      <c r="Z1179" s="135"/>
      <c r="AA1179" s="135"/>
      <c r="AB1179" s="135"/>
      <c r="AC1179" s="135"/>
      <c r="AD1179" s="135"/>
      <c r="AE1179" s="135"/>
      <c r="AF1179" s="135"/>
      <c r="AG1179" s="135"/>
      <c r="AH1179" s="135"/>
      <c r="AI1179" s="135"/>
      <c r="AJ1179" s="135"/>
      <c r="AK1179" s="135"/>
      <c r="AL1179" s="135"/>
      <c r="AM1179" s="135"/>
      <c r="AN1179" s="135"/>
      <c r="AO1179" s="135"/>
      <c r="AP1179" s="135"/>
      <c r="AQ1179" s="135"/>
      <c r="AR1179" s="135"/>
      <c r="AS1179" s="135"/>
      <c r="AT1179" s="135"/>
      <c r="AU1179" s="135"/>
    </row>
    <row r="1180" spans="1:47" x14ac:dyDescent="0.2">
      <c r="A1180" s="174"/>
      <c r="B1180" s="175"/>
      <c r="C1180" s="176"/>
      <c r="D1180" s="177"/>
      <c r="E1180" s="178"/>
      <c r="F1180" s="178"/>
      <c r="G1180" s="177"/>
      <c r="H1180" s="303"/>
      <c r="I1180" s="186" t="s">
        <v>1520</v>
      </c>
      <c r="J1180" s="348" t="s">
        <v>916</v>
      </c>
      <c r="K1180" s="213">
        <f>209550*20%</f>
        <v>41910</v>
      </c>
      <c r="L1180" s="176"/>
      <c r="M1180" s="183"/>
      <c r="N1180" s="135"/>
      <c r="O1180" s="135"/>
      <c r="P1180" s="135"/>
      <c r="Q1180" s="135"/>
      <c r="R1180" s="135"/>
      <c r="S1180" s="135"/>
      <c r="T1180" s="135"/>
      <c r="U1180" s="135"/>
      <c r="V1180" s="135"/>
      <c r="W1180" s="135"/>
      <c r="X1180" s="135"/>
      <c r="Y1180" s="135"/>
      <c r="Z1180" s="135"/>
      <c r="AA1180" s="135"/>
      <c r="AB1180" s="135"/>
      <c r="AC1180" s="135"/>
      <c r="AD1180" s="135"/>
      <c r="AE1180" s="135"/>
      <c r="AF1180" s="135"/>
      <c r="AG1180" s="135"/>
      <c r="AH1180" s="135"/>
      <c r="AI1180" s="135"/>
      <c r="AJ1180" s="135"/>
      <c r="AK1180" s="135"/>
      <c r="AL1180" s="135"/>
      <c r="AM1180" s="135"/>
      <c r="AN1180" s="135"/>
      <c r="AO1180" s="135"/>
      <c r="AP1180" s="135"/>
      <c r="AQ1180" s="135"/>
      <c r="AR1180" s="135"/>
      <c r="AS1180" s="135"/>
      <c r="AT1180" s="135"/>
      <c r="AU1180" s="135"/>
    </row>
    <row r="1181" spans="1:47" ht="48" x14ac:dyDescent="0.2">
      <c r="A1181" s="174"/>
      <c r="B1181" s="175"/>
      <c r="C1181" s="176"/>
      <c r="D1181" s="177"/>
      <c r="E1181" s="178"/>
      <c r="F1181" s="178"/>
      <c r="G1181" s="177"/>
      <c r="H1181" s="303"/>
      <c r="I1181" s="186" t="s">
        <v>1521</v>
      </c>
      <c r="J1181" s="348" t="s">
        <v>916</v>
      </c>
      <c r="K1181" s="213">
        <f>209550*5%</f>
        <v>10477.5</v>
      </c>
      <c r="L1181" s="176"/>
      <c r="M1181" s="183"/>
      <c r="N1181" s="135"/>
      <c r="O1181" s="135"/>
      <c r="P1181" s="135"/>
      <c r="Q1181" s="135"/>
      <c r="R1181" s="135"/>
      <c r="S1181" s="135"/>
      <c r="T1181" s="135"/>
      <c r="U1181" s="135"/>
      <c r="V1181" s="135"/>
      <c r="W1181" s="135"/>
      <c r="X1181" s="135"/>
      <c r="Y1181" s="135"/>
      <c r="Z1181" s="135"/>
      <c r="AA1181" s="135"/>
      <c r="AB1181" s="135"/>
      <c r="AC1181" s="135"/>
      <c r="AD1181" s="135"/>
      <c r="AE1181" s="135"/>
      <c r="AF1181" s="135"/>
      <c r="AG1181" s="135"/>
      <c r="AH1181" s="135"/>
      <c r="AI1181" s="135"/>
      <c r="AJ1181" s="135"/>
      <c r="AK1181" s="135"/>
      <c r="AL1181" s="135"/>
      <c r="AM1181" s="135"/>
      <c r="AN1181" s="135"/>
      <c r="AO1181" s="135"/>
      <c r="AP1181" s="135"/>
      <c r="AQ1181" s="135"/>
      <c r="AR1181" s="135"/>
      <c r="AS1181" s="135"/>
      <c r="AT1181" s="135"/>
      <c r="AU1181" s="135"/>
    </row>
    <row r="1182" spans="1:47" x14ac:dyDescent="0.2">
      <c r="A1182" s="174"/>
      <c r="B1182" s="175"/>
      <c r="C1182" s="176"/>
      <c r="D1182" s="177"/>
      <c r="E1182" s="178"/>
      <c r="F1182" s="178"/>
      <c r="G1182" s="177"/>
      <c r="H1182" s="303"/>
      <c r="I1182" s="186" t="s">
        <v>1522</v>
      </c>
      <c r="J1182" s="348" t="s">
        <v>916</v>
      </c>
      <c r="K1182" s="213">
        <f>209550*10%</f>
        <v>20955</v>
      </c>
      <c r="L1182" s="176"/>
      <c r="M1182" s="183"/>
      <c r="N1182" s="135"/>
      <c r="O1182" s="135"/>
      <c r="P1182" s="135"/>
      <c r="Q1182" s="135"/>
      <c r="R1182" s="135"/>
      <c r="S1182" s="135"/>
      <c r="T1182" s="135"/>
      <c r="U1182" s="135"/>
      <c r="V1182" s="135"/>
      <c r="W1182" s="135"/>
      <c r="X1182" s="135"/>
      <c r="Y1182" s="135"/>
      <c r="Z1182" s="135"/>
      <c r="AA1182" s="135"/>
      <c r="AB1182" s="135"/>
      <c r="AC1182" s="135"/>
      <c r="AD1182" s="135"/>
      <c r="AE1182" s="135"/>
      <c r="AF1182" s="135"/>
      <c r="AG1182" s="135"/>
      <c r="AH1182" s="135"/>
      <c r="AI1182" s="135"/>
      <c r="AJ1182" s="135"/>
      <c r="AK1182" s="135"/>
      <c r="AL1182" s="135"/>
      <c r="AM1182" s="135"/>
      <c r="AN1182" s="135"/>
      <c r="AO1182" s="135"/>
      <c r="AP1182" s="135"/>
      <c r="AQ1182" s="135"/>
      <c r="AR1182" s="135"/>
      <c r="AS1182" s="135"/>
      <c r="AT1182" s="135"/>
      <c r="AU1182" s="135"/>
    </row>
    <row r="1183" spans="1:47" x14ac:dyDescent="0.2">
      <c r="A1183" s="174"/>
      <c r="B1183" s="175"/>
      <c r="C1183" s="176"/>
      <c r="D1183" s="177"/>
      <c r="E1183" s="178"/>
      <c r="F1183" s="178"/>
      <c r="G1183" s="177"/>
      <c r="H1183" s="303"/>
      <c r="I1183" s="186" t="s">
        <v>1523</v>
      </c>
      <c r="J1183" s="348" t="s">
        <v>916</v>
      </c>
      <c r="K1183" s="213">
        <f>209550*10%</f>
        <v>20955</v>
      </c>
      <c r="L1183" s="176"/>
      <c r="M1183" s="183"/>
      <c r="N1183" s="135"/>
      <c r="O1183" s="135"/>
      <c r="P1183" s="135"/>
      <c r="Q1183" s="135"/>
      <c r="R1183" s="135"/>
      <c r="S1183" s="135"/>
      <c r="T1183" s="135"/>
      <c r="U1183" s="135"/>
      <c r="V1183" s="135"/>
      <c r="W1183" s="135"/>
      <c r="X1183" s="135"/>
      <c r="Y1183" s="135"/>
      <c r="Z1183" s="135"/>
      <c r="AA1183" s="135"/>
      <c r="AB1183" s="135"/>
      <c r="AC1183" s="135"/>
      <c r="AD1183" s="135"/>
      <c r="AE1183" s="135"/>
      <c r="AF1183" s="135"/>
      <c r="AG1183" s="135"/>
      <c r="AH1183" s="135"/>
      <c r="AI1183" s="135"/>
      <c r="AJ1183" s="135"/>
      <c r="AK1183" s="135"/>
      <c r="AL1183" s="135"/>
      <c r="AM1183" s="135"/>
      <c r="AN1183" s="135"/>
      <c r="AO1183" s="135"/>
      <c r="AP1183" s="135"/>
      <c r="AQ1183" s="135"/>
      <c r="AR1183" s="135"/>
      <c r="AS1183" s="135"/>
      <c r="AT1183" s="135"/>
      <c r="AU1183" s="135"/>
    </row>
    <row r="1184" spans="1:47" x14ac:dyDescent="0.2">
      <c r="A1184" s="174"/>
      <c r="B1184" s="175"/>
      <c r="C1184" s="176"/>
      <c r="D1184" s="177"/>
      <c r="E1184" s="178"/>
      <c r="F1184" s="178"/>
      <c r="G1184" s="177"/>
      <c r="H1184" s="303"/>
      <c r="I1184" s="186" t="s">
        <v>1512</v>
      </c>
      <c r="J1184" s="348" t="s">
        <v>916</v>
      </c>
      <c r="K1184" s="213">
        <f>209550*5%</f>
        <v>10477.5</v>
      </c>
      <c r="L1184" s="176"/>
      <c r="M1184" s="183"/>
      <c r="N1184" s="135"/>
      <c r="O1184" s="135"/>
      <c r="P1184" s="135"/>
      <c r="Q1184" s="135"/>
      <c r="R1184" s="135"/>
      <c r="S1184" s="135"/>
      <c r="T1184" s="135"/>
      <c r="U1184" s="135"/>
      <c r="V1184" s="135"/>
      <c r="W1184" s="135"/>
      <c r="X1184" s="135"/>
      <c r="Y1184" s="135"/>
      <c r="Z1184" s="135"/>
      <c r="AA1184" s="135"/>
      <c r="AB1184" s="135"/>
      <c r="AC1184" s="135"/>
      <c r="AD1184" s="135"/>
      <c r="AE1184" s="135"/>
      <c r="AF1184" s="135"/>
      <c r="AG1184" s="135"/>
      <c r="AH1184" s="135"/>
      <c r="AI1184" s="135"/>
      <c r="AJ1184" s="135"/>
      <c r="AK1184" s="135"/>
      <c r="AL1184" s="135"/>
      <c r="AM1184" s="135"/>
      <c r="AN1184" s="135"/>
      <c r="AO1184" s="135"/>
      <c r="AP1184" s="135"/>
      <c r="AQ1184" s="135"/>
      <c r="AR1184" s="135"/>
      <c r="AS1184" s="135"/>
      <c r="AT1184" s="135"/>
      <c r="AU1184" s="135"/>
    </row>
    <row r="1185" spans="1:47" x14ac:dyDescent="0.2">
      <c r="A1185" s="187"/>
      <c r="B1185" s="188"/>
      <c r="C1185" s="189"/>
      <c r="D1185" s="190"/>
      <c r="E1185" s="191"/>
      <c r="F1185" s="191"/>
      <c r="G1185" s="190"/>
      <c r="H1185" s="304"/>
      <c r="I1185" s="202"/>
      <c r="J1185" s="349"/>
      <c r="K1185" s="319">
        <f>SUM(K1179:K1184)</f>
        <v>209550</v>
      </c>
      <c r="L1185" s="189"/>
      <c r="M1185" s="196"/>
      <c r="N1185" s="135"/>
      <c r="O1185" s="135"/>
      <c r="P1185" s="135"/>
      <c r="Q1185" s="135"/>
      <c r="R1185" s="135"/>
      <c r="S1185" s="135"/>
      <c r="T1185" s="135"/>
      <c r="U1185" s="135"/>
      <c r="V1185" s="135"/>
      <c r="W1185" s="135"/>
      <c r="X1185" s="135"/>
      <c r="Y1185" s="135"/>
      <c r="Z1185" s="135"/>
      <c r="AA1185" s="135"/>
      <c r="AB1185" s="135"/>
      <c r="AC1185" s="135"/>
      <c r="AD1185" s="135"/>
      <c r="AE1185" s="135"/>
      <c r="AF1185" s="135"/>
      <c r="AG1185" s="135"/>
      <c r="AH1185" s="135"/>
      <c r="AI1185" s="135"/>
      <c r="AJ1185" s="135"/>
      <c r="AK1185" s="135"/>
      <c r="AL1185" s="135"/>
      <c r="AM1185" s="135"/>
      <c r="AN1185" s="135"/>
      <c r="AO1185" s="135"/>
      <c r="AP1185" s="135"/>
      <c r="AQ1185" s="135"/>
      <c r="AR1185" s="135"/>
      <c r="AS1185" s="135"/>
      <c r="AT1185" s="135"/>
      <c r="AU1185" s="135"/>
    </row>
    <row r="1186" spans="1:47" ht="24" customHeight="1" x14ac:dyDescent="0.2">
      <c r="A1186" s="163">
        <v>258</v>
      </c>
      <c r="B1186" s="164" t="s">
        <v>1524</v>
      </c>
      <c r="C1186" s="165"/>
      <c r="D1186" s="166" t="s">
        <v>107</v>
      </c>
      <c r="E1186" s="167"/>
      <c r="F1186" s="167"/>
      <c r="G1186" s="166"/>
      <c r="H1186" s="301" t="s">
        <v>162</v>
      </c>
      <c r="I1186" s="299" t="s">
        <v>1525</v>
      </c>
      <c r="J1186" s="347" t="s">
        <v>1088</v>
      </c>
      <c r="K1186" s="270">
        <f>5000*90%</f>
        <v>4500</v>
      </c>
      <c r="L1186" s="165" t="s">
        <v>111</v>
      </c>
      <c r="M1186" s="172" t="s">
        <v>1526</v>
      </c>
      <c r="N1186" s="135"/>
      <c r="O1186" s="135"/>
      <c r="P1186" s="135"/>
      <c r="Q1186" s="135"/>
      <c r="R1186" s="135"/>
      <c r="S1186" s="135"/>
      <c r="T1186" s="135"/>
      <c r="U1186" s="135"/>
      <c r="V1186" s="135"/>
      <c r="W1186" s="135"/>
      <c r="X1186" s="135"/>
      <c r="Y1186" s="135"/>
      <c r="Z1186" s="135"/>
      <c r="AA1186" s="135"/>
      <c r="AB1186" s="135"/>
      <c r="AC1186" s="135"/>
      <c r="AD1186" s="135"/>
      <c r="AE1186" s="135"/>
      <c r="AF1186" s="135"/>
      <c r="AG1186" s="135"/>
      <c r="AH1186" s="135"/>
      <c r="AI1186" s="135"/>
      <c r="AJ1186" s="135"/>
      <c r="AK1186" s="135"/>
      <c r="AL1186" s="135"/>
      <c r="AM1186" s="135"/>
      <c r="AN1186" s="135"/>
      <c r="AO1186" s="135"/>
      <c r="AP1186" s="135"/>
      <c r="AQ1186" s="135"/>
      <c r="AR1186" s="135"/>
      <c r="AS1186" s="135"/>
      <c r="AT1186" s="135"/>
      <c r="AU1186" s="135"/>
    </row>
    <row r="1187" spans="1:47" x14ac:dyDescent="0.2">
      <c r="A1187" s="174"/>
      <c r="B1187" s="175"/>
      <c r="C1187" s="176"/>
      <c r="D1187" s="177"/>
      <c r="E1187" s="178"/>
      <c r="F1187" s="178"/>
      <c r="G1187" s="177"/>
      <c r="H1187" s="303"/>
      <c r="I1187" s="186" t="s">
        <v>1527</v>
      </c>
      <c r="J1187" s="348" t="s">
        <v>1088</v>
      </c>
      <c r="K1187" s="213">
        <f>5000*10%</f>
        <v>500</v>
      </c>
      <c r="L1187" s="176"/>
      <c r="M1187" s="183"/>
      <c r="N1187" s="135"/>
      <c r="O1187" s="135"/>
      <c r="P1187" s="135"/>
      <c r="Q1187" s="135"/>
      <c r="R1187" s="135"/>
      <c r="S1187" s="135"/>
      <c r="T1187" s="135"/>
      <c r="U1187" s="135"/>
      <c r="V1187" s="135"/>
      <c r="W1187" s="135"/>
      <c r="X1187" s="135"/>
      <c r="Y1187" s="135"/>
      <c r="Z1187" s="135"/>
      <c r="AA1187" s="135"/>
      <c r="AB1187" s="135"/>
      <c r="AC1187" s="135"/>
      <c r="AD1187" s="135"/>
      <c r="AE1187" s="135"/>
      <c r="AF1187" s="135"/>
      <c r="AG1187" s="135"/>
      <c r="AH1187" s="135"/>
      <c r="AI1187" s="135"/>
      <c r="AJ1187" s="135"/>
      <c r="AK1187" s="135"/>
      <c r="AL1187" s="135"/>
      <c r="AM1187" s="135"/>
      <c r="AN1187" s="135"/>
      <c r="AO1187" s="135"/>
      <c r="AP1187" s="135"/>
      <c r="AQ1187" s="135"/>
      <c r="AR1187" s="135"/>
      <c r="AS1187" s="135"/>
      <c r="AT1187" s="135"/>
      <c r="AU1187" s="135"/>
    </row>
    <row r="1188" spans="1:47" x14ac:dyDescent="0.2">
      <c r="A1188" s="187"/>
      <c r="B1188" s="188"/>
      <c r="C1188" s="189"/>
      <c r="D1188" s="190"/>
      <c r="E1188" s="191"/>
      <c r="F1188" s="191"/>
      <c r="G1188" s="190"/>
      <c r="H1188" s="304"/>
      <c r="I1188" s="179"/>
      <c r="J1188" s="356"/>
      <c r="K1188" s="198">
        <f>SUM(K1186:K1187)</f>
        <v>5000</v>
      </c>
      <c r="L1188" s="189"/>
      <c r="M1188" s="196"/>
      <c r="N1188" s="135"/>
      <c r="O1188" s="135"/>
      <c r="P1188" s="135"/>
      <c r="Q1188" s="135"/>
      <c r="R1188" s="135"/>
      <c r="S1188" s="135"/>
      <c r="T1188" s="135"/>
      <c r="U1188" s="135"/>
      <c r="V1188" s="135"/>
      <c r="W1188" s="135"/>
      <c r="X1188" s="135"/>
      <c r="Y1188" s="135"/>
      <c r="Z1188" s="135"/>
      <c r="AA1188" s="135"/>
      <c r="AB1188" s="135"/>
      <c r="AC1188" s="135"/>
      <c r="AD1188" s="135"/>
      <c r="AE1188" s="135"/>
      <c r="AF1188" s="135"/>
      <c r="AG1188" s="135"/>
      <c r="AH1188" s="135"/>
      <c r="AI1188" s="135"/>
      <c r="AJ1188" s="135"/>
      <c r="AK1188" s="135"/>
      <c r="AL1188" s="135"/>
      <c r="AM1188" s="135"/>
      <c r="AN1188" s="135"/>
      <c r="AO1188" s="135"/>
      <c r="AP1188" s="135"/>
      <c r="AQ1188" s="135"/>
      <c r="AR1188" s="135"/>
      <c r="AS1188" s="135"/>
      <c r="AT1188" s="135"/>
      <c r="AU1188" s="135"/>
    </row>
    <row r="1189" spans="1:47" ht="24" customHeight="1" x14ac:dyDescent="0.2">
      <c r="A1189" s="163">
        <v>259</v>
      </c>
      <c r="B1189" s="164" t="s">
        <v>1528</v>
      </c>
      <c r="C1189" s="165"/>
      <c r="D1189" s="166" t="s">
        <v>107</v>
      </c>
      <c r="E1189" s="167"/>
      <c r="F1189" s="167"/>
      <c r="G1189" s="166"/>
      <c r="H1189" s="301"/>
      <c r="I1189" s="217" t="s">
        <v>1529</v>
      </c>
      <c r="J1189" s="355" t="s">
        <v>1088</v>
      </c>
      <c r="K1189" s="278">
        <f>4800*50%</f>
        <v>2400</v>
      </c>
      <c r="L1189" s="165" t="s">
        <v>111</v>
      </c>
      <c r="M1189" s="172" t="s">
        <v>1530</v>
      </c>
      <c r="N1189" s="173"/>
      <c r="O1189" s="135"/>
      <c r="P1189" s="135"/>
      <c r="Q1189" s="135"/>
      <c r="R1189" s="135"/>
      <c r="S1189" s="135"/>
      <c r="T1189" s="135"/>
      <c r="U1189" s="135"/>
      <c r="V1189" s="135"/>
      <c r="W1189" s="135"/>
      <c r="X1189" s="135"/>
      <c r="Y1189" s="135"/>
      <c r="Z1189" s="135"/>
      <c r="AA1189" s="135"/>
      <c r="AB1189" s="135"/>
      <c r="AC1189" s="135"/>
      <c r="AD1189" s="135"/>
      <c r="AE1189" s="135"/>
      <c r="AF1189" s="135"/>
      <c r="AG1189" s="135"/>
      <c r="AH1189" s="135"/>
      <c r="AI1189" s="135"/>
      <c r="AJ1189" s="135"/>
      <c r="AK1189" s="135"/>
      <c r="AL1189" s="135"/>
      <c r="AM1189" s="135"/>
      <c r="AN1189" s="135"/>
      <c r="AO1189" s="135"/>
      <c r="AP1189" s="135"/>
      <c r="AQ1189" s="135"/>
      <c r="AR1189" s="135"/>
      <c r="AS1189" s="135"/>
      <c r="AT1189" s="135"/>
      <c r="AU1189" s="135"/>
    </row>
    <row r="1190" spans="1:47" ht="48" x14ac:dyDescent="0.2">
      <c r="A1190" s="174"/>
      <c r="B1190" s="175"/>
      <c r="C1190" s="176"/>
      <c r="D1190" s="177"/>
      <c r="E1190" s="178"/>
      <c r="F1190" s="178"/>
      <c r="G1190" s="177"/>
      <c r="H1190" s="303"/>
      <c r="I1190" s="186" t="s">
        <v>1531</v>
      </c>
      <c r="J1190" s="348" t="s">
        <v>552</v>
      </c>
      <c r="K1190" s="213">
        <f>4800*25%</f>
        <v>1200</v>
      </c>
      <c r="L1190" s="176"/>
      <c r="M1190" s="183"/>
      <c r="N1190" s="135"/>
      <c r="O1190" s="135"/>
      <c r="P1190" s="135"/>
      <c r="Q1190" s="135"/>
      <c r="R1190" s="135"/>
      <c r="S1190" s="135"/>
      <c r="T1190" s="135"/>
      <c r="U1190" s="135"/>
      <c r="V1190" s="135"/>
      <c r="W1190" s="135"/>
      <c r="X1190" s="135"/>
      <c r="Y1190" s="135"/>
      <c r="Z1190" s="135"/>
      <c r="AA1190" s="135"/>
      <c r="AB1190" s="135"/>
      <c r="AC1190" s="135"/>
      <c r="AD1190" s="135"/>
      <c r="AE1190" s="135"/>
      <c r="AF1190" s="135"/>
      <c r="AG1190" s="135"/>
      <c r="AH1190" s="135"/>
      <c r="AI1190" s="135"/>
      <c r="AJ1190" s="135"/>
      <c r="AK1190" s="135"/>
      <c r="AL1190" s="135"/>
      <c r="AM1190" s="135"/>
      <c r="AN1190" s="135"/>
      <c r="AO1190" s="135"/>
      <c r="AP1190" s="135"/>
      <c r="AQ1190" s="135"/>
      <c r="AR1190" s="135"/>
      <c r="AS1190" s="135"/>
      <c r="AT1190" s="135"/>
      <c r="AU1190" s="135"/>
    </row>
    <row r="1191" spans="1:47" x14ac:dyDescent="0.2">
      <c r="A1191" s="174"/>
      <c r="B1191" s="175"/>
      <c r="C1191" s="176"/>
      <c r="D1191" s="177"/>
      <c r="E1191" s="178"/>
      <c r="F1191" s="178"/>
      <c r="G1191" s="177"/>
      <c r="H1191" s="303"/>
      <c r="I1191" s="186" t="s">
        <v>1532</v>
      </c>
      <c r="J1191" s="348" t="s">
        <v>1088</v>
      </c>
      <c r="K1191" s="213">
        <f>4800*25%</f>
        <v>1200</v>
      </c>
      <c r="L1191" s="176"/>
      <c r="M1191" s="183"/>
      <c r="N1191" s="135"/>
      <c r="O1191" s="135"/>
      <c r="P1191" s="135"/>
      <c r="Q1191" s="135"/>
      <c r="R1191" s="135"/>
      <c r="S1191" s="135"/>
      <c r="T1191" s="135"/>
      <c r="U1191" s="135"/>
      <c r="V1191" s="135"/>
      <c r="W1191" s="135"/>
      <c r="X1191" s="135"/>
      <c r="Y1191" s="135"/>
      <c r="Z1191" s="135"/>
      <c r="AA1191" s="135"/>
      <c r="AB1191" s="135"/>
      <c r="AC1191" s="135"/>
      <c r="AD1191" s="135"/>
      <c r="AE1191" s="135"/>
      <c r="AF1191" s="135"/>
      <c r="AG1191" s="135"/>
      <c r="AH1191" s="135"/>
      <c r="AI1191" s="135"/>
      <c r="AJ1191" s="135"/>
      <c r="AK1191" s="135"/>
      <c r="AL1191" s="135"/>
      <c r="AM1191" s="135"/>
      <c r="AN1191" s="135"/>
      <c r="AO1191" s="135"/>
      <c r="AP1191" s="135"/>
      <c r="AQ1191" s="135"/>
      <c r="AR1191" s="135"/>
      <c r="AS1191" s="135"/>
      <c r="AT1191" s="135"/>
      <c r="AU1191" s="135"/>
    </row>
    <row r="1192" spans="1:47" x14ac:dyDescent="0.2">
      <c r="A1192" s="187"/>
      <c r="B1192" s="188"/>
      <c r="C1192" s="189"/>
      <c r="D1192" s="190"/>
      <c r="E1192" s="191"/>
      <c r="F1192" s="191"/>
      <c r="G1192" s="190"/>
      <c r="H1192" s="304"/>
      <c r="I1192" s="202"/>
      <c r="J1192" s="349"/>
      <c r="K1192" s="319">
        <f>SUM(K1189:K1191)</f>
        <v>4800</v>
      </c>
      <c r="L1192" s="189"/>
      <c r="M1192" s="196"/>
      <c r="N1192" s="135"/>
      <c r="O1192" s="135"/>
      <c r="P1192" s="135"/>
      <c r="Q1192" s="135"/>
      <c r="R1192" s="135"/>
      <c r="S1192" s="135"/>
      <c r="T1192" s="135"/>
      <c r="U1192" s="135"/>
      <c r="V1192" s="135"/>
      <c r="W1192" s="135"/>
      <c r="X1192" s="135"/>
      <c r="Y1192" s="135"/>
      <c r="Z1192" s="135"/>
      <c r="AA1192" s="135"/>
      <c r="AB1192" s="135"/>
      <c r="AC1192" s="135"/>
      <c r="AD1192" s="135"/>
      <c r="AE1192" s="135"/>
      <c r="AF1192" s="135"/>
      <c r="AG1192" s="135"/>
      <c r="AH1192" s="135"/>
      <c r="AI1192" s="135"/>
      <c r="AJ1192" s="135"/>
      <c r="AK1192" s="135"/>
      <c r="AL1192" s="135"/>
      <c r="AM1192" s="135"/>
      <c r="AN1192" s="135"/>
      <c r="AO1192" s="135"/>
      <c r="AP1192" s="135"/>
      <c r="AQ1192" s="135"/>
      <c r="AR1192" s="135"/>
      <c r="AS1192" s="135"/>
      <c r="AT1192" s="135"/>
      <c r="AU1192" s="135"/>
    </row>
    <row r="1193" spans="1:47" ht="24" customHeight="1" x14ac:dyDescent="0.2">
      <c r="A1193" s="163">
        <v>260</v>
      </c>
      <c r="B1193" s="164" t="s">
        <v>1533</v>
      </c>
      <c r="C1193" s="165"/>
      <c r="D1193" s="166" t="s">
        <v>161</v>
      </c>
      <c r="E1193" s="167"/>
      <c r="F1193" s="167"/>
      <c r="G1193" s="166"/>
      <c r="H1193" s="301"/>
      <c r="I1193" s="299" t="s">
        <v>1534</v>
      </c>
      <c r="J1193" s="347" t="s">
        <v>1088</v>
      </c>
      <c r="K1193" s="270">
        <f>530000*30%</f>
        <v>159000</v>
      </c>
      <c r="L1193" s="165" t="s">
        <v>164</v>
      </c>
      <c r="M1193" s="172" t="s">
        <v>1535</v>
      </c>
      <c r="N1193" s="135"/>
      <c r="O1193" s="135"/>
      <c r="P1193" s="135"/>
      <c r="Q1193" s="135"/>
      <c r="R1193" s="135"/>
      <c r="S1193" s="135"/>
      <c r="T1193" s="135"/>
      <c r="U1193" s="135"/>
      <c r="V1193" s="135"/>
      <c r="W1193" s="135"/>
      <c r="X1193" s="135"/>
      <c r="Y1193" s="135"/>
      <c r="Z1193" s="135"/>
      <c r="AA1193" s="135"/>
      <c r="AB1193" s="135"/>
      <c r="AC1193" s="135"/>
      <c r="AD1193" s="135"/>
      <c r="AE1193" s="135"/>
      <c r="AF1193" s="135"/>
      <c r="AG1193" s="135"/>
      <c r="AH1193" s="135"/>
      <c r="AI1193" s="135"/>
      <c r="AJ1193" s="135"/>
      <c r="AK1193" s="135"/>
      <c r="AL1193" s="135"/>
      <c r="AM1193" s="135"/>
      <c r="AN1193" s="135"/>
      <c r="AO1193" s="135"/>
      <c r="AP1193" s="135"/>
      <c r="AQ1193" s="135"/>
      <c r="AR1193" s="135"/>
      <c r="AS1193" s="135"/>
      <c r="AT1193" s="135"/>
      <c r="AU1193" s="135"/>
    </row>
    <row r="1194" spans="1:47" x14ac:dyDescent="0.2">
      <c r="A1194" s="174"/>
      <c r="B1194" s="175"/>
      <c r="C1194" s="176"/>
      <c r="D1194" s="177"/>
      <c r="E1194" s="178"/>
      <c r="F1194" s="178"/>
      <c r="G1194" s="177"/>
      <c r="H1194" s="303"/>
      <c r="I1194" s="186" t="s">
        <v>1536</v>
      </c>
      <c r="J1194" s="348" t="s">
        <v>1088</v>
      </c>
      <c r="K1194" s="213">
        <f>530000*25%</f>
        <v>132500</v>
      </c>
      <c r="L1194" s="176"/>
      <c r="M1194" s="183"/>
      <c r="N1194" s="135"/>
      <c r="O1194" s="135"/>
      <c r="P1194" s="135"/>
      <c r="Q1194" s="135"/>
      <c r="R1194" s="135"/>
      <c r="S1194" s="135"/>
      <c r="T1194" s="135"/>
      <c r="U1194" s="135"/>
      <c r="V1194" s="135"/>
      <c r="W1194" s="135"/>
      <c r="X1194" s="135"/>
      <c r="Y1194" s="135"/>
      <c r="Z1194" s="135"/>
      <c r="AA1194" s="135"/>
      <c r="AB1194" s="135"/>
      <c r="AC1194" s="135"/>
      <c r="AD1194" s="135"/>
      <c r="AE1194" s="135"/>
      <c r="AF1194" s="135"/>
      <c r="AG1194" s="135"/>
      <c r="AH1194" s="135"/>
      <c r="AI1194" s="135"/>
      <c r="AJ1194" s="135"/>
      <c r="AK1194" s="135"/>
      <c r="AL1194" s="135"/>
      <c r="AM1194" s="135"/>
      <c r="AN1194" s="135"/>
      <c r="AO1194" s="135"/>
      <c r="AP1194" s="135"/>
      <c r="AQ1194" s="135"/>
      <c r="AR1194" s="135"/>
      <c r="AS1194" s="135"/>
      <c r="AT1194" s="135"/>
      <c r="AU1194" s="135"/>
    </row>
    <row r="1195" spans="1:47" x14ac:dyDescent="0.2">
      <c r="A1195" s="174"/>
      <c r="B1195" s="175"/>
      <c r="C1195" s="176"/>
      <c r="D1195" s="177"/>
      <c r="E1195" s="178"/>
      <c r="F1195" s="178"/>
      <c r="G1195" s="177"/>
      <c r="H1195" s="303"/>
      <c r="I1195" s="186" t="s">
        <v>1537</v>
      </c>
      <c r="J1195" s="348" t="s">
        <v>1088</v>
      </c>
      <c r="K1195" s="213">
        <f>530000*25%</f>
        <v>132500</v>
      </c>
      <c r="L1195" s="176"/>
      <c r="M1195" s="183"/>
      <c r="N1195" s="135"/>
      <c r="O1195" s="135"/>
      <c r="P1195" s="135"/>
      <c r="Q1195" s="135"/>
      <c r="R1195" s="135"/>
      <c r="S1195" s="135"/>
      <c r="T1195" s="135"/>
      <c r="U1195" s="135"/>
      <c r="V1195" s="135"/>
      <c r="W1195" s="135"/>
      <c r="X1195" s="135"/>
      <c r="Y1195" s="135"/>
      <c r="Z1195" s="135"/>
      <c r="AA1195" s="135"/>
      <c r="AB1195" s="135"/>
      <c r="AC1195" s="135"/>
      <c r="AD1195" s="135"/>
      <c r="AE1195" s="135"/>
      <c r="AF1195" s="135"/>
      <c r="AG1195" s="135"/>
      <c r="AH1195" s="135"/>
      <c r="AI1195" s="135"/>
      <c r="AJ1195" s="135"/>
      <c r="AK1195" s="135"/>
      <c r="AL1195" s="135"/>
      <c r="AM1195" s="135"/>
      <c r="AN1195" s="135"/>
      <c r="AO1195" s="135"/>
      <c r="AP1195" s="135"/>
      <c r="AQ1195" s="135"/>
      <c r="AR1195" s="135"/>
      <c r="AS1195" s="135"/>
      <c r="AT1195" s="135"/>
      <c r="AU1195" s="135"/>
    </row>
    <row r="1196" spans="1:47" x14ac:dyDescent="0.2">
      <c r="A1196" s="174"/>
      <c r="B1196" s="175"/>
      <c r="C1196" s="176"/>
      <c r="D1196" s="177"/>
      <c r="E1196" s="178"/>
      <c r="F1196" s="178"/>
      <c r="G1196" s="177"/>
      <c r="H1196" s="303"/>
      <c r="I1196" s="186" t="s">
        <v>1538</v>
      </c>
      <c r="J1196" s="348" t="s">
        <v>1088</v>
      </c>
      <c r="K1196" s="213">
        <f>530000*20%</f>
        <v>106000</v>
      </c>
      <c r="L1196" s="176"/>
      <c r="M1196" s="183"/>
      <c r="N1196" s="135"/>
      <c r="O1196" s="135"/>
      <c r="P1196" s="135"/>
      <c r="Q1196" s="135"/>
      <c r="R1196" s="135"/>
      <c r="S1196" s="135"/>
      <c r="T1196" s="135"/>
      <c r="U1196" s="135"/>
      <c r="V1196" s="135"/>
      <c r="W1196" s="135"/>
      <c r="X1196" s="135"/>
      <c r="Y1196" s="135"/>
      <c r="Z1196" s="135"/>
      <c r="AA1196" s="135"/>
      <c r="AB1196" s="135"/>
      <c r="AC1196" s="135"/>
      <c r="AD1196" s="135"/>
      <c r="AE1196" s="135"/>
      <c r="AF1196" s="135"/>
      <c r="AG1196" s="135"/>
      <c r="AH1196" s="135"/>
      <c r="AI1196" s="135"/>
      <c r="AJ1196" s="135"/>
      <c r="AK1196" s="135"/>
      <c r="AL1196" s="135"/>
      <c r="AM1196" s="135"/>
      <c r="AN1196" s="135"/>
      <c r="AO1196" s="135"/>
      <c r="AP1196" s="135"/>
      <c r="AQ1196" s="135"/>
      <c r="AR1196" s="135"/>
      <c r="AS1196" s="135"/>
      <c r="AT1196" s="135"/>
      <c r="AU1196" s="135"/>
    </row>
    <row r="1197" spans="1:47" x14ac:dyDescent="0.2">
      <c r="A1197" s="187"/>
      <c r="B1197" s="188"/>
      <c r="C1197" s="189"/>
      <c r="D1197" s="190"/>
      <c r="E1197" s="191"/>
      <c r="F1197" s="191"/>
      <c r="G1197" s="190"/>
      <c r="H1197" s="304"/>
      <c r="I1197" s="179"/>
      <c r="J1197" s="356"/>
      <c r="K1197" s="198">
        <f>SUM(K1193:K1196)</f>
        <v>530000</v>
      </c>
      <c r="L1197" s="189"/>
      <c r="M1197" s="196"/>
      <c r="N1197" s="135"/>
      <c r="O1197" s="135"/>
      <c r="P1197" s="135"/>
      <c r="Q1197" s="135"/>
      <c r="R1197" s="135"/>
      <c r="S1197" s="135"/>
      <c r="T1197" s="135"/>
      <c r="U1197" s="135"/>
      <c r="V1197" s="135"/>
      <c r="W1197" s="135"/>
      <c r="X1197" s="135"/>
      <c r="Y1197" s="135"/>
      <c r="Z1197" s="135"/>
      <c r="AA1197" s="135"/>
      <c r="AB1197" s="135"/>
      <c r="AC1197" s="135"/>
      <c r="AD1197" s="135"/>
      <c r="AE1197" s="135"/>
      <c r="AF1197" s="135"/>
      <c r="AG1197" s="135"/>
      <c r="AH1197" s="135"/>
      <c r="AI1197" s="135"/>
      <c r="AJ1197" s="135"/>
      <c r="AK1197" s="135"/>
      <c r="AL1197" s="135"/>
      <c r="AM1197" s="135"/>
      <c r="AN1197" s="135"/>
      <c r="AO1197" s="135"/>
      <c r="AP1197" s="135"/>
      <c r="AQ1197" s="135"/>
      <c r="AR1197" s="135"/>
      <c r="AS1197" s="135"/>
      <c r="AT1197" s="135"/>
      <c r="AU1197" s="135"/>
    </row>
    <row r="1198" spans="1:47" ht="21" customHeight="1" x14ac:dyDescent="0.2">
      <c r="A1198" s="163">
        <v>261</v>
      </c>
      <c r="B1198" s="164" t="s">
        <v>1539</v>
      </c>
      <c r="C1198" s="165"/>
      <c r="D1198" s="166" t="s">
        <v>161</v>
      </c>
      <c r="E1198" s="167"/>
      <c r="F1198" s="167"/>
      <c r="G1198" s="166"/>
      <c r="H1198" s="301"/>
      <c r="I1198" s="217" t="s">
        <v>1540</v>
      </c>
      <c r="J1198" s="355" t="s">
        <v>184</v>
      </c>
      <c r="K1198" s="278">
        <f>530000*60%</f>
        <v>318000</v>
      </c>
      <c r="L1198" s="165" t="s">
        <v>164</v>
      </c>
      <c r="M1198" s="172" t="s">
        <v>1541</v>
      </c>
      <c r="N1198" s="135"/>
      <c r="O1198" s="135"/>
      <c r="P1198" s="135"/>
      <c r="Q1198" s="135"/>
      <c r="R1198" s="135"/>
      <c r="S1198" s="135"/>
      <c r="T1198" s="135"/>
      <c r="U1198" s="135"/>
      <c r="V1198" s="135"/>
      <c r="W1198" s="135"/>
      <c r="X1198" s="135"/>
      <c r="Y1198" s="135"/>
      <c r="Z1198" s="135"/>
      <c r="AA1198" s="135"/>
      <c r="AB1198" s="135"/>
      <c r="AC1198" s="135"/>
      <c r="AD1198" s="135"/>
      <c r="AE1198" s="135"/>
      <c r="AF1198" s="135"/>
      <c r="AG1198" s="135"/>
      <c r="AH1198" s="135"/>
      <c r="AI1198" s="135"/>
      <c r="AJ1198" s="135"/>
      <c r="AK1198" s="135"/>
      <c r="AL1198" s="135"/>
      <c r="AM1198" s="135"/>
      <c r="AN1198" s="135"/>
      <c r="AO1198" s="135"/>
      <c r="AP1198" s="135"/>
      <c r="AQ1198" s="135"/>
      <c r="AR1198" s="135"/>
      <c r="AS1198" s="135"/>
      <c r="AT1198" s="135"/>
      <c r="AU1198" s="135"/>
    </row>
    <row r="1199" spans="1:47" x14ac:dyDescent="0.2">
      <c r="A1199" s="174"/>
      <c r="B1199" s="175"/>
      <c r="C1199" s="176"/>
      <c r="D1199" s="177"/>
      <c r="E1199" s="178"/>
      <c r="F1199" s="178"/>
      <c r="G1199" s="177"/>
      <c r="H1199" s="303"/>
      <c r="I1199" s="186" t="s">
        <v>400</v>
      </c>
      <c r="J1199" s="348" t="s">
        <v>1088</v>
      </c>
      <c r="K1199" s="213">
        <f>530000*10%</f>
        <v>53000</v>
      </c>
      <c r="L1199" s="176"/>
      <c r="M1199" s="183"/>
      <c r="N1199" s="135"/>
      <c r="O1199" s="135"/>
      <c r="P1199" s="135"/>
      <c r="Q1199" s="135"/>
      <c r="R1199" s="135"/>
      <c r="S1199" s="135"/>
      <c r="T1199" s="135"/>
      <c r="U1199" s="135"/>
      <c r="V1199" s="135"/>
      <c r="W1199" s="135"/>
      <c r="X1199" s="135"/>
      <c r="Y1199" s="135"/>
      <c r="Z1199" s="135"/>
      <c r="AA1199" s="135"/>
      <c r="AB1199" s="135"/>
      <c r="AC1199" s="135"/>
      <c r="AD1199" s="135"/>
      <c r="AE1199" s="135"/>
      <c r="AF1199" s="135"/>
      <c r="AG1199" s="135"/>
      <c r="AH1199" s="135"/>
      <c r="AI1199" s="135"/>
      <c r="AJ1199" s="135"/>
      <c r="AK1199" s="135"/>
      <c r="AL1199" s="135"/>
      <c r="AM1199" s="135"/>
      <c r="AN1199" s="135"/>
      <c r="AO1199" s="135"/>
      <c r="AP1199" s="135"/>
      <c r="AQ1199" s="135"/>
      <c r="AR1199" s="135"/>
      <c r="AS1199" s="135"/>
      <c r="AT1199" s="135"/>
      <c r="AU1199" s="135"/>
    </row>
    <row r="1200" spans="1:47" x14ac:dyDescent="0.2">
      <c r="A1200" s="174"/>
      <c r="B1200" s="175"/>
      <c r="C1200" s="176"/>
      <c r="D1200" s="177"/>
      <c r="E1200" s="178"/>
      <c r="F1200" s="178"/>
      <c r="G1200" s="177"/>
      <c r="H1200" s="303"/>
      <c r="I1200" s="186" t="s">
        <v>1542</v>
      </c>
      <c r="J1200" s="348" t="s">
        <v>1088</v>
      </c>
      <c r="K1200" s="213">
        <f>530000*10%</f>
        <v>53000</v>
      </c>
      <c r="L1200" s="176"/>
      <c r="M1200" s="183"/>
      <c r="N1200" s="135"/>
      <c r="O1200" s="135"/>
      <c r="P1200" s="135"/>
      <c r="Q1200" s="135"/>
      <c r="R1200" s="135"/>
      <c r="S1200" s="135"/>
      <c r="T1200" s="135"/>
      <c r="U1200" s="135"/>
      <c r="V1200" s="135"/>
      <c r="W1200" s="135"/>
      <c r="X1200" s="135"/>
      <c r="Y1200" s="135"/>
      <c r="Z1200" s="135"/>
      <c r="AA1200" s="135"/>
      <c r="AB1200" s="135"/>
      <c r="AC1200" s="135"/>
      <c r="AD1200" s="135"/>
      <c r="AE1200" s="135"/>
      <c r="AF1200" s="135"/>
      <c r="AG1200" s="135"/>
      <c r="AH1200" s="135"/>
      <c r="AI1200" s="135"/>
      <c r="AJ1200" s="135"/>
      <c r="AK1200" s="135"/>
      <c r="AL1200" s="135"/>
      <c r="AM1200" s="135"/>
      <c r="AN1200" s="135"/>
      <c r="AO1200" s="135"/>
      <c r="AP1200" s="135"/>
      <c r="AQ1200" s="135"/>
      <c r="AR1200" s="135"/>
      <c r="AS1200" s="135"/>
      <c r="AT1200" s="135"/>
      <c r="AU1200" s="135"/>
    </row>
    <row r="1201" spans="1:47" x14ac:dyDescent="0.2">
      <c r="A1201" s="174"/>
      <c r="B1201" s="175"/>
      <c r="C1201" s="176"/>
      <c r="D1201" s="177"/>
      <c r="E1201" s="178"/>
      <c r="F1201" s="178"/>
      <c r="G1201" s="177"/>
      <c r="H1201" s="303"/>
      <c r="I1201" s="186" t="s">
        <v>1543</v>
      </c>
      <c r="J1201" s="348" t="s">
        <v>1088</v>
      </c>
      <c r="K1201" s="213">
        <f>530000*10%</f>
        <v>53000</v>
      </c>
      <c r="L1201" s="176"/>
      <c r="M1201" s="183"/>
      <c r="N1201" s="135"/>
      <c r="O1201" s="135"/>
      <c r="P1201" s="135"/>
      <c r="Q1201" s="135"/>
      <c r="R1201" s="135"/>
      <c r="S1201" s="135"/>
      <c r="T1201" s="135"/>
      <c r="U1201" s="135"/>
      <c r="V1201" s="135"/>
      <c r="W1201" s="135"/>
      <c r="X1201" s="135"/>
      <c r="Y1201" s="135"/>
      <c r="Z1201" s="135"/>
      <c r="AA1201" s="135"/>
      <c r="AB1201" s="135"/>
      <c r="AC1201" s="135"/>
      <c r="AD1201" s="135"/>
      <c r="AE1201" s="135"/>
      <c r="AF1201" s="135"/>
      <c r="AG1201" s="135"/>
      <c r="AH1201" s="135"/>
      <c r="AI1201" s="135"/>
      <c r="AJ1201" s="135"/>
      <c r="AK1201" s="135"/>
      <c r="AL1201" s="135"/>
      <c r="AM1201" s="135"/>
      <c r="AN1201" s="135"/>
      <c r="AO1201" s="135"/>
      <c r="AP1201" s="135"/>
      <c r="AQ1201" s="135"/>
      <c r="AR1201" s="135"/>
      <c r="AS1201" s="135"/>
      <c r="AT1201" s="135"/>
      <c r="AU1201" s="135"/>
    </row>
    <row r="1202" spans="1:47" x14ac:dyDescent="0.2">
      <c r="A1202" s="174"/>
      <c r="B1202" s="175"/>
      <c r="C1202" s="176"/>
      <c r="D1202" s="177"/>
      <c r="E1202" s="178"/>
      <c r="F1202" s="178"/>
      <c r="G1202" s="177"/>
      <c r="H1202" s="303"/>
      <c r="I1202" s="186" t="s">
        <v>1544</v>
      </c>
      <c r="J1202" s="348" t="s">
        <v>1088</v>
      </c>
      <c r="K1202" s="213">
        <f>530000*10%</f>
        <v>53000</v>
      </c>
      <c r="L1202" s="176"/>
      <c r="M1202" s="183"/>
      <c r="N1202" s="135"/>
      <c r="O1202" s="135"/>
      <c r="P1202" s="135"/>
      <c r="Q1202" s="135"/>
      <c r="R1202" s="135"/>
      <c r="S1202" s="135"/>
      <c r="T1202" s="135"/>
      <c r="U1202" s="135"/>
      <c r="V1202" s="135"/>
      <c r="W1202" s="135"/>
      <c r="X1202" s="135"/>
      <c r="Y1202" s="135"/>
      <c r="Z1202" s="135"/>
      <c r="AA1202" s="135"/>
      <c r="AB1202" s="135"/>
      <c r="AC1202" s="135"/>
      <c r="AD1202" s="135"/>
      <c r="AE1202" s="135"/>
      <c r="AF1202" s="135"/>
      <c r="AG1202" s="135"/>
      <c r="AH1202" s="135"/>
      <c r="AI1202" s="135"/>
      <c r="AJ1202" s="135"/>
      <c r="AK1202" s="135"/>
      <c r="AL1202" s="135"/>
      <c r="AM1202" s="135"/>
      <c r="AN1202" s="135"/>
      <c r="AO1202" s="135"/>
      <c r="AP1202" s="135"/>
      <c r="AQ1202" s="135"/>
      <c r="AR1202" s="135"/>
      <c r="AS1202" s="135"/>
      <c r="AT1202" s="135"/>
      <c r="AU1202" s="135"/>
    </row>
    <row r="1203" spans="1:47" x14ac:dyDescent="0.2">
      <c r="A1203" s="187"/>
      <c r="B1203" s="188"/>
      <c r="C1203" s="189"/>
      <c r="D1203" s="190"/>
      <c r="E1203" s="191"/>
      <c r="F1203" s="191"/>
      <c r="G1203" s="190"/>
      <c r="H1203" s="304"/>
      <c r="I1203" s="202"/>
      <c r="J1203" s="349"/>
      <c r="K1203" s="319">
        <f>SUM(K1198:K1202)</f>
        <v>530000</v>
      </c>
      <c r="L1203" s="189"/>
      <c r="M1203" s="196"/>
      <c r="N1203" s="135"/>
      <c r="O1203" s="135"/>
      <c r="P1203" s="135"/>
      <c r="Q1203" s="135"/>
      <c r="R1203" s="135"/>
      <c r="S1203" s="135"/>
      <c r="T1203" s="135"/>
      <c r="U1203" s="135"/>
      <c r="V1203" s="135"/>
      <c r="W1203" s="135"/>
      <c r="X1203" s="135"/>
      <c r="Y1203" s="135"/>
      <c r="Z1203" s="135"/>
      <c r="AA1203" s="135"/>
      <c r="AB1203" s="135"/>
      <c r="AC1203" s="135"/>
      <c r="AD1203" s="135"/>
      <c r="AE1203" s="135"/>
      <c r="AF1203" s="135"/>
      <c r="AG1203" s="135"/>
      <c r="AH1203" s="135"/>
      <c r="AI1203" s="135"/>
      <c r="AJ1203" s="135"/>
      <c r="AK1203" s="135"/>
      <c r="AL1203" s="135"/>
      <c r="AM1203" s="135"/>
      <c r="AN1203" s="135"/>
      <c r="AO1203" s="135"/>
      <c r="AP1203" s="135"/>
      <c r="AQ1203" s="135"/>
      <c r="AR1203" s="135"/>
      <c r="AS1203" s="135"/>
      <c r="AT1203" s="135"/>
      <c r="AU1203" s="135"/>
    </row>
    <row r="1204" spans="1:47" ht="24" customHeight="1" x14ac:dyDescent="0.2">
      <c r="A1204" s="163">
        <v>262</v>
      </c>
      <c r="B1204" s="164" t="s">
        <v>1545</v>
      </c>
      <c r="C1204" s="165"/>
      <c r="D1204" s="166" t="s">
        <v>25</v>
      </c>
      <c r="E1204" s="167"/>
      <c r="F1204" s="167" t="s">
        <v>868</v>
      </c>
      <c r="G1204" s="172" t="s">
        <v>1546</v>
      </c>
      <c r="H1204" s="359" t="s">
        <v>870</v>
      </c>
      <c r="I1204" s="360" t="s">
        <v>1547</v>
      </c>
      <c r="J1204" s="247" t="s">
        <v>1088</v>
      </c>
      <c r="K1204" s="314">
        <v>1110444</v>
      </c>
      <c r="L1204" s="165" t="s">
        <v>1546</v>
      </c>
      <c r="M1204" s="172" t="s">
        <v>1548</v>
      </c>
      <c r="N1204" s="173"/>
      <c r="O1204" s="135"/>
      <c r="P1204" s="135"/>
      <c r="Q1204" s="135"/>
      <c r="R1204" s="135"/>
      <c r="S1204" s="135"/>
      <c r="T1204" s="135"/>
      <c r="U1204" s="135"/>
      <c r="V1204" s="135"/>
      <c r="W1204" s="135"/>
      <c r="X1204" s="135"/>
      <c r="Y1204" s="135"/>
      <c r="Z1204" s="135"/>
      <c r="AA1204" s="135"/>
      <c r="AB1204" s="135"/>
      <c r="AC1204" s="135"/>
      <c r="AD1204" s="135"/>
      <c r="AE1204" s="135"/>
      <c r="AF1204" s="135"/>
      <c r="AG1204" s="135"/>
      <c r="AH1204" s="135"/>
      <c r="AI1204" s="135"/>
      <c r="AJ1204" s="135"/>
      <c r="AK1204" s="135"/>
      <c r="AL1204" s="135"/>
      <c r="AM1204" s="135"/>
      <c r="AN1204" s="135"/>
      <c r="AO1204" s="135"/>
      <c r="AP1204" s="135"/>
      <c r="AQ1204" s="135"/>
      <c r="AR1204" s="135"/>
      <c r="AS1204" s="135"/>
      <c r="AT1204" s="135"/>
      <c r="AU1204" s="135"/>
    </row>
    <row r="1205" spans="1:47" x14ac:dyDescent="0.2">
      <c r="A1205" s="174"/>
      <c r="B1205" s="175"/>
      <c r="C1205" s="176"/>
      <c r="D1205" s="177"/>
      <c r="E1205" s="178"/>
      <c r="F1205" s="178"/>
      <c r="G1205" s="183"/>
      <c r="H1205" s="361"/>
      <c r="I1205" s="362" t="s">
        <v>1549</v>
      </c>
      <c r="J1205" s="206" t="s">
        <v>1088</v>
      </c>
      <c r="K1205" s="213">
        <v>1110444</v>
      </c>
      <c r="L1205" s="176"/>
      <c r="M1205" s="183"/>
      <c r="N1205" s="135"/>
      <c r="O1205" s="135"/>
      <c r="P1205" s="135"/>
      <c r="Q1205" s="135"/>
      <c r="R1205" s="135"/>
      <c r="S1205" s="135"/>
      <c r="T1205" s="135"/>
      <c r="U1205" s="135"/>
      <c r="V1205" s="135"/>
      <c r="W1205" s="135"/>
      <c r="X1205" s="135"/>
      <c r="Y1205" s="135"/>
      <c r="Z1205" s="135"/>
      <c r="AA1205" s="135"/>
      <c r="AB1205" s="135"/>
      <c r="AC1205" s="135"/>
      <c r="AD1205" s="135"/>
      <c r="AE1205" s="135"/>
      <c r="AF1205" s="135"/>
      <c r="AG1205" s="135"/>
      <c r="AH1205" s="135"/>
      <c r="AI1205" s="135"/>
      <c r="AJ1205" s="135"/>
      <c r="AK1205" s="135"/>
      <c r="AL1205" s="135"/>
      <c r="AM1205" s="135"/>
      <c r="AN1205" s="135"/>
      <c r="AO1205" s="135"/>
      <c r="AP1205" s="135"/>
      <c r="AQ1205" s="135"/>
      <c r="AR1205" s="135"/>
      <c r="AS1205" s="135"/>
      <c r="AT1205" s="135"/>
      <c r="AU1205" s="135"/>
    </row>
    <row r="1206" spans="1:47" x14ac:dyDescent="0.2">
      <c r="A1206" s="174"/>
      <c r="B1206" s="175"/>
      <c r="C1206" s="176"/>
      <c r="D1206" s="177"/>
      <c r="E1206" s="178"/>
      <c r="F1206" s="178"/>
      <c r="G1206" s="183"/>
      <c r="H1206" s="361"/>
      <c r="I1206" s="363" t="s">
        <v>1550</v>
      </c>
      <c r="J1206" s="323" t="s">
        <v>1088</v>
      </c>
      <c r="K1206" s="334">
        <v>1110444</v>
      </c>
      <c r="L1206" s="176"/>
      <c r="M1206" s="183"/>
      <c r="N1206" s="135"/>
      <c r="O1206" s="135"/>
      <c r="P1206" s="135"/>
      <c r="Q1206" s="135"/>
      <c r="R1206" s="135"/>
      <c r="S1206" s="135"/>
      <c r="T1206" s="135"/>
      <c r="U1206" s="135"/>
      <c r="V1206" s="135"/>
      <c r="W1206" s="135"/>
      <c r="X1206" s="135"/>
      <c r="Y1206" s="135"/>
      <c r="Z1206" s="135"/>
      <c r="AA1206" s="135"/>
      <c r="AB1206" s="135"/>
      <c r="AC1206" s="135"/>
      <c r="AD1206" s="135"/>
      <c r="AE1206" s="135"/>
      <c r="AF1206" s="135"/>
      <c r="AG1206" s="135"/>
      <c r="AH1206" s="135"/>
      <c r="AI1206" s="135"/>
      <c r="AJ1206" s="135"/>
      <c r="AK1206" s="135"/>
      <c r="AL1206" s="135"/>
      <c r="AM1206" s="135"/>
      <c r="AN1206" s="135"/>
      <c r="AO1206" s="135"/>
      <c r="AP1206" s="135"/>
      <c r="AQ1206" s="135"/>
      <c r="AR1206" s="135"/>
      <c r="AS1206" s="135"/>
      <c r="AT1206" s="135"/>
      <c r="AU1206" s="135"/>
    </row>
    <row r="1207" spans="1:47" x14ac:dyDescent="0.2">
      <c r="A1207" s="174"/>
      <c r="B1207" s="175"/>
      <c r="C1207" s="176"/>
      <c r="D1207" s="177"/>
      <c r="E1207" s="178"/>
      <c r="F1207" s="178"/>
      <c r="G1207" s="183"/>
      <c r="H1207" s="361"/>
      <c r="I1207" s="364" t="s">
        <v>1551</v>
      </c>
      <c r="J1207" s="206" t="s">
        <v>1088</v>
      </c>
      <c r="K1207" s="213">
        <v>1110444</v>
      </c>
      <c r="L1207" s="176"/>
      <c r="M1207" s="183"/>
      <c r="N1207" s="135"/>
      <c r="O1207" s="135"/>
      <c r="P1207" s="135"/>
      <c r="Q1207" s="135"/>
      <c r="R1207" s="135"/>
      <c r="S1207" s="135"/>
      <c r="T1207" s="135"/>
      <c r="U1207" s="135"/>
      <c r="V1207" s="135"/>
      <c r="W1207" s="135"/>
      <c r="X1207" s="135"/>
      <c r="Y1207" s="135"/>
      <c r="Z1207" s="135"/>
      <c r="AA1207" s="135"/>
      <c r="AB1207" s="135"/>
      <c r="AC1207" s="135"/>
      <c r="AD1207" s="135"/>
      <c r="AE1207" s="135"/>
      <c r="AF1207" s="135"/>
      <c r="AG1207" s="135"/>
      <c r="AH1207" s="135"/>
      <c r="AI1207" s="135"/>
      <c r="AJ1207" s="135"/>
      <c r="AK1207" s="135"/>
      <c r="AL1207" s="135"/>
      <c r="AM1207" s="135"/>
      <c r="AN1207" s="135"/>
      <c r="AO1207" s="135"/>
      <c r="AP1207" s="135"/>
      <c r="AQ1207" s="135"/>
      <c r="AR1207" s="135"/>
      <c r="AS1207" s="135"/>
      <c r="AT1207" s="135"/>
      <c r="AU1207" s="135"/>
    </row>
    <row r="1208" spans="1:47" x14ac:dyDescent="0.2">
      <c r="A1208" s="174"/>
      <c r="B1208" s="175"/>
      <c r="C1208" s="176"/>
      <c r="D1208" s="177"/>
      <c r="E1208" s="178"/>
      <c r="F1208" s="178"/>
      <c r="G1208" s="183"/>
      <c r="H1208" s="361"/>
      <c r="I1208" s="365" t="s">
        <v>1552</v>
      </c>
      <c r="J1208" s="323" t="s">
        <v>1088</v>
      </c>
      <c r="K1208" s="198">
        <v>1110444</v>
      </c>
      <c r="L1208" s="176"/>
      <c r="M1208" s="183"/>
      <c r="N1208" s="135"/>
      <c r="O1208" s="135"/>
      <c r="P1208" s="135"/>
      <c r="Q1208" s="135"/>
      <c r="R1208" s="135"/>
      <c r="S1208" s="135"/>
      <c r="T1208" s="135"/>
      <c r="U1208" s="135"/>
      <c r="V1208" s="135"/>
      <c r="W1208" s="135"/>
      <c r="X1208" s="135"/>
      <c r="Y1208" s="135"/>
      <c r="Z1208" s="135"/>
      <c r="AA1208" s="135"/>
      <c r="AB1208" s="135"/>
      <c r="AC1208" s="135"/>
      <c r="AD1208" s="135"/>
      <c r="AE1208" s="135"/>
      <c r="AF1208" s="135"/>
      <c r="AG1208" s="135"/>
      <c r="AH1208" s="135"/>
      <c r="AI1208" s="135"/>
      <c r="AJ1208" s="135"/>
      <c r="AK1208" s="135"/>
      <c r="AL1208" s="135"/>
      <c r="AM1208" s="135"/>
      <c r="AN1208" s="135"/>
      <c r="AO1208" s="135"/>
      <c r="AP1208" s="135"/>
      <c r="AQ1208" s="135"/>
      <c r="AR1208" s="135"/>
      <c r="AS1208" s="135"/>
      <c r="AT1208" s="135"/>
      <c r="AU1208" s="135"/>
    </row>
    <row r="1209" spans="1:47" x14ac:dyDescent="0.2">
      <c r="A1209" s="174"/>
      <c r="B1209" s="175"/>
      <c r="C1209" s="176"/>
      <c r="D1209" s="177"/>
      <c r="E1209" s="178"/>
      <c r="F1209" s="178"/>
      <c r="G1209" s="183"/>
      <c r="H1209" s="361"/>
      <c r="I1209" s="362" t="s">
        <v>1553</v>
      </c>
      <c r="J1209" s="206" t="s">
        <v>1088</v>
      </c>
      <c r="K1209" s="213">
        <v>1110444</v>
      </c>
      <c r="L1209" s="176"/>
      <c r="M1209" s="183"/>
      <c r="N1209" s="135"/>
      <c r="O1209" s="135"/>
      <c r="P1209" s="135"/>
      <c r="Q1209" s="135"/>
      <c r="R1209" s="135"/>
      <c r="S1209" s="135"/>
      <c r="T1209" s="135"/>
      <c r="U1209" s="135"/>
      <c r="V1209" s="135"/>
      <c r="W1209" s="135"/>
      <c r="X1209" s="135"/>
      <c r="Y1209" s="135"/>
      <c r="Z1209" s="135"/>
      <c r="AA1209" s="135"/>
      <c r="AB1209" s="135"/>
      <c r="AC1209" s="135"/>
      <c r="AD1209" s="135"/>
      <c r="AE1209" s="135"/>
      <c r="AF1209" s="135"/>
      <c r="AG1209" s="135"/>
      <c r="AH1209" s="135"/>
      <c r="AI1209" s="135"/>
      <c r="AJ1209" s="135"/>
      <c r="AK1209" s="135"/>
      <c r="AL1209" s="135"/>
      <c r="AM1209" s="135"/>
      <c r="AN1209" s="135"/>
      <c r="AO1209" s="135"/>
      <c r="AP1209" s="135"/>
      <c r="AQ1209" s="135"/>
      <c r="AR1209" s="135"/>
      <c r="AS1209" s="135"/>
      <c r="AT1209" s="135"/>
      <c r="AU1209" s="135"/>
    </row>
    <row r="1210" spans="1:47" x14ac:dyDescent="0.2">
      <c r="A1210" s="187"/>
      <c r="B1210" s="188"/>
      <c r="C1210" s="189"/>
      <c r="D1210" s="190"/>
      <c r="E1210" s="191"/>
      <c r="F1210" s="191"/>
      <c r="G1210" s="196"/>
      <c r="H1210" s="366"/>
      <c r="I1210" s="367"/>
      <c r="J1210" s="215"/>
      <c r="K1210" s="319">
        <f>SUM(K1204:K1209)</f>
        <v>6662664</v>
      </c>
      <c r="L1210" s="189"/>
      <c r="M1210" s="196"/>
      <c r="N1210" s="135"/>
      <c r="O1210" s="135"/>
      <c r="P1210" s="135"/>
      <c r="Q1210" s="135"/>
      <c r="R1210" s="135"/>
      <c r="S1210" s="135"/>
      <c r="T1210" s="135"/>
      <c r="U1210" s="135"/>
      <c r="V1210" s="135"/>
      <c r="W1210" s="135"/>
      <c r="X1210" s="135"/>
      <c r="Y1210" s="135"/>
      <c r="Z1210" s="135"/>
      <c r="AA1210" s="135"/>
      <c r="AB1210" s="135"/>
      <c r="AC1210" s="135"/>
      <c r="AD1210" s="135"/>
      <c r="AE1210" s="135"/>
      <c r="AF1210" s="135"/>
      <c r="AG1210" s="135"/>
      <c r="AH1210" s="135"/>
      <c r="AI1210" s="135"/>
      <c r="AJ1210" s="135"/>
      <c r="AK1210" s="135"/>
      <c r="AL1210" s="135"/>
      <c r="AM1210" s="135"/>
      <c r="AN1210" s="135"/>
      <c r="AO1210" s="135"/>
      <c r="AP1210" s="135"/>
      <c r="AQ1210" s="135"/>
      <c r="AR1210" s="135"/>
      <c r="AS1210" s="135"/>
      <c r="AT1210" s="135"/>
      <c r="AU1210" s="135"/>
    </row>
    <row r="1211" spans="1:47" ht="24" customHeight="1" x14ac:dyDescent="0.2">
      <c r="A1211" s="174">
        <v>263</v>
      </c>
      <c r="B1211" s="164" t="s">
        <v>1554</v>
      </c>
      <c r="C1211" s="165"/>
      <c r="D1211" s="166" t="s">
        <v>25</v>
      </c>
      <c r="E1211" s="167"/>
      <c r="F1211" s="167" t="s">
        <v>868</v>
      </c>
      <c r="G1211" s="172" t="s">
        <v>1555</v>
      </c>
      <c r="H1211" s="368" t="s">
        <v>546</v>
      </c>
      <c r="I1211" s="217" t="s">
        <v>1556</v>
      </c>
      <c r="J1211" s="220" t="s">
        <v>1088</v>
      </c>
      <c r="K1211" s="278">
        <v>43750</v>
      </c>
      <c r="L1211" s="165" t="s">
        <v>1555</v>
      </c>
      <c r="M1211" s="169" t="s">
        <v>1557</v>
      </c>
      <c r="N1211" s="135"/>
      <c r="O1211" s="135"/>
      <c r="P1211" s="135"/>
      <c r="Q1211" s="135"/>
      <c r="R1211" s="135"/>
      <c r="S1211" s="135"/>
      <c r="T1211" s="135"/>
      <c r="U1211" s="135"/>
      <c r="V1211" s="135"/>
      <c r="W1211" s="135"/>
      <c r="X1211" s="135"/>
      <c r="Y1211" s="135"/>
      <c r="Z1211" s="135"/>
      <c r="AA1211" s="135"/>
      <c r="AB1211" s="135"/>
      <c r="AC1211" s="135"/>
      <c r="AD1211" s="135"/>
      <c r="AE1211" s="135"/>
      <c r="AF1211" s="135"/>
      <c r="AG1211" s="135"/>
      <c r="AH1211" s="135"/>
      <c r="AI1211" s="135"/>
      <c r="AJ1211" s="135"/>
      <c r="AK1211" s="135"/>
      <c r="AL1211" s="135"/>
      <c r="AM1211" s="135"/>
      <c r="AN1211" s="135"/>
      <c r="AO1211" s="135"/>
      <c r="AP1211" s="135"/>
      <c r="AQ1211" s="135"/>
      <c r="AR1211" s="135"/>
      <c r="AS1211" s="135"/>
      <c r="AT1211" s="135"/>
      <c r="AU1211" s="135"/>
    </row>
    <row r="1212" spans="1:47" x14ac:dyDescent="0.2">
      <c r="A1212" s="174"/>
      <c r="B1212" s="175"/>
      <c r="C1212" s="176"/>
      <c r="D1212" s="177"/>
      <c r="E1212" s="178"/>
      <c r="F1212" s="178"/>
      <c r="G1212" s="183"/>
      <c r="H1212" s="369"/>
      <c r="I1212" s="168" t="s">
        <v>1558</v>
      </c>
      <c r="J1212" s="169" t="s">
        <v>1088</v>
      </c>
      <c r="K1212" s="213">
        <v>43750</v>
      </c>
      <c r="L1212" s="176"/>
      <c r="M1212" s="169"/>
      <c r="N1212" s="135"/>
      <c r="O1212" s="135"/>
      <c r="P1212" s="135"/>
      <c r="Q1212" s="135"/>
      <c r="R1212" s="135"/>
      <c r="S1212" s="135"/>
      <c r="T1212" s="135"/>
      <c r="U1212" s="135"/>
      <c r="V1212" s="135"/>
      <c r="W1212" s="135"/>
      <c r="X1212" s="135"/>
      <c r="Y1212" s="135"/>
      <c r="Z1212" s="135"/>
      <c r="AA1212" s="135"/>
      <c r="AB1212" s="135"/>
      <c r="AC1212" s="135"/>
      <c r="AD1212" s="135"/>
      <c r="AE1212" s="135"/>
      <c r="AF1212" s="135"/>
      <c r="AG1212" s="135"/>
      <c r="AH1212" s="135"/>
      <c r="AI1212" s="135"/>
      <c r="AJ1212" s="135"/>
      <c r="AK1212" s="135"/>
      <c r="AL1212" s="135"/>
      <c r="AM1212" s="135"/>
      <c r="AN1212" s="135"/>
      <c r="AO1212" s="135"/>
      <c r="AP1212" s="135"/>
      <c r="AQ1212" s="135"/>
      <c r="AR1212" s="135"/>
      <c r="AS1212" s="135"/>
      <c r="AT1212" s="135"/>
      <c r="AU1212" s="135"/>
    </row>
    <row r="1213" spans="1:47" x14ac:dyDescent="0.2">
      <c r="A1213" s="174"/>
      <c r="B1213" s="175"/>
      <c r="C1213" s="176"/>
      <c r="D1213" s="177"/>
      <c r="E1213" s="178"/>
      <c r="F1213" s="178"/>
      <c r="G1213" s="183"/>
      <c r="H1213" s="369"/>
      <c r="I1213" s="179" t="s">
        <v>1559</v>
      </c>
      <c r="J1213" s="223" t="s">
        <v>1088</v>
      </c>
      <c r="K1213" s="334">
        <v>43750</v>
      </c>
      <c r="L1213" s="176"/>
      <c r="M1213" s="169"/>
      <c r="N1213" s="135"/>
      <c r="O1213" s="135"/>
      <c r="P1213" s="135"/>
      <c r="Q1213" s="135"/>
      <c r="R1213" s="135"/>
      <c r="S1213" s="135"/>
      <c r="T1213" s="135"/>
      <c r="U1213" s="135"/>
      <c r="V1213" s="135"/>
      <c r="W1213" s="135"/>
      <c r="X1213" s="135"/>
      <c r="Y1213" s="135"/>
      <c r="Z1213" s="135"/>
      <c r="AA1213" s="135"/>
      <c r="AB1213" s="135"/>
      <c r="AC1213" s="135"/>
      <c r="AD1213" s="135"/>
      <c r="AE1213" s="135"/>
      <c r="AF1213" s="135"/>
      <c r="AG1213" s="135"/>
      <c r="AH1213" s="135"/>
      <c r="AI1213" s="135"/>
      <c r="AJ1213" s="135"/>
      <c r="AK1213" s="135"/>
      <c r="AL1213" s="135"/>
      <c r="AM1213" s="135"/>
      <c r="AN1213" s="135"/>
      <c r="AO1213" s="135"/>
      <c r="AP1213" s="135"/>
      <c r="AQ1213" s="135"/>
      <c r="AR1213" s="135"/>
      <c r="AS1213" s="135"/>
      <c r="AT1213" s="135"/>
      <c r="AU1213" s="135"/>
    </row>
    <row r="1214" spans="1:47" x14ac:dyDescent="0.2">
      <c r="A1214" s="174"/>
      <c r="B1214" s="175"/>
      <c r="C1214" s="176"/>
      <c r="D1214" s="177"/>
      <c r="E1214" s="178"/>
      <c r="F1214" s="178"/>
      <c r="G1214" s="183"/>
      <c r="H1214" s="369"/>
      <c r="I1214" s="179" t="s">
        <v>1560</v>
      </c>
      <c r="J1214" s="223" t="s">
        <v>1088</v>
      </c>
      <c r="K1214" s="213">
        <v>43750</v>
      </c>
      <c r="L1214" s="176"/>
      <c r="M1214" s="169"/>
      <c r="N1214" s="135"/>
      <c r="O1214" s="135"/>
      <c r="P1214" s="135"/>
      <c r="Q1214" s="135"/>
      <c r="R1214" s="135"/>
      <c r="S1214" s="135"/>
      <c r="T1214" s="135"/>
      <c r="U1214" s="135"/>
      <c r="V1214" s="135"/>
      <c r="W1214" s="135"/>
      <c r="X1214" s="135"/>
      <c r="Y1214" s="135"/>
      <c r="Z1214" s="135"/>
      <c r="AA1214" s="135"/>
      <c r="AB1214" s="135"/>
      <c r="AC1214" s="135"/>
      <c r="AD1214" s="135"/>
      <c r="AE1214" s="135"/>
      <c r="AF1214" s="135"/>
      <c r="AG1214" s="135"/>
      <c r="AH1214" s="135"/>
      <c r="AI1214" s="135"/>
      <c r="AJ1214" s="135"/>
      <c r="AK1214" s="135"/>
      <c r="AL1214" s="135"/>
      <c r="AM1214" s="135"/>
      <c r="AN1214" s="135"/>
      <c r="AO1214" s="135"/>
      <c r="AP1214" s="135"/>
      <c r="AQ1214" s="135"/>
      <c r="AR1214" s="135"/>
      <c r="AS1214" s="135"/>
      <c r="AT1214" s="135"/>
      <c r="AU1214" s="135"/>
    </row>
    <row r="1215" spans="1:47" x14ac:dyDescent="0.2">
      <c r="A1215" s="174"/>
      <c r="B1215" s="175"/>
      <c r="C1215" s="176"/>
      <c r="D1215" s="177"/>
      <c r="E1215" s="178"/>
      <c r="F1215" s="178"/>
      <c r="G1215" s="183"/>
      <c r="H1215" s="369"/>
      <c r="I1215" s="186" t="s">
        <v>1561</v>
      </c>
      <c r="J1215" s="206" t="s">
        <v>1088</v>
      </c>
      <c r="K1215" s="213">
        <v>43750</v>
      </c>
      <c r="L1215" s="176"/>
      <c r="M1215" s="169"/>
      <c r="N1215" s="135"/>
      <c r="O1215" s="135"/>
      <c r="P1215" s="135"/>
      <c r="Q1215" s="135"/>
      <c r="R1215" s="135"/>
      <c r="S1215" s="135"/>
      <c r="T1215" s="135"/>
      <c r="U1215" s="135"/>
      <c r="V1215" s="135"/>
      <c r="W1215" s="135"/>
      <c r="X1215" s="135"/>
      <c r="Y1215" s="135"/>
      <c r="Z1215" s="135"/>
      <c r="AA1215" s="135"/>
      <c r="AB1215" s="135"/>
      <c r="AC1215" s="135"/>
      <c r="AD1215" s="135"/>
      <c r="AE1215" s="135"/>
      <c r="AF1215" s="135"/>
      <c r="AG1215" s="135"/>
      <c r="AH1215" s="135"/>
      <c r="AI1215" s="135"/>
      <c r="AJ1215" s="135"/>
      <c r="AK1215" s="135"/>
      <c r="AL1215" s="135"/>
      <c r="AM1215" s="135"/>
      <c r="AN1215" s="135"/>
      <c r="AO1215" s="135"/>
      <c r="AP1215" s="135"/>
      <c r="AQ1215" s="135"/>
      <c r="AR1215" s="135"/>
      <c r="AS1215" s="135"/>
      <c r="AT1215" s="135"/>
      <c r="AU1215" s="135"/>
    </row>
    <row r="1216" spans="1:47" x14ac:dyDescent="0.2">
      <c r="A1216" s="174"/>
      <c r="B1216" s="175"/>
      <c r="C1216" s="176"/>
      <c r="D1216" s="177"/>
      <c r="E1216" s="178"/>
      <c r="F1216" s="178"/>
      <c r="G1216" s="183"/>
      <c r="H1216" s="369"/>
      <c r="I1216" s="186" t="s">
        <v>1562</v>
      </c>
      <c r="J1216" s="169" t="s">
        <v>1088</v>
      </c>
      <c r="K1216" s="334">
        <v>43750</v>
      </c>
      <c r="L1216" s="176"/>
      <c r="M1216" s="169"/>
      <c r="N1216" s="135"/>
      <c r="O1216" s="135"/>
      <c r="P1216" s="135"/>
      <c r="Q1216" s="135"/>
      <c r="R1216" s="135"/>
      <c r="S1216" s="135"/>
      <c r="T1216" s="135"/>
      <c r="U1216" s="135"/>
      <c r="V1216" s="135"/>
      <c r="W1216" s="135"/>
      <c r="X1216" s="135"/>
      <c r="Y1216" s="135"/>
      <c r="Z1216" s="135"/>
      <c r="AA1216" s="135"/>
      <c r="AB1216" s="135"/>
      <c r="AC1216" s="135"/>
      <c r="AD1216" s="135"/>
      <c r="AE1216" s="135"/>
      <c r="AF1216" s="135"/>
      <c r="AG1216" s="135"/>
      <c r="AH1216" s="135"/>
      <c r="AI1216" s="135"/>
      <c r="AJ1216" s="135"/>
      <c r="AK1216" s="135"/>
      <c r="AL1216" s="135"/>
      <c r="AM1216" s="135"/>
      <c r="AN1216" s="135"/>
      <c r="AO1216" s="135"/>
      <c r="AP1216" s="135"/>
      <c r="AQ1216" s="135"/>
      <c r="AR1216" s="135"/>
      <c r="AS1216" s="135"/>
      <c r="AT1216" s="135"/>
      <c r="AU1216" s="135"/>
    </row>
    <row r="1217" spans="1:47" ht="48" x14ac:dyDescent="0.2">
      <c r="A1217" s="174"/>
      <c r="B1217" s="175"/>
      <c r="C1217" s="176"/>
      <c r="D1217" s="177"/>
      <c r="E1217" s="178"/>
      <c r="F1217" s="178"/>
      <c r="G1217" s="183"/>
      <c r="H1217" s="369"/>
      <c r="I1217" s="168" t="s">
        <v>1563</v>
      </c>
      <c r="J1217" s="206" t="s">
        <v>1088</v>
      </c>
      <c r="K1217" s="213">
        <v>43750</v>
      </c>
      <c r="L1217" s="176"/>
      <c r="M1217" s="169"/>
      <c r="N1217" s="135"/>
      <c r="O1217" s="135"/>
      <c r="P1217" s="135"/>
      <c r="Q1217" s="135"/>
      <c r="R1217" s="135"/>
      <c r="S1217" s="135"/>
      <c r="T1217" s="135"/>
      <c r="U1217" s="135"/>
      <c r="V1217" s="135"/>
      <c r="W1217" s="135"/>
      <c r="X1217" s="135"/>
      <c r="Y1217" s="135"/>
      <c r="Z1217" s="135"/>
      <c r="AA1217" s="135"/>
      <c r="AB1217" s="135"/>
      <c r="AC1217" s="135"/>
      <c r="AD1217" s="135"/>
      <c r="AE1217" s="135"/>
      <c r="AF1217" s="135"/>
      <c r="AG1217" s="135"/>
      <c r="AH1217" s="135"/>
      <c r="AI1217" s="135"/>
      <c r="AJ1217" s="135"/>
      <c r="AK1217" s="135"/>
      <c r="AL1217" s="135"/>
      <c r="AM1217" s="135"/>
      <c r="AN1217" s="135"/>
      <c r="AO1217" s="135"/>
      <c r="AP1217" s="135"/>
      <c r="AQ1217" s="135"/>
      <c r="AR1217" s="135"/>
      <c r="AS1217" s="135"/>
      <c r="AT1217" s="135"/>
      <c r="AU1217" s="135"/>
    </row>
    <row r="1218" spans="1:47" x14ac:dyDescent="0.2">
      <c r="A1218" s="174"/>
      <c r="B1218" s="175"/>
      <c r="C1218" s="176"/>
      <c r="D1218" s="177"/>
      <c r="E1218" s="178"/>
      <c r="F1218" s="178"/>
      <c r="G1218" s="183"/>
      <c r="H1218" s="369"/>
      <c r="I1218" s="179" t="s">
        <v>1564</v>
      </c>
      <c r="J1218" s="206" t="s">
        <v>1088</v>
      </c>
      <c r="K1218" s="334">
        <v>43750</v>
      </c>
      <c r="L1218" s="176"/>
      <c r="M1218" s="169"/>
      <c r="N1218" s="135"/>
      <c r="O1218" s="135"/>
      <c r="P1218" s="135"/>
      <c r="Q1218" s="135"/>
      <c r="R1218" s="135"/>
      <c r="S1218" s="135"/>
      <c r="T1218" s="135"/>
      <c r="U1218" s="135"/>
      <c r="V1218" s="135"/>
      <c r="W1218" s="135"/>
      <c r="X1218" s="135"/>
      <c r="Y1218" s="135"/>
      <c r="Z1218" s="135"/>
      <c r="AA1218" s="135"/>
      <c r="AB1218" s="135"/>
      <c r="AC1218" s="135"/>
      <c r="AD1218" s="135"/>
      <c r="AE1218" s="135"/>
      <c r="AF1218" s="135"/>
      <c r="AG1218" s="135"/>
      <c r="AH1218" s="135"/>
      <c r="AI1218" s="135"/>
      <c r="AJ1218" s="135"/>
      <c r="AK1218" s="135"/>
      <c r="AL1218" s="135"/>
      <c r="AM1218" s="135"/>
      <c r="AN1218" s="135"/>
      <c r="AO1218" s="135"/>
      <c r="AP1218" s="135"/>
      <c r="AQ1218" s="135"/>
      <c r="AR1218" s="135"/>
      <c r="AS1218" s="135"/>
      <c r="AT1218" s="135"/>
      <c r="AU1218" s="135"/>
    </row>
    <row r="1219" spans="1:47" x14ac:dyDescent="0.2">
      <c r="A1219" s="187"/>
      <c r="B1219" s="188"/>
      <c r="C1219" s="189"/>
      <c r="D1219" s="190"/>
      <c r="E1219" s="191"/>
      <c r="F1219" s="191"/>
      <c r="G1219" s="196"/>
      <c r="H1219" s="370"/>
      <c r="I1219" s="202"/>
      <c r="J1219" s="169"/>
      <c r="K1219" s="319">
        <f>SUM(K1211:K1218)</f>
        <v>350000</v>
      </c>
      <c r="L1219" s="189"/>
      <c r="M1219" s="169"/>
      <c r="N1219" s="135"/>
      <c r="O1219" s="135"/>
      <c r="P1219" s="135"/>
      <c r="Q1219" s="135"/>
      <c r="R1219" s="135"/>
      <c r="S1219" s="135"/>
      <c r="T1219" s="135"/>
      <c r="U1219" s="135"/>
      <c r="V1219" s="135"/>
      <c r="W1219" s="135"/>
      <c r="X1219" s="135"/>
      <c r="Y1219" s="135"/>
      <c r="Z1219" s="135"/>
      <c r="AA1219" s="135"/>
      <c r="AB1219" s="135"/>
      <c r="AC1219" s="135"/>
      <c r="AD1219" s="135"/>
      <c r="AE1219" s="135"/>
      <c r="AF1219" s="135"/>
      <c r="AG1219" s="135"/>
      <c r="AH1219" s="135"/>
      <c r="AI1219" s="135"/>
      <c r="AJ1219" s="135"/>
      <c r="AK1219" s="135"/>
      <c r="AL1219" s="135"/>
      <c r="AM1219" s="135"/>
      <c r="AN1219" s="135"/>
      <c r="AO1219" s="135"/>
      <c r="AP1219" s="135"/>
      <c r="AQ1219" s="135"/>
      <c r="AR1219" s="135"/>
      <c r="AS1219" s="135"/>
      <c r="AT1219" s="135"/>
      <c r="AU1219" s="135"/>
    </row>
    <row r="1220" spans="1:47" ht="24" customHeight="1" x14ac:dyDescent="0.2">
      <c r="A1220" s="163">
        <v>264</v>
      </c>
      <c r="B1220" s="164" t="s">
        <v>1565</v>
      </c>
      <c r="C1220" s="165"/>
      <c r="D1220" s="166" t="s">
        <v>107</v>
      </c>
      <c r="E1220" s="167"/>
      <c r="F1220" s="167"/>
      <c r="G1220" s="166"/>
      <c r="H1220" s="301" t="s">
        <v>137</v>
      </c>
      <c r="I1220" s="217" t="s">
        <v>1566</v>
      </c>
      <c r="J1220" s="355" t="s">
        <v>777</v>
      </c>
      <c r="K1220" s="278">
        <f>7700*50%</f>
        <v>3850</v>
      </c>
      <c r="L1220" s="165" t="s">
        <v>111</v>
      </c>
      <c r="M1220" s="172" t="s">
        <v>1567</v>
      </c>
      <c r="N1220" s="135"/>
      <c r="O1220" s="135"/>
      <c r="P1220" s="135"/>
      <c r="Q1220" s="135"/>
      <c r="R1220" s="135"/>
      <c r="S1220" s="135"/>
      <c r="T1220" s="135"/>
      <c r="U1220" s="135"/>
      <c r="V1220" s="135"/>
      <c r="W1220" s="135"/>
      <c r="X1220" s="135"/>
      <c r="Y1220" s="135"/>
      <c r="Z1220" s="135"/>
      <c r="AA1220" s="135"/>
      <c r="AB1220" s="135"/>
      <c r="AC1220" s="135"/>
      <c r="AD1220" s="135"/>
      <c r="AE1220" s="135"/>
      <c r="AF1220" s="135"/>
      <c r="AG1220" s="135"/>
      <c r="AH1220" s="135"/>
      <c r="AI1220" s="135"/>
      <c r="AJ1220" s="135"/>
      <c r="AK1220" s="135"/>
      <c r="AL1220" s="135"/>
      <c r="AM1220" s="135"/>
      <c r="AN1220" s="135"/>
      <c r="AO1220" s="135"/>
      <c r="AP1220" s="135"/>
      <c r="AQ1220" s="135"/>
      <c r="AR1220" s="135"/>
      <c r="AS1220" s="135"/>
      <c r="AT1220" s="135"/>
      <c r="AU1220" s="135"/>
    </row>
    <row r="1221" spans="1:47" x14ac:dyDescent="0.2">
      <c r="A1221" s="174"/>
      <c r="B1221" s="175"/>
      <c r="C1221" s="176"/>
      <c r="D1221" s="177"/>
      <c r="E1221" s="178"/>
      <c r="F1221" s="178"/>
      <c r="G1221" s="177"/>
      <c r="H1221" s="303"/>
      <c r="I1221" s="186" t="s">
        <v>1568</v>
      </c>
      <c r="J1221" s="348" t="s">
        <v>777</v>
      </c>
      <c r="K1221" s="213">
        <f>7700*25%</f>
        <v>1925</v>
      </c>
      <c r="L1221" s="176"/>
      <c r="M1221" s="183"/>
      <c r="N1221" s="135"/>
      <c r="O1221" s="135"/>
      <c r="P1221" s="135"/>
      <c r="Q1221" s="135"/>
      <c r="R1221" s="135"/>
      <c r="S1221" s="135"/>
      <c r="T1221" s="135"/>
      <c r="U1221" s="135"/>
      <c r="V1221" s="135"/>
      <c r="W1221" s="135"/>
      <c r="X1221" s="135"/>
      <c r="Y1221" s="135"/>
      <c r="Z1221" s="135"/>
      <c r="AA1221" s="135"/>
      <c r="AB1221" s="135"/>
      <c r="AC1221" s="135"/>
      <c r="AD1221" s="135"/>
      <c r="AE1221" s="135"/>
      <c r="AF1221" s="135"/>
      <c r="AG1221" s="135"/>
      <c r="AH1221" s="135"/>
      <c r="AI1221" s="135"/>
      <c r="AJ1221" s="135"/>
      <c r="AK1221" s="135"/>
      <c r="AL1221" s="135"/>
      <c r="AM1221" s="135"/>
      <c r="AN1221" s="135"/>
      <c r="AO1221" s="135"/>
      <c r="AP1221" s="135"/>
      <c r="AQ1221" s="135"/>
      <c r="AR1221" s="135"/>
      <c r="AS1221" s="135"/>
      <c r="AT1221" s="135"/>
      <c r="AU1221" s="135"/>
    </row>
    <row r="1222" spans="1:47" x14ac:dyDescent="0.2">
      <c r="A1222" s="174"/>
      <c r="B1222" s="175"/>
      <c r="C1222" s="176"/>
      <c r="D1222" s="177"/>
      <c r="E1222" s="178"/>
      <c r="F1222" s="178"/>
      <c r="G1222" s="177"/>
      <c r="H1222" s="303"/>
      <c r="I1222" s="186" t="s">
        <v>1569</v>
      </c>
      <c r="J1222" s="348" t="s">
        <v>777</v>
      </c>
      <c r="K1222" s="213">
        <f>7700*25%</f>
        <v>1925</v>
      </c>
      <c r="L1222" s="176"/>
      <c r="M1222" s="183"/>
      <c r="N1222" s="135"/>
      <c r="O1222" s="135"/>
      <c r="P1222" s="135"/>
      <c r="Q1222" s="135"/>
      <c r="R1222" s="135"/>
      <c r="S1222" s="135"/>
      <c r="T1222" s="135"/>
      <c r="U1222" s="135"/>
      <c r="V1222" s="135"/>
      <c r="W1222" s="135"/>
      <c r="X1222" s="135"/>
      <c r="Y1222" s="135"/>
      <c r="Z1222" s="135"/>
      <c r="AA1222" s="135"/>
      <c r="AB1222" s="135"/>
      <c r="AC1222" s="135"/>
      <c r="AD1222" s="135"/>
      <c r="AE1222" s="135"/>
      <c r="AF1222" s="135"/>
      <c r="AG1222" s="135"/>
      <c r="AH1222" s="135"/>
      <c r="AI1222" s="135"/>
      <c r="AJ1222" s="135"/>
      <c r="AK1222" s="135"/>
      <c r="AL1222" s="135"/>
      <c r="AM1222" s="135"/>
      <c r="AN1222" s="135"/>
      <c r="AO1222" s="135"/>
      <c r="AP1222" s="135"/>
      <c r="AQ1222" s="135"/>
      <c r="AR1222" s="135"/>
      <c r="AS1222" s="135"/>
      <c r="AT1222" s="135"/>
      <c r="AU1222" s="135"/>
    </row>
    <row r="1223" spans="1:47" x14ac:dyDescent="0.2">
      <c r="A1223" s="187"/>
      <c r="B1223" s="188"/>
      <c r="C1223" s="189"/>
      <c r="D1223" s="190"/>
      <c r="E1223" s="191"/>
      <c r="F1223" s="191"/>
      <c r="G1223" s="190"/>
      <c r="H1223" s="304"/>
      <c r="I1223" s="202"/>
      <c r="J1223" s="349"/>
      <c r="K1223" s="319">
        <f>SUM(K1220:K1222)</f>
        <v>7700</v>
      </c>
      <c r="L1223" s="189"/>
      <c r="M1223" s="196"/>
      <c r="N1223" s="135"/>
      <c r="O1223" s="135"/>
      <c r="P1223" s="135"/>
      <c r="Q1223" s="135"/>
      <c r="R1223" s="135"/>
      <c r="S1223" s="135"/>
      <c r="T1223" s="135"/>
      <c r="U1223" s="135"/>
      <c r="V1223" s="135"/>
      <c r="W1223" s="135"/>
      <c r="X1223" s="135"/>
      <c r="Y1223" s="135"/>
      <c r="Z1223" s="135"/>
      <c r="AA1223" s="135"/>
      <c r="AB1223" s="135"/>
      <c r="AC1223" s="135"/>
      <c r="AD1223" s="135"/>
      <c r="AE1223" s="135"/>
      <c r="AF1223" s="135"/>
      <c r="AG1223" s="135"/>
      <c r="AH1223" s="135"/>
      <c r="AI1223" s="135"/>
      <c r="AJ1223" s="135"/>
      <c r="AK1223" s="135"/>
      <c r="AL1223" s="135"/>
      <c r="AM1223" s="135"/>
      <c r="AN1223" s="135"/>
      <c r="AO1223" s="135"/>
      <c r="AP1223" s="135"/>
      <c r="AQ1223" s="135"/>
      <c r="AR1223" s="135"/>
      <c r="AS1223" s="135"/>
      <c r="AT1223" s="135"/>
      <c r="AU1223" s="135"/>
    </row>
    <row r="1224" spans="1:47" ht="24" customHeight="1" x14ac:dyDescent="0.2">
      <c r="A1224" s="163">
        <v>265</v>
      </c>
      <c r="B1224" s="164" t="s">
        <v>1570</v>
      </c>
      <c r="C1224" s="165"/>
      <c r="D1224" s="166" t="s">
        <v>107</v>
      </c>
      <c r="E1224" s="167"/>
      <c r="F1224" s="167"/>
      <c r="G1224" s="166"/>
      <c r="H1224" s="301" t="s">
        <v>137</v>
      </c>
      <c r="I1224" s="217" t="s">
        <v>1571</v>
      </c>
      <c r="J1224" s="355" t="s">
        <v>777</v>
      </c>
      <c r="K1224" s="278">
        <f>7700*70%</f>
        <v>5390</v>
      </c>
      <c r="L1224" s="165" t="s">
        <v>111</v>
      </c>
      <c r="M1224" s="172" t="s">
        <v>1572</v>
      </c>
      <c r="N1224" s="135"/>
      <c r="O1224" s="135"/>
      <c r="P1224" s="135"/>
      <c r="Q1224" s="135"/>
      <c r="R1224" s="135"/>
      <c r="S1224" s="135"/>
      <c r="T1224" s="135"/>
      <c r="U1224" s="135"/>
      <c r="V1224" s="135"/>
      <c r="W1224" s="135"/>
      <c r="X1224" s="135"/>
      <c r="Y1224" s="135"/>
      <c r="Z1224" s="135"/>
      <c r="AA1224" s="135"/>
      <c r="AB1224" s="135"/>
      <c r="AC1224" s="135"/>
      <c r="AD1224" s="135"/>
      <c r="AE1224" s="135"/>
      <c r="AF1224" s="135"/>
      <c r="AG1224" s="135"/>
      <c r="AH1224" s="135"/>
      <c r="AI1224" s="135"/>
      <c r="AJ1224" s="135"/>
      <c r="AK1224" s="135"/>
      <c r="AL1224" s="135"/>
      <c r="AM1224" s="135"/>
      <c r="AN1224" s="135"/>
      <c r="AO1224" s="135"/>
      <c r="AP1224" s="135"/>
      <c r="AQ1224" s="135"/>
      <c r="AR1224" s="135"/>
      <c r="AS1224" s="135"/>
      <c r="AT1224" s="135"/>
      <c r="AU1224" s="135"/>
    </row>
    <row r="1225" spans="1:47" x14ac:dyDescent="0.2">
      <c r="A1225" s="174"/>
      <c r="B1225" s="175"/>
      <c r="C1225" s="176"/>
      <c r="D1225" s="177"/>
      <c r="E1225" s="178"/>
      <c r="F1225" s="178"/>
      <c r="G1225" s="177"/>
      <c r="H1225" s="303"/>
      <c r="I1225" s="186" t="s">
        <v>1573</v>
      </c>
      <c r="J1225" s="348" t="s">
        <v>777</v>
      </c>
      <c r="K1225" s="213">
        <f>7700*20%</f>
        <v>1540</v>
      </c>
      <c r="L1225" s="176"/>
      <c r="M1225" s="183"/>
      <c r="N1225" s="135"/>
      <c r="O1225" s="135"/>
      <c r="P1225" s="135"/>
      <c r="Q1225" s="135"/>
      <c r="R1225" s="135"/>
      <c r="S1225" s="135"/>
      <c r="T1225" s="135"/>
      <c r="U1225" s="135"/>
      <c r="V1225" s="135"/>
      <c r="W1225" s="135"/>
      <c r="X1225" s="135"/>
      <c r="Y1225" s="135"/>
      <c r="Z1225" s="135"/>
      <c r="AA1225" s="135"/>
      <c r="AB1225" s="135"/>
      <c r="AC1225" s="135"/>
      <c r="AD1225" s="135"/>
      <c r="AE1225" s="135"/>
      <c r="AF1225" s="135"/>
      <c r="AG1225" s="135"/>
      <c r="AH1225" s="135"/>
      <c r="AI1225" s="135"/>
      <c r="AJ1225" s="135"/>
      <c r="AK1225" s="135"/>
      <c r="AL1225" s="135"/>
      <c r="AM1225" s="135"/>
      <c r="AN1225" s="135"/>
      <c r="AO1225" s="135"/>
      <c r="AP1225" s="135"/>
      <c r="AQ1225" s="135"/>
      <c r="AR1225" s="135"/>
      <c r="AS1225" s="135"/>
      <c r="AT1225" s="135"/>
      <c r="AU1225" s="135"/>
    </row>
    <row r="1226" spans="1:47" x14ac:dyDescent="0.2">
      <c r="A1226" s="174"/>
      <c r="B1226" s="175"/>
      <c r="C1226" s="176"/>
      <c r="D1226" s="177"/>
      <c r="E1226" s="178"/>
      <c r="F1226" s="178"/>
      <c r="G1226" s="177"/>
      <c r="H1226" s="303"/>
      <c r="I1226" s="186" t="s">
        <v>1574</v>
      </c>
      <c r="J1226" s="348" t="s">
        <v>777</v>
      </c>
      <c r="K1226" s="213">
        <f>7700*10%</f>
        <v>770</v>
      </c>
      <c r="L1226" s="176"/>
      <c r="M1226" s="183"/>
      <c r="N1226" s="135"/>
      <c r="O1226" s="135"/>
      <c r="P1226" s="135"/>
      <c r="Q1226" s="135"/>
      <c r="R1226" s="135"/>
      <c r="S1226" s="135"/>
      <c r="T1226" s="135"/>
      <c r="U1226" s="135"/>
      <c r="V1226" s="135"/>
      <c r="W1226" s="135"/>
      <c r="X1226" s="135"/>
      <c r="Y1226" s="135"/>
      <c r="Z1226" s="135"/>
      <c r="AA1226" s="135"/>
      <c r="AB1226" s="135"/>
      <c r="AC1226" s="135"/>
      <c r="AD1226" s="135"/>
      <c r="AE1226" s="135"/>
      <c r="AF1226" s="135"/>
      <c r="AG1226" s="135"/>
      <c r="AH1226" s="135"/>
      <c r="AI1226" s="135"/>
      <c r="AJ1226" s="135"/>
      <c r="AK1226" s="135"/>
      <c r="AL1226" s="135"/>
      <c r="AM1226" s="135"/>
      <c r="AN1226" s="135"/>
      <c r="AO1226" s="135"/>
      <c r="AP1226" s="135"/>
      <c r="AQ1226" s="135"/>
      <c r="AR1226" s="135"/>
      <c r="AS1226" s="135"/>
      <c r="AT1226" s="135"/>
      <c r="AU1226" s="135"/>
    </row>
    <row r="1227" spans="1:47" x14ac:dyDescent="0.2">
      <c r="A1227" s="187"/>
      <c r="B1227" s="188"/>
      <c r="C1227" s="189"/>
      <c r="D1227" s="190"/>
      <c r="E1227" s="191"/>
      <c r="F1227" s="191"/>
      <c r="G1227" s="190"/>
      <c r="H1227" s="304"/>
      <c r="I1227" s="202"/>
      <c r="J1227" s="349"/>
      <c r="K1227" s="319">
        <f>SUM(K1224:K1226)</f>
        <v>7700</v>
      </c>
      <c r="L1227" s="189"/>
      <c r="M1227" s="196"/>
      <c r="N1227" s="135"/>
      <c r="O1227" s="135"/>
      <c r="P1227" s="135"/>
      <c r="Q1227" s="135"/>
      <c r="R1227" s="135"/>
      <c r="S1227" s="135"/>
      <c r="T1227" s="135"/>
      <c r="U1227" s="135"/>
      <c r="V1227" s="135"/>
      <c r="W1227" s="135"/>
      <c r="X1227" s="135"/>
      <c r="Y1227" s="135"/>
      <c r="Z1227" s="135"/>
      <c r="AA1227" s="135"/>
      <c r="AB1227" s="135"/>
      <c r="AC1227" s="135"/>
      <c r="AD1227" s="135"/>
      <c r="AE1227" s="135"/>
      <c r="AF1227" s="135"/>
      <c r="AG1227" s="135"/>
      <c r="AH1227" s="135"/>
      <c r="AI1227" s="135"/>
      <c r="AJ1227" s="135"/>
      <c r="AK1227" s="135"/>
      <c r="AL1227" s="135"/>
      <c r="AM1227" s="135"/>
      <c r="AN1227" s="135"/>
      <c r="AO1227" s="135"/>
      <c r="AP1227" s="135"/>
      <c r="AQ1227" s="135"/>
      <c r="AR1227" s="135"/>
      <c r="AS1227" s="135"/>
      <c r="AT1227" s="135"/>
      <c r="AU1227" s="135"/>
    </row>
    <row r="1228" spans="1:47" ht="24" customHeight="1" x14ac:dyDescent="0.2">
      <c r="A1228" s="163">
        <v>266</v>
      </c>
      <c r="B1228" s="164" t="s">
        <v>1575</v>
      </c>
      <c r="C1228" s="165"/>
      <c r="D1228" s="166" t="s">
        <v>107</v>
      </c>
      <c r="E1228" s="167"/>
      <c r="F1228" s="167"/>
      <c r="G1228" s="166"/>
      <c r="H1228" s="301"/>
      <c r="I1228" s="299" t="s">
        <v>1576</v>
      </c>
      <c r="J1228" s="347" t="s">
        <v>777</v>
      </c>
      <c r="K1228" s="270">
        <f>6300*50%</f>
        <v>3150</v>
      </c>
      <c r="L1228" s="165" t="s">
        <v>111</v>
      </c>
      <c r="M1228" s="172" t="s">
        <v>1577</v>
      </c>
      <c r="N1228" s="135"/>
      <c r="O1228" s="135"/>
      <c r="P1228" s="135"/>
      <c r="Q1228" s="135"/>
      <c r="R1228" s="135"/>
      <c r="S1228" s="135"/>
      <c r="T1228" s="135"/>
      <c r="U1228" s="135"/>
      <c r="V1228" s="135"/>
      <c r="W1228" s="135"/>
      <c r="X1228" s="135"/>
      <c r="Y1228" s="135"/>
      <c r="Z1228" s="135"/>
      <c r="AA1228" s="135"/>
      <c r="AB1228" s="135"/>
      <c r="AC1228" s="135"/>
      <c r="AD1228" s="135"/>
      <c r="AE1228" s="135"/>
      <c r="AF1228" s="135"/>
      <c r="AG1228" s="135"/>
      <c r="AH1228" s="135"/>
      <c r="AI1228" s="135"/>
      <c r="AJ1228" s="135"/>
      <c r="AK1228" s="135"/>
      <c r="AL1228" s="135"/>
      <c r="AM1228" s="135"/>
      <c r="AN1228" s="135"/>
      <c r="AO1228" s="135"/>
      <c r="AP1228" s="135"/>
      <c r="AQ1228" s="135"/>
      <c r="AR1228" s="135"/>
      <c r="AS1228" s="135"/>
      <c r="AT1228" s="135"/>
      <c r="AU1228" s="135"/>
    </row>
    <row r="1229" spans="1:47" x14ac:dyDescent="0.2">
      <c r="A1229" s="174"/>
      <c r="B1229" s="175"/>
      <c r="C1229" s="176"/>
      <c r="D1229" s="177"/>
      <c r="E1229" s="178"/>
      <c r="F1229" s="178"/>
      <c r="G1229" s="177"/>
      <c r="H1229" s="303"/>
      <c r="I1229" s="186" t="s">
        <v>1578</v>
      </c>
      <c r="J1229" s="348" t="s">
        <v>777</v>
      </c>
      <c r="K1229" s="213">
        <f>6300*25%</f>
        <v>1575</v>
      </c>
      <c r="L1229" s="176"/>
      <c r="M1229" s="183"/>
      <c r="N1229" s="135"/>
      <c r="O1229" s="135"/>
      <c r="P1229" s="135"/>
      <c r="Q1229" s="135"/>
      <c r="R1229" s="135"/>
      <c r="S1229" s="135"/>
      <c r="T1229" s="135"/>
      <c r="U1229" s="135"/>
      <c r="V1229" s="135"/>
      <c r="W1229" s="135"/>
      <c r="X1229" s="135"/>
      <c r="Y1229" s="135"/>
      <c r="Z1229" s="135"/>
      <c r="AA1229" s="135"/>
      <c r="AB1229" s="135"/>
      <c r="AC1229" s="135"/>
      <c r="AD1229" s="135"/>
      <c r="AE1229" s="135"/>
      <c r="AF1229" s="135"/>
      <c r="AG1229" s="135"/>
      <c r="AH1229" s="135"/>
      <c r="AI1229" s="135"/>
      <c r="AJ1229" s="135"/>
      <c r="AK1229" s="135"/>
      <c r="AL1229" s="135"/>
      <c r="AM1229" s="135"/>
      <c r="AN1229" s="135"/>
      <c r="AO1229" s="135"/>
      <c r="AP1229" s="135"/>
      <c r="AQ1229" s="135"/>
      <c r="AR1229" s="135"/>
      <c r="AS1229" s="135"/>
      <c r="AT1229" s="135"/>
      <c r="AU1229" s="135"/>
    </row>
    <row r="1230" spans="1:47" x14ac:dyDescent="0.2">
      <c r="A1230" s="174"/>
      <c r="B1230" s="175"/>
      <c r="C1230" s="176"/>
      <c r="D1230" s="177"/>
      <c r="E1230" s="178"/>
      <c r="F1230" s="178"/>
      <c r="G1230" s="177"/>
      <c r="H1230" s="303"/>
      <c r="I1230" s="186" t="s">
        <v>1579</v>
      </c>
      <c r="J1230" s="348" t="s">
        <v>548</v>
      </c>
      <c r="K1230" s="213">
        <f>6300*25%</f>
        <v>1575</v>
      </c>
      <c r="L1230" s="176"/>
      <c r="M1230" s="183"/>
      <c r="N1230" s="135"/>
      <c r="O1230" s="135"/>
      <c r="P1230" s="135"/>
      <c r="Q1230" s="135"/>
      <c r="R1230" s="135"/>
      <c r="S1230" s="135"/>
      <c r="T1230" s="135"/>
      <c r="U1230" s="135"/>
      <c r="V1230" s="135"/>
      <c r="W1230" s="135"/>
      <c r="X1230" s="135"/>
      <c r="Y1230" s="135"/>
      <c r="Z1230" s="135"/>
      <c r="AA1230" s="135"/>
      <c r="AB1230" s="135"/>
      <c r="AC1230" s="135"/>
      <c r="AD1230" s="135"/>
      <c r="AE1230" s="135"/>
      <c r="AF1230" s="135"/>
      <c r="AG1230" s="135"/>
      <c r="AH1230" s="135"/>
      <c r="AI1230" s="135"/>
      <c r="AJ1230" s="135"/>
      <c r="AK1230" s="135"/>
      <c r="AL1230" s="135"/>
      <c r="AM1230" s="135"/>
      <c r="AN1230" s="135"/>
      <c r="AO1230" s="135"/>
      <c r="AP1230" s="135"/>
      <c r="AQ1230" s="135"/>
      <c r="AR1230" s="135"/>
      <c r="AS1230" s="135"/>
      <c r="AT1230" s="135"/>
      <c r="AU1230" s="135"/>
    </row>
    <row r="1231" spans="1:47" x14ac:dyDescent="0.2">
      <c r="A1231" s="187"/>
      <c r="B1231" s="188"/>
      <c r="C1231" s="189"/>
      <c r="D1231" s="190"/>
      <c r="E1231" s="191"/>
      <c r="F1231" s="191"/>
      <c r="G1231" s="190"/>
      <c r="H1231" s="304"/>
      <c r="I1231" s="179"/>
      <c r="J1231" s="356"/>
      <c r="K1231" s="198">
        <f>SUM(K1228:K1230)</f>
        <v>6300</v>
      </c>
      <c r="L1231" s="189"/>
      <c r="M1231" s="196"/>
      <c r="N1231" s="135"/>
      <c r="O1231" s="135"/>
      <c r="P1231" s="135"/>
      <c r="Q1231" s="135"/>
      <c r="R1231" s="135"/>
      <c r="S1231" s="135"/>
      <c r="T1231" s="135"/>
      <c r="U1231" s="135"/>
      <c r="V1231" s="135"/>
      <c r="W1231" s="135"/>
      <c r="X1231" s="135"/>
      <c r="Y1231" s="135"/>
      <c r="Z1231" s="135"/>
      <c r="AA1231" s="135"/>
      <c r="AB1231" s="135"/>
      <c r="AC1231" s="135"/>
      <c r="AD1231" s="135"/>
      <c r="AE1231" s="135"/>
      <c r="AF1231" s="135"/>
      <c r="AG1231" s="135"/>
      <c r="AH1231" s="135"/>
      <c r="AI1231" s="135"/>
      <c r="AJ1231" s="135"/>
      <c r="AK1231" s="135"/>
      <c r="AL1231" s="135"/>
      <c r="AM1231" s="135"/>
      <c r="AN1231" s="135"/>
      <c r="AO1231" s="135"/>
      <c r="AP1231" s="135"/>
      <c r="AQ1231" s="135"/>
      <c r="AR1231" s="135"/>
      <c r="AS1231" s="135"/>
      <c r="AT1231" s="135"/>
      <c r="AU1231" s="135"/>
    </row>
    <row r="1232" spans="1:47" ht="24" customHeight="1" x14ac:dyDescent="0.2">
      <c r="A1232" s="163">
        <v>267</v>
      </c>
      <c r="B1232" s="164" t="s">
        <v>1580</v>
      </c>
      <c r="C1232" s="165"/>
      <c r="D1232" s="166" t="s">
        <v>107</v>
      </c>
      <c r="E1232" s="167"/>
      <c r="F1232" s="167"/>
      <c r="G1232" s="166"/>
      <c r="H1232" s="301"/>
      <c r="I1232" s="217" t="s">
        <v>1581</v>
      </c>
      <c r="J1232" s="355" t="s">
        <v>777</v>
      </c>
      <c r="K1232" s="278">
        <f>7700*40%</f>
        <v>3080</v>
      </c>
      <c r="L1232" s="165" t="s">
        <v>111</v>
      </c>
      <c r="M1232" s="172" t="s">
        <v>1582</v>
      </c>
      <c r="N1232" s="135"/>
      <c r="O1232" s="135"/>
      <c r="P1232" s="135"/>
      <c r="Q1232" s="135"/>
      <c r="R1232" s="135"/>
      <c r="S1232" s="135"/>
      <c r="T1232" s="135"/>
      <c r="U1232" s="135"/>
      <c r="V1232" s="135"/>
      <c r="W1232" s="135"/>
      <c r="X1232" s="135"/>
      <c r="Y1232" s="135"/>
      <c r="Z1232" s="135"/>
      <c r="AA1232" s="135"/>
      <c r="AB1232" s="135"/>
      <c r="AC1232" s="135"/>
      <c r="AD1232" s="135"/>
      <c r="AE1232" s="135"/>
      <c r="AF1232" s="135"/>
      <c r="AG1232" s="135"/>
      <c r="AH1232" s="135"/>
      <c r="AI1232" s="135"/>
      <c r="AJ1232" s="135"/>
      <c r="AK1232" s="135"/>
      <c r="AL1232" s="135"/>
      <c r="AM1232" s="135"/>
      <c r="AN1232" s="135"/>
      <c r="AO1232" s="135"/>
      <c r="AP1232" s="135"/>
      <c r="AQ1232" s="135"/>
      <c r="AR1232" s="135"/>
      <c r="AS1232" s="135"/>
      <c r="AT1232" s="135"/>
      <c r="AU1232" s="135"/>
    </row>
    <row r="1233" spans="1:47" x14ac:dyDescent="0.2">
      <c r="A1233" s="174"/>
      <c r="B1233" s="175"/>
      <c r="C1233" s="176"/>
      <c r="D1233" s="177"/>
      <c r="E1233" s="178"/>
      <c r="F1233" s="178"/>
      <c r="G1233" s="177"/>
      <c r="H1233" s="303"/>
      <c r="I1233" s="186" t="s">
        <v>1583</v>
      </c>
      <c r="J1233" s="348" t="s">
        <v>777</v>
      </c>
      <c r="K1233" s="213">
        <f>7700*30%</f>
        <v>2310</v>
      </c>
      <c r="L1233" s="176"/>
      <c r="M1233" s="183"/>
      <c r="N1233" s="135"/>
      <c r="O1233" s="135"/>
      <c r="P1233" s="135"/>
      <c r="Q1233" s="135"/>
      <c r="R1233" s="135"/>
      <c r="S1233" s="135"/>
      <c r="T1233" s="135"/>
      <c r="U1233" s="135"/>
      <c r="V1233" s="135"/>
      <c r="W1233" s="135"/>
      <c r="X1233" s="135"/>
      <c r="Y1233" s="135"/>
      <c r="Z1233" s="135"/>
      <c r="AA1233" s="135"/>
      <c r="AB1233" s="135"/>
      <c r="AC1233" s="135"/>
      <c r="AD1233" s="135"/>
      <c r="AE1233" s="135"/>
      <c r="AF1233" s="135"/>
      <c r="AG1233" s="135"/>
      <c r="AH1233" s="135"/>
      <c r="AI1233" s="135"/>
      <c r="AJ1233" s="135"/>
      <c r="AK1233" s="135"/>
      <c r="AL1233" s="135"/>
      <c r="AM1233" s="135"/>
      <c r="AN1233" s="135"/>
      <c r="AO1233" s="135"/>
      <c r="AP1233" s="135"/>
      <c r="AQ1233" s="135"/>
      <c r="AR1233" s="135"/>
      <c r="AS1233" s="135"/>
      <c r="AT1233" s="135"/>
      <c r="AU1233" s="135"/>
    </row>
    <row r="1234" spans="1:47" x14ac:dyDescent="0.2">
      <c r="A1234" s="174"/>
      <c r="B1234" s="175"/>
      <c r="C1234" s="176"/>
      <c r="D1234" s="177"/>
      <c r="E1234" s="178"/>
      <c r="F1234" s="178"/>
      <c r="G1234" s="177"/>
      <c r="H1234" s="303"/>
      <c r="I1234" s="186" t="s">
        <v>1584</v>
      </c>
      <c r="J1234" s="348" t="s">
        <v>777</v>
      </c>
      <c r="K1234" s="213">
        <f>7700*30%</f>
        <v>2310</v>
      </c>
      <c r="L1234" s="176"/>
      <c r="M1234" s="183"/>
      <c r="N1234" s="135"/>
      <c r="O1234" s="135"/>
      <c r="P1234" s="135"/>
      <c r="Q1234" s="135"/>
      <c r="R1234" s="135"/>
      <c r="S1234" s="135"/>
      <c r="T1234" s="135"/>
      <c r="U1234" s="135"/>
      <c r="V1234" s="135"/>
      <c r="W1234" s="135"/>
      <c r="X1234" s="135"/>
      <c r="Y1234" s="135"/>
      <c r="Z1234" s="135"/>
      <c r="AA1234" s="135"/>
      <c r="AB1234" s="135"/>
      <c r="AC1234" s="135"/>
      <c r="AD1234" s="135"/>
      <c r="AE1234" s="135"/>
      <c r="AF1234" s="135"/>
      <c r="AG1234" s="135"/>
      <c r="AH1234" s="135"/>
      <c r="AI1234" s="135"/>
      <c r="AJ1234" s="135"/>
      <c r="AK1234" s="135"/>
      <c r="AL1234" s="135"/>
      <c r="AM1234" s="135"/>
      <c r="AN1234" s="135"/>
      <c r="AO1234" s="135"/>
      <c r="AP1234" s="135"/>
      <c r="AQ1234" s="135"/>
      <c r="AR1234" s="135"/>
      <c r="AS1234" s="135"/>
      <c r="AT1234" s="135"/>
      <c r="AU1234" s="135"/>
    </row>
    <row r="1235" spans="1:47" x14ac:dyDescent="0.2">
      <c r="A1235" s="187"/>
      <c r="B1235" s="188"/>
      <c r="C1235" s="189"/>
      <c r="D1235" s="190"/>
      <c r="E1235" s="191"/>
      <c r="F1235" s="191"/>
      <c r="G1235" s="190"/>
      <c r="H1235" s="304"/>
      <c r="I1235" s="202"/>
      <c r="J1235" s="349"/>
      <c r="K1235" s="319">
        <f>SUM(K1232:K1234)</f>
        <v>7700</v>
      </c>
      <c r="L1235" s="189"/>
      <c r="M1235" s="196"/>
      <c r="N1235" s="135"/>
      <c r="O1235" s="135"/>
      <c r="P1235" s="135"/>
      <c r="Q1235" s="135"/>
      <c r="R1235" s="135"/>
      <c r="S1235" s="135"/>
      <c r="T1235" s="135"/>
      <c r="U1235" s="135"/>
      <c r="V1235" s="135"/>
      <c r="W1235" s="135"/>
      <c r="X1235" s="135"/>
      <c r="Y1235" s="135"/>
      <c r="Z1235" s="135"/>
      <c r="AA1235" s="135"/>
      <c r="AB1235" s="135"/>
      <c r="AC1235" s="135"/>
      <c r="AD1235" s="135"/>
      <c r="AE1235" s="135"/>
      <c r="AF1235" s="135"/>
      <c r="AG1235" s="135"/>
      <c r="AH1235" s="135"/>
      <c r="AI1235" s="135"/>
      <c r="AJ1235" s="135"/>
      <c r="AK1235" s="135"/>
      <c r="AL1235" s="135"/>
      <c r="AM1235" s="135"/>
      <c r="AN1235" s="135"/>
      <c r="AO1235" s="135"/>
      <c r="AP1235" s="135"/>
      <c r="AQ1235" s="135"/>
      <c r="AR1235" s="135"/>
      <c r="AS1235" s="135"/>
      <c r="AT1235" s="135"/>
      <c r="AU1235" s="135"/>
    </row>
    <row r="1236" spans="1:47" ht="24" customHeight="1" x14ac:dyDescent="0.2">
      <c r="A1236" s="163">
        <v>268</v>
      </c>
      <c r="B1236" s="164" t="s">
        <v>1585</v>
      </c>
      <c r="C1236" s="165"/>
      <c r="D1236" s="166" t="s">
        <v>107</v>
      </c>
      <c r="E1236" s="167"/>
      <c r="F1236" s="167"/>
      <c r="G1236" s="166"/>
      <c r="H1236" s="301"/>
      <c r="I1236" s="299" t="s">
        <v>1586</v>
      </c>
      <c r="J1236" s="347" t="s">
        <v>777</v>
      </c>
      <c r="K1236" s="270">
        <f>7700*60%</f>
        <v>4620</v>
      </c>
      <c r="L1236" s="165" t="s">
        <v>111</v>
      </c>
      <c r="M1236" s="172" t="s">
        <v>1587</v>
      </c>
      <c r="N1236" s="135"/>
      <c r="O1236" s="135"/>
      <c r="P1236" s="135"/>
      <c r="Q1236" s="135"/>
      <c r="R1236" s="135"/>
      <c r="S1236" s="135"/>
      <c r="T1236" s="135"/>
      <c r="U1236" s="135"/>
      <c r="V1236" s="135"/>
      <c r="W1236" s="135"/>
      <c r="X1236" s="135"/>
      <c r="Y1236" s="135"/>
      <c r="Z1236" s="135"/>
      <c r="AA1236" s="135"/>
      <c r="AB1236" s="135"/>
      <c r="AC1236" s="135"/>
      <c r="AD1236" s="135"/>
      <c r="AE1236" s="135"/>
      <c r="AF1236" s="135"/>
      <c r="AG1236" s="135"/>
      <c r="AH1236" s="135"/>
      <c r="AI1236" s="135"/>
      <c r="AJ1236" s="135"/>
      <c r="AK1236" s="135"/>
      <c r="AL1236" s="135"/>
      <c r="AM1236" s="135"/>
      <c r="AN1236" s="135"/>
      <c r="AO1236" s="135"/>
      <c r="AP1236" s="135"/>
      <c r="AQ1236" s="135"/>
      <c r="AR1236" s="135"/>
      <c r="AS1236" s="135"/>
      <c r="AT1236" s="135"/>
      <c r="AU1236" s="135"/>
    </row>
    <row r="1237" spans="1:47" x14ac:dyDescent="0.2">
      <c r="A1237" s="174"/>
      <c r="B1237" s="175"/>
      <c r="C1237" s="176"/>
      <c r="D1237" s="177"/>
      <c r="E1237" s="178"/>
      <c r="F1237" s="178"/>
      <c r="G1237" s="177"/>
      <c r="H1237" s="303"/>
      <c r="I1237" s="186" t="s">
        <v>1588</v>
      </c>
      <c r="J1237" s="348" t="s">
        <v>777</v>
      </c>
      <c r="K1237" s="213">
        <f>7700*20%</f>
        <v>1540</v>
      </c>
      <c r="L1237" s="176"/>
      <c r="M1237" s="183"/>
      <c r="N1237" s="135"/>
      <c r="O1237" s="135"/>
      <c r="P1237" s="135"/>
      <c r="Q1237" s="135"/>
      <c r="R1237" s="135"/>
      <c r="S1237" s="135"/>
      <c r="T1237" s="135"/>
      <c r="U1237" s="135"/>
      <c r="V1237" s="135"/>
      <c r="W1237" s="135"/>
      <c r="X1237" s="135"/>
      <c r="Y1237" s="135"/>
      <c r="Z1237" s="135"/>
      <c r="AA1237" s="135"/>
      <c r="AB1237" s="135"/>
      <c r="AC1237" s="135"/>
      <c r="AD1237" s="135"/>
      <c r="AE1237" s="135"/>
      <c r="AF1237" s="135"/>
      <c r="AG1237" s="135"/>
      <c r="AH1237" s="135"/>
      <c r="AI1237" s="135"/>
      <c r="AJ1237" s="135"/>
      <c r="AK1237" s="135"/>
      <c r="AL1237" s="135"/>
      <c r="AM1237" s="135"/>
      <c r="AN1237" s="135"/>
      <c r="AO1237" s="135"/>
      <c r="AP1237" s="135"/>
      <c r="AQ1237" s="135"/>
      <c r="AR1237" s="135"/>
      <c r="AS1237" s="135"/>
      <c r="AT1237" s="135"/>
      <c r="AU1237" s="135"/>
    </row>
    <row r="1238" spans="1:47" x14ac:dyDescent="0.2">
      <c r="A1238" s="174"/>
      <c r="B1238" s="175"/>
      <c r="C1238" s="176"/>
      <c r="D1238" s="177"/>
      <c r="E1238" s="178"/>
      <c r="F1238" s="178"/>
      <c r="G1238" s="177"/>
      <c r="H1238" s="303"/>
      <c r="I1238" s="186" t="s">
        <v>1589</v>
      </c>
      <c r="J1238" s="348" t="s">
        <v>777</v>
      </c>
      <c r="K1238" s="213">
        <f>7700*20%</f>
        <v>1540</v>
      </c>
      <c r="L1238" s="176"/>
      <c r="M1238" s="183"/>
      <c r="N1238" s="135"/>
      <c r="O1238" s="135"/>
      <c r="P1238" s="135"/>
      <c r="Q1238" s="135"/>
      <c r="R1238" s="135"/>
      <c r="S1238" s="135"/>
      <c r="T1238" s="135"/>
      <c r="U1238" s="135"/>
      <c r="V1238" s="135"/>
      <c r="W1238" s="135"/>
      <c r="X1238" s="135"/>
      <c r="Y1238" s="135"/>
      <c r="Z1238" s="135"/>
      <c r="AA1238" s="135"/>
      <c r="AB1238" s="135"/>
      <c r="AC1238" s="135"/>
      <c r="AD1238" s="135"/>
      <c r="AE1238" s="135"/>
      <c r="AF1238" s="135"/>
      <c r="AG1238" s="135"/>
      <c r="AH1238" s="135"/>
      <c r="AI1238" s="135"/>
      <c r="AJ1238" s="135"/>
      <c r="AK1238" s="135"/>
      <c r="AL1238" s="135"/>
      <c r="AM1238" s="135"/>
      <c r="AN1238" s="135"/>
      <c r="AO1238" s="135"/>
      <c r="AP1238" s="135"/>
      <c r="AQ1238" s="135"/>
      <c r="AR1238" s="135"/>
      <c r="AS1238" s="135"/>
      <c r="AT1238" s="135"/>
      <c r="AU1238" s="135"/>
    </row>
    <row r="1239" spans="1:47" x14ac:dyDescent="0.2">
      <c r="A1239" s="187"/>
      <c r="B1239" s="188"/>
      <c r="C1239" s="189"/>
      <c r="D1239" s="190"/>
      <c r="E1239" s="191"/>
      <c r="F1239" s="191"/>
      <c r="G1239" s="190"/>
      <c r="H1239" s="304"/>
      <c r="I1239" s="179"/>
      <c r="J1239" s="356"/>
      <c r="K1239" s="198">
        <f>SUM(K1236:K1238)</f>
        <v>7700</v>
      </c>
      <c r="L1239" s="189"/>
      <c r="M1239" s="196"/>
      <c r="N1239" s="135"/>
      <c r="O1239" s="135"/>
      <c r="P1239" s="135"/>
      <c r="Q1239" s="135"/>
      <c r="R1239" s="135"/>
      <c r="S1239" s="135"/>
      <c r="T1239" s="135"/>
      <c r="U1239" s="135"/>
      <c r="V1239" s="135"/>
      <c r="W1239" s="135"/>
      <c r="X1239" s="135"/>
      <c r="Y1239" s="135"/>
      <c r="Z1239" s="135"/>
      <c r="AA1239" s="135"/>
      <c r="AB1239" s="135"/>
      <c r="AC1239" s="135"/>
      <c r="AD1239" s="135"/>
      <c r="AE1239" s="135"/>
      <c r="AF1239" s="135"/>
      <c r="AG1239" s="135"/>
      <c r="AH1239" s="135"/>
      <c r="AI1239" s="135"/>
      <c r="AJ1239" s="135"/>
      <c r="AK1239" s="135"/>
      <c r="AL1239" s="135"/>
      <c r="AM1239" s="135"/>
      <c r="AN1239" s="135"/>
      <c r="AO1239" s="135"/>
      <c r="AP1239" s="135"/>
      <c r="AQ1239" s="135"/>
      <c r="AR1239" s="135"/>
      <c r="AS1239" s="135"/>
      <c r="AT1239" s="135"/>
      <c r="AU1239" s="135"/>
    </row>
    <row r="1240" spans="1:47" ht="24" customHeight="1" x14ac:dyDescent="0.2">
      <c r="A1240" s="163">
        <v>269</v>
      </c>
      <c r="B1240" s="164" t="s">
        <v>1590</v>
      </c>
      <c r="C1240" s="165"/>
      <c r="D1240" s="166" t="s">
        <v>107</v>
      </c>
      <c r="E1240" s="167"/>
      <c r="F1240" s="167"/>
      <c r="G1240" s="166"/>
      <c r="H1240" s="301"/>
      <c r="I1240" s="217" t="s">
        <v>1591</v>
      </c>
      <c r="J1240" s="355" t="s">
        <v>777</v>
      </c>
      <c r="K1240" s="278">
        <f>7700*60%</f>
        <v>4620</v>
      </c>
      <c r="L1240" s="165" t="s">
        <v>111</v>
      </c>
      <c r="M1240" s="172" t="s">
        <v>1592</v>
      </c>
      <c r="N1240" s="135"/>
      <c r="O1240" s="135"/>
      <c r="P1240" s="135"/>
      <c r="Q1240" s="135"/>
      <c r="R1240" s="135"/>
      <c r="S1240" s="135"/>
      <c r="T1240" s="135"/>
      <c r="U1240" s="135"/>
      <c r="V1240" s="135"/>
      <c r="W1240" s="135"/>
      <c r="X1240" s="135"/>
      <c r="Y1240" s="135"/>
      <c r="Z1240" s="135"/>
      <c r="AA1240" s="135"/>
      <c r="AB1240" s="135"/>
      <c r="AC1240" s="135"/>
      <c r="AD1240" s="135"/>
      <c r="AE1240" s="135"/>
      <c r="AF1240" s="135"/>
      <c r="AG1240" s="135"/>
      <c r="AH1240" s="135"/>
      <c r="AI1240" s="135"/>
      <c r="AJ1240" s="135"/>
      <c r="AK1240" s="135"/>
      <c r="AL1240" s="135"/>
      <c r="AM1240" s="135"/>
      <c r="AN1240" s="135"/>
      <c r="AO1240" s="135"/>
      <c r="AP1240" s="135"/>
      <c r="AQ1240" s="135"/>
      <c r="AR1240" s="135"/>
      <c r="AS1240" s="135"/>
      <c r="AT1240" s="135"/>
      <c r="AU1240" s="135"/>
    </row>
    <row r="1241" spans="1:47" x14ac:dyDescent="0.2">
      <c r="A1241" s="174"/>
      <c r="B1241" s="175"/>
      <c r="C1241" s="176"/>
      <c r="D1241" s="177"/>
      <c r="E1241" s="178"/>
      <c r="F1241" s="178"/>
      <c r="G1241" s="177"/>
      <c r="H1241" s="303"/>
      <c r="I1241" s="186" t="s">
        <v>1593</v>
      </c>
      <c r="J1241" s="348" t="s">
        <v>777</v>
      </c>
      <c r="K1241" s="213">
        <f>7700*20%</f>
        <v>1540</v>
      </c>
      <c r="L1241" s="176"/>
      <c r="M1241" s="183"/>
      <c r="N1241" s="135"/>
      <c r="O1241" s="135"/>
      <c r="P1241" s="135"/>
      <c r="Q1241" s="135"/>
      <c r="R1241" s="135"/>
      <c r="S1241" s="135"/>
      <c r="T1241" s="135"/>
      <c r="U1241" s="135"/>
      <c r="V1241" s="135"/>
      <c r="W1241" s="135"/>
      <c r="X1241" s="135"/>
      <c r="Y1241" s="135"/>
      <c r="Z1241" s="135"/>
      <c r="AA1241" s="135"/>
      <c r="AB1241" s="135"/>
      <c r="AC1241" s="135"/>
      <c r="AD1241" s="135"/>
      <c r="AE1241" s="135"/>
      <c r="AF1241" s="135"/>
      <c r="AG1241" s="135"/>
      <c r="AH1241" s="135"/>
      <c r="AI1241" s="135"/>
      <c r="AJ1241" s="135"/>
      <c r="AK1241" s="135"/>
      <c r="AL1241" s="135"/>
      <c r="AM1241" s="135"/>
      <c r="AN1241" s="135"/>
      <c r="AO1241" s="135"/>
      <c r="AP1241" s="135"/>
      <c r="AQ1241" s="135"/>
      <c r="AR1241" s="135"/>
      <c r="AS1241" s="135"/>
      <c r="AT1241" s="135"/>
      <c r="AU1241" s="135"/>
    </row>
    <row r="1242" spans="1:47" x14ac:dyDescent="0.2">
      <c r="A1242" s="174"/>
      <c r="B1242" s="175"/>
      <c r="C1242" s="176"/>
      <c r="D1242" s="177"/>
      <c r="E1242" s="178"/>
      <c r="F1242" s="178"/>
      <c r="G1242" s="177"/>
      <c r="H1242" s="303"/>
      <c r="I1242" s="186" t="s">
        <v>1594</v>
      </c>
      <c r="J1242" s="348" t="s">
        <v>777</v>
      </c>
      <c r="K1242" s="213">
        <f>7700*20%</f>
        <v>1540</v>
      </c>
      <c r="L1242" s="176"/>
      <c r="M1242" s="183"/>
      <c r="N1242" s="135"/>
      <c r="O1242" s="135"/>
      <c r="P1242" s="135"/>
      <c r="Q1242" s="135"/>
      <c r="R1242" s="135"/>
      <c r="S1242" s="135"/>
      <c r="T1242" s="135"/>
      <c r="U1242" s="135"/>
      <c r="V1242" s="135"/>
      <c r="W1242" s="135"/>
      <c r="X1242" s="135"/>
      <c r="Y1242" s="135"/>
      <c r="Z1242" s="135"/>
      <c r="AA1242" s="135"/>
      <c r="AB1242" s="135"/>
      <c r="AC1242" s="135"/>
      <c r="AD1242" s="135"/>
      <c r="AE1242" s="135"/>
      <c r="AF1242" s="135"/>
      <c r="AG1242" s="135"/>
      <c r="AH1242" s="135"/>
      <c r="AI1242" s="135"/>
      <c r="AJ1242" s="135"/>
      <c r="AK1242" s="135"/>
      <c r="AL1242" s="135"/>
      <c r="AM1242" s="135"/>
      <c r="AN1242" s="135"/>
      <c r="AO1242" s="135"/>
      <c r="AP1242" s="135"/>
      <c r="AQ1242" s="135"/>
      <c r="AR1242" s="135"/>
      <c r="AS1242" s="135"/>
      <c r="AT1242" s="135"/>
      <c r="AU1242" s="135"/>
    </row>
    <row r="1243" spans="1:47" x14ac:dyDescent="0.2">
      <c r="A1243" s="187"/>
      <c r="B1243" s="188"/>
      <c r="C1243" s="189"/>
      <c r="D1243" s="190"/>
      <c r="E1243" s="191"/>
      <c r="F1243" s="191"/>
      <c r="G1243" s="190"/>
      <c r="H1243" s="304"/>
      <c r="I1243" s="202"/>
      <c r="J1243" s="349"/>
      <c r="K1243" s="319">
        <f>SUM(K1240:K1242)</f>
        <v>7700</v>
      </c>
      <c r="L1243" s="189"/>
      <c r="M1243" s="196"/>
      <c r="N1243" s="135"/>
      <c r="O1243" s="135"/>
      <c r="P1243" s="135"/>
      <c r="Q1243" s="135"/>
      <c r="R1243" s="135"/>
      <c r="S1243" s="135"/>
      <c r="T1243" s="135"/>
      <c r="U1243" s="135"/>
      <c r="V1243" s="135"/>
      <c r="W1243" s="135"/>
      <c r="X1243" s="135"/>
      <c r="Y1243" s="135"/>
      <c r="Z1243" s="135"/>
      <c r="AA1243" s="135"/>
      <c r="AB1243" s="135"/>
      <c r="AC1243" s="135"/>
      <c r="AD1243" s="135"/>
      <c r="AE1243" s="135"/>
      <c r="AF1243" s="135"/>
      <c r="AG1243" s="135"/>
      <c r="AH1243" s="135"/>
      <c r="AI1243" s="135"/>
      <c r="AJ1243" s="135"/>
      <c r="AK1243" s="135"/>
      <c r="AL1243" s="135"/>
      <c r="AM1243" s="135"/>
      <c r="AN1243" s="135"/>
      <c r="AO1243" s="135"/>
      <c r="AP1243" s="135"/>
      <c r="AQ1243" s="135"/>
      <c r="AR1243" s="135"/>
      <c r="AS1243" s="135"/>
      <c r="AT1243" s="135"/>
      <c r="AU1243" s="135"/>
    </row>
    <row r="1244" spans="1:47" ht="24" customHeight="1" x14ac:dyDescent="0.2">
      <c r="A1244" s="163">
        <v>270</v>
      </c>
      <c r="B1244" s="164" t="s">
        <v>1595</v>
      </c>
      <c r="C1244" s="165"/>
      <c r="D1244" s="166" t="s">
        <v>107</v>
      </c>
      <c r="E1244" s="167"/>
      <c r="F1244" s="167"/>
      <c r="G1244" s="166"/>
      <c r="H1244" s="301"/>
      <c r="I1244" s="299" t="s">
        <v>1596</v>
      </c>
      <c r="J1244" s="347" t="s">
        <v>777</v>
      </c>
      <c r="K1244" s="270">
        <f>7700*60%</f>
        <v>4620</v>
      </c>
      <c r="L1244" s="165" t="s">
        <v>111</v>
      </c>
      <c r="M1244" s="172" t="s">
        <v>1597</v>
      </c>
      <c r="N1244" s="135"/>
      <c r="O1244" s="135"/>
      <c r="P1244" s="135"/>
      <c r="Q1244" s="135"/>
      <c r="R1244" s="135"/>
      <c r="S1244" s="135"/>
      <c r="T1244" s="135"/>
      <c r="U1244" s="135"/>
      <c r="V1244" s="135"/>
      <c r="W1244" s="135"/>
      <c r="X1244" s="135"/>
      <c r="Y1244" s="135"/>
      <c r="Z1244" s="135"/>
      <c r="AA1244" s="135"/>
      <c r="AB1244" s="135"/>
      <c r="AC1244" s="135"/>
      <c r="AD1244" s="135"/>
      <c r="AE1244" s="135"/>
      <c r="AF1244" s="135"/>
      <c r="AG1244" s="135"/>
      <c r="AH1244" s="135"/>
      <c r="AI1244" s="135"/>
      <c r="AJ1244" s="135"/>
      <c r="AK1244" s="135"/>
      <c r="AL1244" s="135"/>
      <c r="AM1244" s="135"/>
      <c r="AN1244" s="135"/>
      <c r="AO1244" s="135"/>
      <c r="AP1244" s="135"/>
      <c r="AQ1244" s="135"/>
      <c r="AR1244" s="135"/>
      <c r="AS1244" s="135"/>
      <c r="AT1244" s="135"/>
      <c r="AU1244" s="135"/>
    </row>
    <row r="1245" spans="1:47" x14ac:dyDescent="0.2">
      <c r="A1245" s="174"/>
      <c r="B1245" s="175"/>
      <c r="C1245" s="176"/>
      <c r="D1245" s="177"/>
      <c r="E1245" s="178"/>
      <c r="F1245" s="178"/>
      <c r="G1245" s="177"/>
      <c r="H1245" s="303"/>
      <c r="I1245" s="186" t="s">
        <v>1598</v>
      </c>
      <c r="J1245" s="348" t="s">
        <v>777</v>
      </c>
      <c r="K1245" s="213">
        <f>7700*20%</f>
        <v>1540</v>
      </c>
      <c r="L1245" s="176"/>
      <c r="M1245" s="183"/>
      <c r="N1245" s="135"/>
      <c r="O1245" s="135"/>
      <c r="P1245" s="135"/>
      <c r="Q1245" s="135"/>
      <c r="R1245" s="135"/>
      <c r="S1245" s="135"/>
      <c r="T1245" s="135"/>
      <c r="U1245" s="135"/>
      <c r="V1245" s="135"/>
      <c r="W1245" s="135"/>
      <c r="X1245" s="135"/>
      <c r="Y1245" s="135"/>
      <c r="Z1245" s="135"/>
      <c r="AA1245" s="135"/>
      <c r="AB1245" s="135"/>
      <c r="AC1245" s="135"/>
      <c r="AD1245" s="135"/>
      <c r="AE1245" s="135"/>
      <c r="AF1245" s="135"/>
      <c r="AG1245" s="135"/>
      <c r="AH1245" s="135"/>
      <c r="AI1245" s="135"/>
      <c r="AJ1245" s="135"/>
      <c r="AK1245" s="135"/>
      <c r="AL1245" s="135"/>
      <c r="AM1245" s="135"/>
      <c r="AN1245" s="135"/>
      <c r="AO1245" s="135"/>
      <c r="AP1245" s="135"/>
      <c r="AQ1245" s="135"/>
      <c r="AR1245" s="135"/>
      <c r="AS1245" s="135"/>
      <c r="AT1245" s="135"/>
      <c r="AU1245" s="135"/>
    </row>
    <row r="1246" spans="1:47" x14ac:dyDescent="0.2">
      <c r="A1246" s="174"/>
      <c r="B1246" s="175"/>
      <c r="C1246" s="176"/>
      <c r="D1246" s="177"/>
      <c r="E1246" s="178"/>
      <c r="F1246" s="178"/>
      <c r="G1246" s="177"/>
      <c r="H1246" s="303"/>
      <c r="I1246" s="186" t="s">
        <v>1594</v>
      </c>
      <c r="J1246" s="348" t="s">
        <v>777</v>
      </c>
      <c r="K1246" s="213">
        <f>7700*20%</f>
        <v>1540</v>
      </c>
      <c r="L1246" s="176"/>
      <c r="M1246" s="183"/>
      <c r="N1246" s="135"/>
      <c r="O1246" s="135"/>
      <c r="P1246" s="135"/>
      <c r="Q1246" s="135"/>
      <c r="R1246" s="135"/>
      <c r="S1246" s="135"/>
      <c r="T1246" s="135"/>
      <c r="U1246" s="135"/>
      <c r="V1246" s="135"/>
      <c r="W1246" s="135"/>
      <c r="X1246" s="135"/>
      <c r="Y1246" s="135"/>
      <c r="Z1246" s="135"/>
      <c r="AA1246" s="135"/>
      <c r="AB1246" s="135"/>
      <c r="AC1246" s="135"/>
      <c r="AD1246" s="135"/>
      <c r="AE1246" s="135"/>
      <c r="AF1246" s="135"/>
      <c r="AG1246" s="135"/>
      <c r="AH1246" s="135"/>
      <c r="AI1246" s="135"/>
      <c r="AJ1246" s="135"/>
      <c r="AK1246" s="135"/>
      <c r="AL1246" s="135"/>
      <c r="AM1246" s="135"/>
      <c r="AN1246" s="135"/>
      <c r="AO1246" s="135"/>
      <c r="AP1246" s="135"/>
      <c r="AQ1246" s="135"/>
      <c r="AR1246" s="135"/>
      <c r="AS1246" s="135"/>
      <c r="AT1246" s="135"/>
      <c r="AU1246" s="135"/>
    </row>
    <row r="1247" spans="1:47" x14ac:dyDescent="0.2">
      <c r="A1247" s="187"/>
      <c r="B1247" s="188"/>
      <c r="C1247" s="189"/>
      <c r="D1247" s="190"/>
      <c r="E1247" s="191"/>
      <c r="F1247" s="191"/>
      <c r="G1247" s="190"/>
      <c r="H1247" s="304"/>
      <c r="I1247" s="179"/>
      <c r="J1247" s="356"/>
      <c r="K1247" s="198">
        <f>SUM(K1244:K1246)</f>
        <v>7700</v>
      </c>
      <c r="L1247" s="189"/>
      <c r="M1247" s="196"/>
      <c r="N1247" s="135"/>
      <c r="O1247" s="135"/>
      <c r="P1247" s="135"/>
      <c r="Q1247" s="135"/>
      <c r="R1247" s="135"/>
      <c r="S1247" s="135"/>
      <c r="T1247" s="135"/>
      <c r="U1247" s="135"/>
      <c r="V1247" s="135"/>
      <c r="W1247" s="135"/>
      <c r="X1247" s="135"/>
      <c r="Y1247" s="135"/>
      <c r="Z1247" s="135"/>
      <c r="AA1247" s="135"/>
      <c r="AB1247" s="135"/>
      <c r="AC1247" s="135"/>
      <c r="AD1247" s="135"/>
      <c r="AE1247" s="135"/>
      <c r="AF1247" s="135"/>
      <c r="AG1247" s="135"/>
      <c r="AH1247" s="135"/>
      <c r="AI1247" s="135"/>
      <c r="AJ1247" s="135"/>
      <c r="AK1247" s="135"/>
      <c r="AL1247" s="135"/>
      <c r="AM1247" s="135"/>
      <c r="AN1247" s="135"/>
      <c r="AO1247" s="135"/>
      <c r="AP1247" s="135"/>
      <c r="AQ1247" s="135"/>
      <c r="AR1247" s="135"/>
      <c r="AS1247" s="135"/>
      <c r="AT1247" s="135"/>
      <c r="AU1247" s="135"/>
    </row>
    <row r="1248" spans="1:47" ht="24" customHeight="1" x14ac:dyDescent="0.2">
      <c r="A1248" s="163">
        <v>271</v>
      </c>
      <c r="B1248" s="164" t="s">
        <v>1599</v>
      </c>
      <c r="C1248" s="165"/>
      <c r="D1248" s="166" t="s">
        <v>107</v>
      </c>
      <c r="E1248" s="167"/>
      <c r="F1248" s="167"/>
      <c r="G1248" s="166"/>
      <c r="H1248" s="301" t="s">
        <v>137</v>
      </c>
      <c r="I1248" s="217" t="s">
        <v>1596</v>
      </c>
      <c r="J1248" s="355" t="s">
        <v>777</v>
      </c>
      <c r="K1248" s="278">
        <f>7700*60%</f>
        <v>4620</v>
      </c>
      <c r="L1248" s="165" t="s">
        <v>111</v>
      </c>
      <c r="M1248" s="172" t="s">
        <v>1600</v>
      </c>
      <c r="N1248" s="135"/>
      <c r="O1248" s="135"/>
      <c r="P1248" s="135"/>
      <c r="Q1248" s="135"/>
      <c r="R1248" s="135"/>
      <c r="S1248" s="135"/>
      <c r="T1248" s="135"/>
      <c r="U1248" s="135"/>
      <c r="V1248" s="135"/>
      <c r="W1248" s="135"/>
      <c r="X1248" s="135"/>
      <c r="Y1248" s="135"/>
      <c r="Z1248" s="135"/>
      <c r="AA1248" s="135"/>
      <c r="AB1248" s="135"/>
      <c r="AC1248" s="135"/>
      <c r="AD1248" s="135"/>
      <c r="AE1248" s="135"/>
      <c r="AF1248" s="135"/>
      <c r="AG1248" s="135"/>
      <c r="AH1248" s="135"/>
      <c r="AI1248" s="135"/>
      <c r="AJ1248" s="135"/>
      <c r="AK1248" s="135"/>
      <c r="AL1248" s="135"/>
      <c r="AM1248" s="135"/>
      <c r="AN1248" s="135"/>
      <c r="AO1248" s="135"/>
      <c r="AP1248" s="135"/>
      <c r="AQ1248" s="135"/>
      <c r="AR1248" s="135"/>
      <c r="AS1248" s="135"/>
      <c r="AT1248" s="135"/>
      <c r="AU1248" s="135"/>
    </row>
    <row r="1249" spans="1:47" x14ac:dyDescent="0.2">
      <c r="A1249" s="174"/>
      <c r="B1249" s="175"/>
      <c r="C1249" s="176"/>
      <c r="D1249" s="177"/>
      <c r="E1249" s="178"/>
      <c r="F1249" s="178"/>
      <c r="G1249" s="177"/>
      <c r="H1249" s="303"/>
      <c r="I1249" s="186" t="s">
        <v>1598</v>
      </c>
      <c r="J1249" s="348" t="s">
        <v>777</v>
      </c>
      <c r="K1249" s="213">
        <f>7700*20%</f>
        <v>1540</v>
      </c>
      <c r="L1249" s="176"/>
      <c r="M1249" s="183"/>
      <c r="N1249" s="135"/>
      <c r="O1249" s="135"/>
      <c r="P1249" s="135"/>
      <c r="Q1249" s="135"/>
      <c r="R1249" s="135"/>
      <c r="S1249" s="135"/>
      <c r="T1249" s="135"/>
      <c r="U1249" s="135"/>
      <c r="V1249" s="135"/>
      <c r="W1249" s="135"/>
      <c r="X1249" s="135"/>
      <c r="Y1249" s="135"/>
      <c r="Z1249" s="135"/>
      <c r="AA1249" s="135"/>
      <c r="AB1249" s="135"/>
      <c r="AC1249" s="135"/>
      <c r="AD1249" s="135"/>
      <c r="AE1249" s="135"/>
      <c r="AF1249" s="135"/>
      <c r="AG1249" s="135"/>
      <c r="AH1249" s="135"/>
      <c r="AI1249" s="135"/>
      <c r="AJ1249" s="135"/>
      <c r="AK1249" s="135"/>
      <c r="AL1249" s="135"/>
      <c r="AM1249" s="135"/>
      <c r="AN1249" s="135"/>
      <c r="AO1249" s="135"/>
      <c r="AP1249" s="135"/>
      <c r="AQ1249" s="135"/>
      <c r="AR1249" s="135"/>
      <c r="AS1249" s="135"/>
      <c r="AT1249" s="135"/>
      <c r="AU1249" s="135"/>
    </row>
    <row r="1250" spans="1:47" x14ac:dyDescent="0.2">
      <c r="A1250" s="174"/>
      <c r="B1250" s="175"/>
      <c r="C1250" s="176"/>
      <c r="D1250" s="177"/>
      <c r="E1250" s="178"/>
      <c r="F1250" s="178"/>
      <c r="G1250" s="177"/>
      <c r="H1250" s="303"/>
      <c r="I1250" s="186" t="s">
        <v>1594</v>
      </c>
      <c r="J1250" s="348" t="s">
        <v>777</v>
      </c>
      <c r="K1250" s="213">
        <f>7700*20%</f>
        <v>1540</v>
      </c>
      <c r="L1250" s="176"/>
      <c r="M1250" s="183"/>
      <c r="N1250" s="135"/>
      <c r="O1250" s="135"/>
      <c r="P1250" s="135"/>
      <c r="Q1250" s="135"/>
      <c r="R1250" s="135"/>
      <c r="S1250" s="135"/>
      <c r="T1250" s="135"/>
      <c r="U1250" s="135"/>
      <c r="V1250" s="135"/>
      <c r="W1250" s="135"/>
      <c r="X1250" s="135"/>
      <c r="Y1250" s="135"/>
      <c r="Z1250" s="135"/>
      <c r="AA1250" s="135"/>
      <c r="AB1250" s="135"/>
      <c r="AC1250" s="135"/>
      <c r="AD1250" s="135"/>
      <c r="AE1250" s="135"/>
      <c r="AF1250" s="135"/>
      <c r="AG1250" s="135"/>
      <c r="AH1250" s="135"/>
      <c r="AI1250" s="135"/>
      <c r="AJ1250" s="135"/>
      <c r="AK1250" s="135"/>
      <c r="AL1250" s="135"/>
      <c r="AM1250" s="135"/>
      <c r="AN1250" s="135"/>
      <c r="AO1250" s="135"/>
      <c r="AP1250" s="135"/>
      <c r="AQ1250" s="135"/>
      <c r="AR1250" s="135"/>
      <c r="AS1250" s="135"/>
      <c r="AT1250" s="135"/>
      <c r="AU1250" s="135"/>
    </row>
    <row r="1251" spans="1:47" x14ac:dyDescent="0.2">
      <c r="A1251" s="187"/>
      <c r="B1251" s="188"/>
      <c r="C1251" s="189"/>
      <c r="D1251" s="190"/>
      <c r="E1251" s="191"/>
      <c r="F1251" s="191"/>
      <c r="G1251" s="190"/>
      <c r="H1251" s="304"/>
      <c r="I1251" s="202"/>
      <c r="J1251" s="349"/>
      <c r="K1251" s="319">
        <f>SUM(K1248:K1250)</f>
        <v>7700</v>
      </c>
      <c r="L1251" s="189"/>
      <c r="M1251" s="196"/>
      <c r="N1251" s="135"/>
      <c r="O1251" s="135"/>
      <c r="P1251" s="135"/>
      <c r="Q1251" s="135"/>
      <c r="R1251" s="135"/>
      <c r="S1251" s="135"/>
      <c r="T1251" s="135"/>
      <c r="U1251" s="135"/>
      <c r="V1251" s="135"/>
      <c r="W1251" s="135"/>
      <c r="X1251" s="135"/>
      <c r="Y1251" s="135"/>
      <c r="Z1251" s="135"/>
      <c r="AA1251" s="135"/>
      <c r="AB1251" s="135"/>
      <c r="AC1251" s="135"/>
      <c r="AD1251" s="135"/>
      <c r="AE1251" s="135"/>
      <c r="AF1251" s="135"/>
      <c r="AG1251" s="135"/>
      <c r="AH1251" s="135"/>
      <c r="AI1251" s="135"/>
      <c r="AJ1251" s="135"/>
      <c r="AK1251" s="135"/>
      <c r="AL1251" s="135"/>
      <c r="AM1251" s="135"/>
      <c r="AN1251" s="135"/>
      <c r="AO1251" s="135"/>
      <c r="AP1251" s="135"/>
      <c r="AQ1251" s="135"/>
      <c r="AR1251" s="135"/>
      <c r="AS1251" s="135"/>
      <c r="AT1251" s="135"/>
      <c r="AU1251" s="135"/>
    </row>
    <row r="1252" spans="1:47" ht="24" customHeight="1" x14ac:dyDescent="0.2">
      <c r="A1252" s="163">
        <v>272</v>
      </c>
      <c r="B1252" s="164" t="s">
        <v>1601</v>
      </c>
      <c r="C1252" s="165"/>
      <c r="D1252" s="166" t="s">
        <v>107</v>
      </c>
      <c r="E1252" s="167"/>
      <c r="F1252" s="167"/>
      <c r="G1252" s="166"/>
      <c r="H1252" s="301" t="s">
        <v>162</v>
      </c>
      <c r="I1252" s="299" t="s">
        <v>1602</v>
      </c>
      <c r="J1252" s="347" t="s">
        <v>777</v>
      </c>
      <c r="K1252" s="270">
        <f>7700*80%</f>
        <v>6160</v>
      </c>
      <c r="L1252" s="165" t="s">
        <v>111</v>
      </c>
      <c r="M1252" s="172" t="s">
        <v>1603</v>
      </c>
      <c r="N1252" s="135"/>
      <c r="O1252" s="135"/>
      <c r="P1252" s="135"/>
      <c r="Q1252" s="135"/>
      <c r="R1252" s="135"/>
      <c r="S1252" s="135"/>
      <c r="T1252" s="135"/>
      <c r="U1252" s="135"/>
      <c r="V1252" s="135"/>
      <c r="W1252" s="135"/>
      <c r="X1252" s="135"/>
      <c r="Y1252" s="135"/>
      <c r="Z1252" s="135"/>
      <c r="AA1252" s="135"/>
      <c r="AB1252" s="135"/>
      <c r="AC1252" s="135"/>
      <c r="AD1252" s="135"/>
      <c r="AE1252" s="135"/>
      <c r="AF1252" s="135"/>
      <c r="AG1252" s="135"/>
      <c r="AH1252" s="135"/>
      <c r="AI1252" s="135"/>
      <c r="AJ1252" s="135"/>
      <c r="AK1252" s="135"/>
      <c r="AL1252" s="135"/>
      <c r="AM1252" s="135"/>
      <c r="AN1252" s="135"/>
      <c r="AO1252" s="135"/>
      <c r="AP1252" s="135"/>
      <c r="AQ1252" s="135"/>
      <c r="AR1252" s="135"/>
      <c r="AS1252" s="135"/>
      <c r="AT1252" s="135"/>
      <c r="AU1252" s="135"/>
    </row>
    <row r="1253" spans="1:47" x14ac:dyDescent="0.2">
      <c r="A1253" s="174"/>
      <c r="B1253" s="175"/>
      <c r="C1253" s="176"/>
      <c r="D1253" s="177"/>
      <c r="E1253" s="178"/>
      <c r="F1253" s="178"/>
      <c r="G1253" s="177"/>
      <c r="H1253" s="303"/>
      <c r="I1253" s="186" t="s">
        <v>1604</v>
      </c>
      <c r="J1253" s="348" t="s">
        <v>777</v>
      </c>
      <c r="K1253" s="213">
        <f>7700*20%</f>
        <v>1540</v>
      </c>
      <c r="L1253" s="176"/>
      <c r="M1253" s="183"/>
      <c r="N1253" s="135"/>
      <c r="O1253" s="135"/>
      <c r="P1253" s="135"/>
      <c r="Q1253" s="135"/>
      <c r="R1253" s="135"/>
      <c r="S1253" s="135"/>
      <c r="T1253" s="135"/>
      <c r="U1253" s="135"/>
      <c r="V1253" s="135"/>
      <c r="W1253" s="135"/>
      <c r="X1253" s="135"/>
      <c r="Y1253" s="135"/>
      <c r="Z1253" s="135"/>
      <c r="AA1253" s="135"/>
      <c r="AB1253" s="135"/>
      <c r="AC1253" s="135"/>
      <c r="AD1253" s="135"/>
      <c r="AE1253" s="135"/>
      <c r="AF1253" s="135"/>
      <c r="AG1253" s="135"/>
      <c r="AH1253" s="135"/>
      <c r="AI1253" s="135"/>
      <c r="AJ1253" s="135"/>
      <c r="AK1253" s="135"/>
      <c r="AL1253" s="135"/>
      <c r="AM1253" s="135"/>
      <c r="AN1253" s="135"/>
      <c r="AO1253" s="135"/>
      <c r="AP1253" s="135"/>
      <c r="AQ1253" s="135"/>
      <c r="AR1253" s="135"/>
      <c r="AS1253" s="135"/>
      <c r="AT1253" s="135"/>
      <c r="AU1253" s="135"/>
    </row>
    <row r="1254" spans="1:47" x14ac:dyDescent="0.2">
      <c r="A1254" s="187"/>
      <c r="B1254" s="188"/>
      <c r="C1254" s="189"/>
      <c r="D1254" s="190"/>
      <c r="E1254" s="191"/>
      <c r="F1254" s="191"/>
      <c r="G1254" s="190"/>
      <c r="H1254" s="304"/>
      <c r="I1254" s="179"/>
      <c r="J1254" s="356"/>
      <c r="K1254" s="198">
        <f>SUM(K1252:K1253)</f>
        <v>7700</v>
      </c>
      <c r="L1254" s="189"/>
      <c r="M1254" s="196"/>
      <c r="N1254" s="135"/>
      <c r="O1254" s="135"/>
      <c r="P1254" s="135"/>
      <c r="Q1254" s="135"/>
      <c r="R1254" s="135"/>
      <c r="S1254" s="135"/>
      <c r="T1254" s="135"/>
      <c r="U1254" s="135"/>
      <c r="V1254" s="135"/>
      <c r="W1254" s="135"/>
      <c r="X1254" s="135"/>
      <c r="Y1254" s="135"/>
      <c r="Z1254" s="135"/>
      <c r="AA1254" s="135"/>
      <c r="AB1254" s="135"/>
      <c r="AC1254" s="135"/>
      <c r="AD1254" s="135"/>
      <c r="AE1254" s="135"/>
      <c r="AF1254" s="135"/>
      <c r="AG1254" s="135"/>
      <c r="AH1254" s="135"/>
      <c r="AI1254" s="135"/>
      <c r="AJ1254" s="135"/>
      <c r="AK1254" s="135"/>
      <c r="AL1254" s="135"/>
      <c r="AM1254" s="135"/>
      <c r="AN1254" s="135"/>
      <c r="AO1254" s="135"/>
      <c r="AP1254" s="135"/>
      <c r="AQ1254" s="135"/>
      <c r="AR1254" s="135"/>
      <c r="AS1254" s="135"/>
      <c r="AT1254" s="135"/>
      <c r="AU1254" s="135"/>
    </row>
    <row r="1255" spans="1:47" ht="24" customHeight="1" x14ac:dyDescent="0.2">
      <c r="A1255" s="163">
        <v>273</v>
      </c>
      <c r="B1255" s="164" t="s">
        <v>1605</v>
      </c>
      <c r="C1255" s="165"/>
      <c r="D1255" s="166" t="s">
        <v>107</v>
      </c>
      <c r="E1255" s="167"/>
      <c r="F1255" s="167"/>
      <c r="G1255" s="166"/>
      <c r="H1255" s="301" t="s">
        <v>162</v>
      </c>
      <c r="I1255" s="217" t="s">
        <v>1606</v>
      </c>
      <c r="J1255" s="355" t="s">
        <v>777</v>
      </c>
      <c r="K1255" s="278">
        <f>7700*70%</f>
        <v>5390</v>
      </c>
      <c r="L1255" s="165" t="s">
        <v>111</v>
      </c>
      <c r="M1255" s="172" t="s">
        <v>1607</v>
      </c>
      <c r="N1255" s="135"/>
      <c r="O1255" s="135"/>
      <c r="P1255" s="135"/>
      <c r="Q1255" s="135"/>
      <c r="R1255" s="135"/>
      <c r="S1255" s="135"/>
      <c r="T1255" s="135"/>
      <c r="U1255" s="135"/>
      <c r="V1255" s="135"/>
      <c r="W1255" s="135"/>
      <c r="X1255" s="135"/>
      <c r="Y1255" s="135"/>
      <c r="Z1255" s="135"/>
      <c r="AA1255" s="135"/>
      <c r="AB1255" s="135"/>
      <c r="AC1255" s="135"/>
      <c r="AD1255" s="135"/>
      <c r="AE1255" s="135"/>
      <c r="AF1255" s="135"/>
      <c r="AG1255" s="135"/>
      <c r="AH1255" s="135"/>
      <c r="AI1255" s="135"/>
      <c r="AJ1255" s="135"/>
      <c r="AK1255" s="135"/>
      <c r="AL1255" s="135"/>
      <c r="AM1255" s="135"/>
      <c r="AN1255" s="135"/>
      <c r="AO1255" s="135"/>
      <c r="AP1255" s="135"/>
      <c r="AQ1255" s="135"/>
      <c r="AR1255" s="135"/>
      <c r="AS1255" s="135"/>
      <c r="AT1255" s="135"/>
      <c r="AU1255" s="135"/>
    </row>
    <row r="1256" spans="1:47" x14ac:dyDescent="0.2">
      <c r="A1256" s="174"/>
      <c r="B1256" s="175"/>
      <c r="C1256" s="176"/>
      <c r="D1256" s="177"/>
      <c r="E1256" s="178"/>
      <c r="F1256" s="178"/>
      <c r="G1256" s="177"/>
      <c r="H1256" s="303"/>
      <c r="I1256" s="186" t="s">
        <v>1608</v>
      </c>
      <c r="J1256" s="348" t="s">
        <v>777</v>
      </c>
      <c r="K1256" s="213">
        <f>7700*30%</f>
        <v>2310</v>
      </c>
      <c r="L1256" s="176"/>
      <c r="M1256" s="183"/>
      <c r="N1256" s="135"/>
      <c r="O1256" s="135"/>
      <c r="P1256" s="135"/>
      <c r="Q1256" s="135"/>
      <c r="R1256" s="135"/>
      <c r="S1256" s="135"/>
      <c r="T1256" s="135"/>
      <c r="U1256" s="135"/>
      <c r="V1256" s="135"/>
      <c r="W1256" s="135"/>
      <c r="X1256" s="135"/>
      <c r="Y1256" s="135"/>
      <c r="Z1256" s="135"/>
      <c r="AA1256" s="135"/>
      <c r="AB1256" s="135"/>
      <c r="AC1256" s="135"/>
      <c r="AD1256" s="135"/>
      <c r="AE1256" s="135"/>
      <c r="AF1256" s="135"/>
      <c r="AG1256" s="135"/>
      <c r="AH1256" s="135"/>
      <c r="AI1256" s="135"/>
      <c r="AJ1256" s="135"/>
      <c r="AK1256" s="135"/>
      <c r="AL1256" s="135"/>
      <c r="AM1256" s="135"/>
      <c r="AN1256" s="135"/>
      <c r="AO1256" s="135"/>
      <c r="AP1256" s="135"/>
      <c r="AQ1256" s="135"/>
      <c r="AR1256" s="135"/>
      <c r="AS1256" s="135"/>
      <c r="AT1256" s="135"/>
      <c r="AU1256" s="135"/>
    </row>
    <row r="1257" spans="1:47" x14ac:dyDescent="0.2">
      <c r="A1257" s="187"/>
      <c r="B1257" s="188"/>
      <c r="C1257" s="189"/>
      <c r="D1257" s="190"/>
      <c r="E1257" s="191"/>
      <c r="F1257" s="191"/>
      <c r="G1257" s="190"/>
      <c r="H1257" s="304"/>
      <c r="I1257" s="202"/>
      <c r="J1257" s="349"/>
      <c r="K1257" s="319">
        <f>SUM(K1255:K1256)</f>
        <v>7700</v>
      </c>
      <c r="L1257" s="189"/>
      <c r="M1257" s="196"/>
      <c r="N1257" s="135"/>
      <c r="O1257" s="135"/>
      <c r="P1257" s="135"/>
      <c r="Q1257" s="135"/>
      <c r="R1257" s="135"/>
      <c r="S1257" s="135"/>
      <c r="T1257" s="135"/>
      <c r="U1257" s="135"/>
      <c r="V1257" s="135"/>
      <c r="W1257" s="135"/>
      <c r="X1257" s="135"/>
      <c r="Y1257" s="135"/>
      <c r="Z1257" s="135"/>
      <c r="AA1257" s="135"/>
      <c r="AB1257" s="135"/>
      <c r="AC1257" s="135"/>
      <c r="AD1257" s="135"/>
      <c r="AE1257" s="135"/>
      <c r="AF1257" s="135"/>
      <c r="AG1257" s="135"/>
      <c r="AH1257" s="135"/>
      <c r="AI1257" s="135"/>
      <c r="AJ1257" s="135"/>
      <c r="AK1257" s="135"/>
      <c r="AL1257" s="135"/>
      <c r="AM1257" s="135"/>
      <c r="AN1257" s="135"/>
      <c r="AO1257" s="135"/>
      <c r="AP1257" s="135"/>
      <c r="AQ1257" s="135"/>
      <c r="AR1257" s="135"/>
      <c r="AS1257" s="135"/>
      <c r="AT1257" s="135"/>
      <c r="AU1257" s="135"/>
    </row>
    <row r="1258" spans="1:47" ht="48" customHeight="1" x14ac:dyDescent="0.2">
      <c r="A1258" s="163">
        <v>274</v>
      </c>
      <c r="B1258" s="164" t="s">
        <v>1609</v>
      </c>
      <c r="C1258" s="165"/>
      <c r="D1258" s="166" t="s">
        <v>25</v>
      </c>
      <c r="E1258" s="167"/>
      <c r="F1258" s="167" t="s">
        <v>868</v>
      </c>
      <c r="G1258" s="172" t="s">
        <v>1610</v>
      </c>
      <c r="H1258" s="368" t="s">
        <v>546</v>
      </c>
      <c r="I1258" s="217" t="s">
        <v>1611</v>
      </c>
      <c r="J1258" s="371" t="s">
        <v>777</v>
      </c>
      <c r="K1258" s="334">
        <f>K1266*12.5%</f>
        <v>892512.5</v>
      </c>
      <c r="L1258" s="172" t="s">
        <v>1610</v>
      </c>
      <c r="M1258" s="172" t="s">
        <v>1612</v>
      </c>
      <c r="N1258" s="135"/>
      <c r="O1258" s="135"/>
      <c r="P1258" s="135"/>
      <c r="Q1258" s="135"/>
      <c r="R1258" s="135"/>
      <c r="S1258" s="135"/>
      <c r="T1258" s="135"/>
      <c r="U1258" s="135"/>
      <c r="V1258" s="135"/>
      <c r="W1258" s="135"/>
      <c r="X1258" s="135"/>
      <c r="Y1258" s="135"/>
      <c r="Z1258" s="135"/>
      <c r="AA1258" s="135"/>
      <c r="AB1258" s="135"/>
      <c r="AC1258" s="135"/>
      <c r="AD1258" s="135"/>
      <c r="AE1258" s="135"/>
      <c r="AF1258" s="135"/>
      <c r="AG1258" s="135"/>
      <c r="AH1258" s="135"/>
      <c r="AI1258" s="135"/>
      <c r="AJ1258" s="135"/>
      <c r="AK1258" s="135"/>
      <c r="AL1258" s="135"/>
      <c r="AM1258" s="135"/>
      <c r="AN1258" s="135"/>
      <c r="AO1258" s="135"/>
      <c r="AP1258" s="135"/>
      <c r="AQ1258" s="135"/>
      <c r="AR1258" s="135"/>
      <c r="AS1258" s="135"/>
      <c r="AT1258" s="135"/>
      <c r="AU1258" s="135"/>
    </row>
    <row r="1259" spans="1:47" x14ac:dyDescent="0.2">
      <c r="A1259" s="174"/>
      <c r="B1259" s="175"/>
      <c r="C1259" s="176"/>
      <c r="D1259" s="177"/>
      <c r="E1259" s="178"/>
      <c r="F1259" s="178"/>
      <c r="G1259" s="183"/>
      <c r="H1259" s="369"/>
      <c r="I1259" s="186" t="s">
        <v>1613</v>
      </c>
      <c r="J1259" s="206" t="s">
        <v>777</v>
      </c>
      <c r="K1259" s="198">
        <f>K1266*12.5%</f>
        <v>892512.5</v>
      </c>
      <c r="L1259" s="183"/>
      <c r="M1259" s="183"/>
      <c r="N1259" s="135"/>
      <c r="O1259" s="135"/>
      <c r="P1259" s="135"/>
      <c r="Q1259" s="135"/>
      <c r="R1259" s="135"/>
      <c r="S1259" s="135"/>
      <c r="T1259" s="135"/>
      <c r="U1259" s="135"/>
      <c r="V1259" s="135"/>
      <c r="W1259" s="135"/>
      <c r="X1259" s="135"/>
      <c r="Y1259" s="135"/>
      <c r="Z1259" s="135"/>
      <c r="AA1259" s="135"/>
      <c r="AB1259" s="135"/>
      <c r="AC1259" s="135"/>
      <c r="AD1259" s="135"/>
      <c r="AE1259" s="135"/>
      <c r="AF1259" s="135"/>
      <c r="AG1259" s="135"/>
      <c r="AH1259" s="135"/>
      <c r="AI1259" s="135"/>
      <c r="AJ1259" s="135"/>
      <c r="AK1259" s="135"/>
      <c r="AL1259" s="135"/>
      <c r="AM1259" s="135"/>
      <c r="AN1259" s="135"/>
      <c r="AO1259" s="135"/>
      <c r="AP1259" s="135"/>
      <c r="AQ1259" s="135"/>
      <c r="AR1259" s="135"/>
      <c r="AS1259" s="135"/>
      <c r="AT1259" s="135"/>
      <c r="AU1259" s="135"/>
    </row>
    <row r="1260" spans="1:47" x14ac:dyDescent="0.2">
      <c r="A1260" s="174"/>
      <c r="B1260" s="175"/>
      <c r="C1260" s="176"/>
      <c r="D1260" s="177"/>
      <c r="E1260" s="178"/>
      <c r="F1260" s="178"/>
      <c r="G1260" s="183"/>
      <c r="H1260" s="369"/>
      <c r="I1260" s="168" t="s">
        <v>1614</v>
      </c>
      <c r="J1260" s="372" t="s">
        <v>777</v>
      </c>
      <c r="K1260" s="213">
        <f>K1266*12.5%</f>
        <v>892512.5</v>
      </c>
      <c r="L1260" s="183"/>
      <c r="M1260" s="183"/>
      <c r="N1260" s="135"/>
      <c r="O1260" s="135"/>
      <c r="P1260" s="135"/>
      <c r="Q1260" s="135"/>
      <c r="R1260" s="135"/>
      <c r="S1260" s="135"/>
      <c r="T1260" s="135"/>
      <c r="U1260" s="135"/>
      <c r="V1260" s="135"/>
      <c r="W1260" s="135"/>
      <c r="X1260" s="135"/>
      <c r="Y1260" s="135"/>
      <c r="Z1260" s="135"/>
      <c r="AA1260" s="135"/>
      <c r="AB1260" s="135"/>
      <c r="AC1260" s="135"/>
      <c r="AD1260" s="135"/>
      <c r="AE1260" s="135"/>
      <c r="AF1260" s="135"/>
      <c r="AG1260" s="135"/>
      <c r="AH1260" s="135"/>
      <c r="AI1260" s="135"/>
      <c r="AJ1260" s="135"/>
      <c r="AK1260" s="135"/>
      <c r="AL1260" s="135"/>
      <c r="AM1260" s="135"/>
      <c r="AN1260" s="135"/>
      <c r="AO1260" s="135"/>
      <c r="AP1260" s="135"/>
      <c r="AQ1260" s="135"/>
      <c r="AR1260" s="135"/>
      <c r="AS1260" s="135"/>
      <c r="AT1260" s="135"/>
      <c r="AU1260" s="135"/>
    </row>
    <row r="1261" spans="1:47" x14ac:dyDescent="0.2">
      <c r="A1261" s="174"/>
      <c r="B1261" s="175"/>
      <c r="C1261" s="176"/>
      <c r="D1261" s="177"/>
      <c r="E1261" s="178"/>
      <c r="F1261" s="178"/>
      <c r="G1261" s="183"/>
      <c r="H1261" s="369"/>
      <c r="I1261" s="179" t="s">
        <v>1615</v>
      </c>
      <c r="J1261" s="206" t="s">
        <v>777</v>
      </c>
      <c r="K1261" s="213">
        <f>K1266*12.5%</f>
        <v>892512.5</v>
      </c>
      <c r="L1261" s="183"/>
      <c r="M1261" s="183"/>
      <c r="N1261" s="135"/>
      <c r="O1261" s="135"/>
      <c r="P1261" s="135"/>
      <c r="Q1261" s="135"/>
      <c r="R1261" s="135"/>
      <c r="S1261" s="135"/>
      <c r="T1261" s="135"/>
      <c r="U1261" s="135"/>
      <c r="V1261" s="135"/>
      <c r="W1261" s="135"/>
      <c r="X1261" s="135"/>
      <c r="Y1261" s="135"/>
      <c r="Z1261" s="135"/>
      <c r="AA1261" s="135"/>
      <c r="AB1261" s="135"/>
      <c r="AC1261" s="135"/>
      <c r="AD1261" s="135"/>
      <c r="AE1261" s="135"/>
      <c r="AF1261" s="135"/>
      <c r="AG1261" s="135"/>
      <c r="AH1261" s="135"/>
      <c r="AI1261" s="135"/>
      <c r="AJ1261" s="135"/>
      <c r="AK1261" s="135"/>
      <c r="AL1261" s="135"/>
      <c r="AM1261" s="135"/>
      <c r="AN1261" s="135"/>
      <c r="AO1261" s="135"/>
      <c r="AP1261" s="135"/>
      <c r="AQ1261" s="135"/>
      <c r="AR1261" s="135"/>
      <c r="AS1261" s="135"/>
      <c r="AT1261" s="135"/>
      <c r="AU1261" s="135"/>
    </row>
    <row r="1262" spans="1:47" x14ac:dyDescent="0.2">
      <c r="A1262" s="174"/>
      <c r="B1262" s="175"/>
      <c r="C1262" s="176"/>
      <c r="D1262" s="177"/>
      <c r="E1262" s="178"/>
      <c r="F1262" s="178"/>
      <c r="G1262" s="183"/>
      <c r="H1262" s="369"/>
      <c r="I1262" s="179" t="s">
        <v>1616</v>
      </c>
      <c r="J1262" s="372" t="s">
        <v>777</v>
      </c>
      <c r="K1262" s="334">
        <f>K1266*12.5%</f>
        <v>892512.5</v>
      </c>
      <c r="L1262" s="183"/>
      <c r="M1262" s="183"/>
      <c r="N1262" s="135"/>
      <c r="O1262" s="135"/>
      <c r="P1262" s="135"/>
      <c r="Q1262" s="135"/>
      <c r="R1262" s="135"/>
      <c r="S1262" s="135"/>
      <c r="T1262" s="135"/>
      <c r="U1262" s="135"/>
      <c r="V1262" s="135"/>
      <c r="W1262" s="135"/>
      <c r="X1262" s="135"/>
      <c r="Y1262" s="135"/>
      <c r="Z1262" s="135"/>
      <c r="AA1262" s="135"/>
      <c r="AB1262" s="135"/>
      <c r="AC1262" s="135"/>
      <c r="AD1262" s="135"/>
      <c r="AE1262" s="135"/>
      <c r="AF1262" s="135"/>
      <c r="AG1262" s="135"/>
      <c r="AH1262" s="135"/>
      <c r="AI1262" s="135"/>
      <c r="AJ1262" s="135"/>
      <c r="AK1262" s="135"/>
      <c r="AL1262" s="135"/>
      <c r="AM1262" s="135"/>
      <c r="AN1262" s="135"/>
      <c r="AO1262" s="135"/>
      <c r="AP1262" s="135"/>
      <c r="AQ1262" s="135"/>
      <c r="AR1262" s="135"/>
      <c r="AS1262" s="135"/>
      <c r="AT1262" s="135"/>
      <c r="AU1262" s="135"/>
    </row>
    <row r="1263" spans="1:47" ht="48" x14ac:dyDescent="0.2">
      <c r="A1263" s="174"/>
      <c r="B1263" s="175"/>
      <c r="C1263" s="176"/>
      <c r="D1263" s="177"/>
      <c r="E1263" s="178"/>
      <c r="F1263" s="178"/>
      <c r="G1263" s="183"/>
      <c r="H1263" s="369"/>
      <c r="I1263" s="179" t="s">
        <v>1617</v>
      </c>
      <c r="J1263" s="206" t="s">
        <v>777</v>
      </c>
      <c r="K1263" s="198">
        <f>K1266*12.5%</f>
        <v>892512.5</v>
      </c>
      <c r="L1263" s="183"/>
      <c r="M1263" s="183"/>
      <c r="N1263" s="135"/>
      <c r="O1263" s="135"/>
      <c r="P1263" s="135"/>
      <c r="Q1263" s="135"/>
      <c r="R1263" s="135"/>
      <c r="S1263" s="135"/>
      <c r="T1263" s="135"/>
      <c r="U1263" s="135"/>
      <c r="V1263" s="135"/>
      <c r="W1263" s="135"/>
      <c r="X1263" s="135"/>
      <c r="Y1263" s="135"/>
      <c r="Z1263" s="135"/>
      <c r="AA1263" s="135"/>
      <c r="AB1263" s="135"/>
      <c r="AC1263" s="135"/>
      <c r="AD1263" s="135"/>
      <c r="AE1263" s="135"/>
      <c r="AF1263" s="135"/>
      <c r="AG1263" s="135"/>
      <c r="AH1263" s="135"/>
      <c r="AI1263" s="135"/>
      <c r="AJ1263" s="135"/>
      <c r="AK1263" s="135"/>
      <c r="AL1263" s="135"/>
      <c r="AM1263" s="135"/>
      <c r="AN1263" s="135"/>
      <c r="AO1263" s="135"/>
      <c r="AP1263" s="135"/>
      <c r="AQ1263" s="135"/>
      <c r="AR1263" s="135"/>
      <c r="AS1263" s="135"/>
      <c r="AT1263" s="135"/>
      <c r="AU1263" s="135"/>
    </row>
    <row r="1264" spans="1:47" x14ac:dyDescent="0.2">
      <c r="A1264" s="174"/>
      <c r="B1264" s="175"/>
      <c r="C1264" s="176"/>
      <c r="D1264" s="177"/>
      <c r="E1264" s="178"/>
      <c r="F1264" s="178"/>
      <c r="G1264" s="183"/>
      <c r="H1264" s="369"/>
      <c r="I1264" s="179" t="s">
        <v>1618</v>
      </c>
      <c r="J1264" s="206" t="s">
        <v>777</v>
      </c>
      <c r="K1264" s="198">
        <f>K1266*12.5%</f>
        <v>892512.5</v>
      </c>
      <c r="L1264" s="183"/>
      <c r="M1264" s="183"/>
      <c r="N1264" s="135"/>
      <c r="O1264" s="135"/>
      <c r="P1264" s="135"/>
      <c r="Q1264" s="135"/>
      <c r="R1264" s="135"/>
      <c r="S1264" s="135"/>
      <c r="T1264" s="135"/>
      <c r="U1264" s="135"/>
      <c r="V1264" s="135"/>
      <c r="W1264" s="135"/>
      <c r="X1264" s="135"/>
      <c r="Y1264" s="135"/>
      <c r="Z1264" s="135"/>
      <c r="AA1264" s="135"/>
      <c r="AB1264" s="135"/>
      <c r="AC1264" s="135"/>
      <c r="AD1264" s="135"/>
      <c r="AE1264" s="135"/>
      <c r="AF1264" s="135"/>
      <c r="AG1264" s="135"/>
      <c r="AH1264" s="135"/>
      <c r="AI1264" s="135"/>
      <c r="AJ1264" s="135"/>
      <c r="AK1264" s="135"/>
      <c r="AL1264" s="135"/>
      <c r="AM1264" s="135"/>
      <c r="AN1264" s="135"/>
      <c r="AO1264" s="135"/>
      <c r="AP1264" s="135"/>
      <c r="AQ1264" s="135"/>
      <c r="AR1264" s="135"/>
      <c r="AS1264" s="135"/>
      <c r="AT1264" s="135"/>
      <c r="AU1264" s="135"/>
    </row>
    <row r="1265" spans="1:47" x14ac:dyDescent="0.2">
      <c r="A1265" s="174"/>
      <c r="B1265" s="175"/>
      <c r="C1265" s="176"/>
      <c r="D1265" s="177"/>
      <c r="E1265" s="178"/>
      <c r="F1265" s="178"/>
      <c r="G1265" s="183"/>
      <c r="H1265" s="369"/>
      <c r="I1265" s="186" t="s">
        <v>1619</v>
      </c>
      <c r="J1265" s="206" t="s">
        <v>777</v>
      </c>
      <c r="K1265" s="213">
        <f>K1266*12.5%</f>
        <v>892512.5</v>
      </c>
      <c r="L1265" s="183"/>
      <c r="M1265" s="183"/>
      <c r="N1265" s="135"/>
      <c r="O1265" s="135"/>
      <c r="P1265" s="135"/>
      <c r="Q1265" s="135"/>
      <c r="R1265" s="135"/>
      <c r="S1265" s="135"/>
      <c r="T1265" s="135"/>
      <c r="U1265" s="135"/>
      <c r="V1265" s="135"/>
      <c r="W1265" s="135"/>
      <c r="X1265" s="135"/>
      <c r="Y1265" s="135"/>
      <c r="Z1265" s="135"/>
      <c r="AA1265" s="135"/>
      <c r="AB1265" s="135"/>
      <c r="AC1265" s="135"/>
      <c r="AD1265" s="135"/>
      <c r="AE1265" s="135"/>
      <c r="AF1265" s="135"/>
      <c r="AG1265" s="135"/>
      <c r="AH1265" s="135"/>
      <c r="AI1265" s="135"/>
      <c r="AJ1265" s="135"/>
      <c r="AK1265" s="135"/>
      <c r="AL1265" s="135"/>
      <c r="AM1265" s="135"/>
      <c r="AN1265" s="135"/>
      <c r="AO1265" s="135"/>
      <c r="AP1265" s="135"/>
      <c r="AQ1265" s="135"/>
      <c r="AR1265" s="135"/>
      <c r="AS1265" s="135"/>
      <c r="AT1265" s="135"/>
      <c r="AU1265" s="135"/>
    </row>
    <row r="1266" spans="1:47" x14ac:dyDescent="0.2">
      <c r="A1266" s="187"/>
      <c r="B1266" s="188"/>
      <c r="C1266" s="189"/>
      <c r="D1266" s="190"/>
      <c r="E1266" s="191"/>
      <c r="F1266" s="191"/>
      <c r="G1266" s="196"/>
      <c r="H1266" s="370"/>
      <c r="I1266" s="168"/>
      <c r="J1266" s="203"/>
      <c r="K1266" s="198">
        <v>7140100</v>
      </c>
      <c r="L1266" s="196"/>
      <c r="M1266" s="196"/>
      <c r="N1266" s="135"/>
      <c r="O1266" s="135"/>
      <c r="P1266" s="135"/>
      <c r="Q1266" s="135"/>
      <c r="R1266" s="135"/>
      <c r="S1266" s="135"/>
      <c r="T1266" s="135"/>
      <c r="U1266" s="135"/>
      <c r="V1266" s="135"/>
      <c r="W1266" s="135"/>
      <c r="X1266" s="135"/>
      <c r="Y1266" s="135"/>
      <c r="Z1266" s="135"/>
      <c r="AA1266" s="135"/>
      <c r="AB1266" s="135"/>
      <c r="AC1266" s="135"/>
      <c r="AD1266" s="135"/>
      <c r="AE1266" s="135"/>
      <c r="AF1266" s="135"/>
      <c r="AG1266" s="135"/>
      <c r="AH1266" s="135"/>
      <c r="AI1266" s="135"/>
      <c r="AJ1266" s="135"/>
      <c r="AK1266" s="135"/>
      <c r="AL1266" s="135"/>
      <c r="AM1266" s="135"/>
      <c r="AN1266" s="135"/>
      <c r="AO1266" s="135"/>
      <c r="AP1266" s="135"/>
      <c r="AQ1266" s="135"/>
      <c r="AR1266" s="135"/>
      <c r="AS1266" s="135"/>
      <c r="AT1266" s="135"/>
      <c r="AU1266" s="135"/>
    </row>
    <row r="1267" spans="1:47" ht="24" customHeight="1" x14ac:dyDescent="0.2">
      <c r="A1267" s="163">
        <v>275</v>
      </c>
      <c r="B1267" s="164" t="s">
        <v>1620</v>
      </c>
      <c r="C1267" s="165"/>
      <c r="D1267" s="166" t="s">
        <v>161</v>
      </c>
      <c r="E1267" s="167"/>
      <c r="F1267" s="167"/>
      <c r="G1267" s="166"/>
      <c r="H1267" s="301"/>
      <c r="I1267" s="217" t="s">
        <v>1621</v>
      </c>
      <c r="J1267" s="347" t="s">
        <v>1622</v>
      </c>
      <c r="K1267" s="278">
        <f>100500*70%</f>
        <v>70350</v>
      </c>
      <c r="L1267" s="165" t="s">
        <v>164</v>
      </c>
      <c r="M1267" s="172" t="s">
        <v>1623</v>
      </c>
      <c r="N1267" s="135"/>
      <c r="O1267" s="135"/>
      <c r="P1267" s="135"/>
      <c r="Q1267" s="135"/>
      <c r="R1267" s="135"/>
      <c r="S1267" s="135"/>
      <c r="T1267" s="135"/>
      <c r="U1267" s="135"/>
      <c r="V1267" s="135"/>
      <c r="W1267" s="135"/>
      <c r="X1267" s="135"/>
      <c r="Y1267" s="135"/>
      <c r="Z1267" s="135"/>
      <c r="AA1267" s="135"/>
      <c r="AB1267" s="135"/>
      <c r="AC1267" s="135"/>
      <c r="AD1267" s="135"/>
      <c r="AE1267" s="135"/>
      <c r="AF1267" s="135"/>
      <c r="AG1267" s="135"/>
      <c r="AH1267" s="135"/>
      <c r="AI1267" s="135"/>
      <c r="AJ1267" s="135"/>
      <c r="AK1267" s="135"/>
      <c r="AL1267" s="135"/>
      <c r="AM1267" s="135"/>
      <c r="AN1267" s="135"/>
      <c r="AO1267" s="135"/>
      <c r="AP1267" s="135"/>
      <c r="AQ1267" s="135"/>
      <c r="AR1267" s="135"/>
      <c r="AS1267" s="135"/>
      <c r="AT1267" s="135"/>
      <c r="AU1267" s="135"/>
    </row>
    <row r="1268" spans="1:47" x14ac:dyDescent="0.2">
      <c r="A1268" s="174"/>
      <c r="B1268" s="175"/>
      <c r="C1268" s="176"/>
      <c r="D1268" s="177"/>
      <c r="E1268" s="178"/>
      <c r="F1268" s="178"/>
      <c r="G1268" s="177"/>
      <c r="H1268" s="303"/>
      <c r="I1268" s="186" t="s">
        <v>1624</v>
      </c>
      <c r="J1268" s="348" t="s">
        <v>1622</v>
      </c>
      <c r="K1268" s="213">
        <f t="shared" ref="K1268:K1273" si="19">100500*5%</f>
        <v>5025</v>
      </c>
      <c r="L1268" s="176"/>
      <c r="M1268" s="183"/>
      <c r="N1268" s="135"/>
      <c r="O1268" s="135"/>
      <c r="P1268" s="135"/>
      <c r="Q1268" s="135"/>
      <c r="R1268" s="135"/>
      <c r="S1268" s="135"/>
      <c r="T1268" s="135"/>
      <c r="U1268" s="135"/>
      <c r="V1268" s="135"/>
      <c r="W1268" s="135"/>
      <c r="X1268" s="135"/>
      <c r="Y1268" s="135"/>
      <c r="Z1268" s="135"/>
      <c r="AA1268" s="135"/>
      <c r="AB1268" s="135"/>
      <c r="AC1268" s="135"/>
      <c r="AD1268" s="135"/>
      <c r="AE1268" s="135"/>
      <c r="AF1268" s="135"/>
      <c r="AG1268" s="135"/>
      <c r="AH1268" s="135"/>
      <c r="AI1268" s="135"/>
      <c r="AJ1268" s="135"/>
      <c r="AK1268" s="135"/>
      <c r="AL1268" s="135"/>
      <c r="AM1268" s="135"/>
      <c r="AN1268" s="135"/>
      <c r="AO1268" s="135"/>
      <c r="AP1268" s="135"/>
      <c r="AQ1268" s="135"/>
      <c r="AR1268" s="135"/>
      <c r="AS1268" s="135"/>
      <c r="AT1268" s="135"/>
      <c r="AU1268" s="135"/>
    </row>
    <row r="1269" spans="1:47" x14ac:dyDescent="0.2">
      <c r="A1269" s="174"/>
      <c r="B1269" s="175"/>
      <c r="C1269" s="176"/>
      <c r="D1269" s="177"/>
      <c r="E1269" s="178"/>
      <c r="F1269" s="178"/>
      <c r="G1269" s="177"/>
      <c r="H1269" s="303"/>
      <c r="I1269" s="186" t="s">
        <v>1625</v>
      </c>
      <c r="J1269" s="348" t="s">
        <v>1622</v>
      </c>
      <c r="K1269" s="213">
        <f t="shared" si="19"/>
        <v>5025</v>
      </c>
      <c r="L1269" s="176"/>
      <c r="M1269" s="183"/>
      <c r="N1269" s="135"/>
      <c r="O1269" s="135"/>
      <c r="P1269" s="135"/>
      <c r="Q1269" s="135"/>
      <c r="R1269" s="135"/>
      <c r="S1269" s="135"/>
      <c r="T1269" s="135"/>
      <c r="U1269" s="135"/>
      <c r="V1269" s="135"/>
      <c r="W1269" s="135"/>
      <c r="X1269" s="135"/>
      <c r="Y1269" s="135"/>
      <c r="Z1269" s="135"/>
      <c r="AA1269" s="135"/>
      <c r="AB1269" s="135"/>
      <c r="AC1269" s="135"/>
      <c r="AD1269" s="135"/>
      <c r="AE1269" s="135"/>
      <c r="AF1269" s="135"/>
      <c r="AG1269" s="135"/>
      <c r="AH1269" s="135"/>
      <c r="AI1269" s="135"/>
      <c r="AJ1269" s="135"/>
      <c r="AK1269" s="135"/>
      <c r="AL1269" s="135"/>
      <c r="AM1269" s="135"/>
      <c r="AN1269" s="135"/>
      <c r="AO1269" s="135"/>
      <c r="AP1269" s="135"/>
      <c r="AQ1269" s="135"/>
      <c r="AR1269" s="135"/>
      <c r="AS1269" s="135"/>
      <c r="AT1269" s="135"/>
      <c r="AU1269" s="135"/>
    </row>
    <row r="1270" spans="1:47" x14ac:dyDescent="0.2">
      <c r="A1270" s="174"/>
      <c r="B1270" s="175"/>
      <c r="C1270" s="176"/>
      <c r="D1270" s="177"/>
      <c r="E1270" s="178"/>
      <c r="F1270" s="178"/>
      <c r="G1270" s="177"/>
      <c r="H1270" s="303"/>
      <c r="I1270" s="186" t="s">
        <v>1626</v>
      </c>
      <c r="J1270" s="348" t="s">
        <v>1622</v>
      </c>
      <c r="K1270" s="213">
        <f t="shared" si="19"/>
        <v>5025</v>
      </c>
      <c r="L1270" s="176"/>
      <c r="M1270" s="183"/>
      <c r="N1270" s="135"/>
      <c r="O1270" s="135"/>
      <c r="P1270" s="135"/>
      <c r="Q1270" s="135"/>
      <c r="R1270" s="135"/>
      <c r="S1270" s="135"/>
      <c r="T1270" s="135"/>
      <c r="U1270" s="135"/>
      <c r="V1270" s="135"/>
      <c r="W1270" s="135"/>
      <c r="X1270" s="135"/>
      <c r="Y1270" s="135"/>
      <c r="Z1270" s="135"/>
      <c r="AA1270" s="135"/>
      <c r="AB1270" s="135"/>
      <c r="AC1270" s="135"/>
      <c r="AD1270" s="135"/>
      <c r="AE1270" s="135"/>
      <c r="AF1270" s="135"/>
      <c r="AG1270" s="135"/>
      <c r="AH1270" s="135"/>
      <c r="AI1270" s="135"/>
      <c r="AJ1270" s="135"/>
      <c r="AK1270" s="135"/>
      <c r="AL1270" s="135"/>
      <c r="AM1270" s="135"/>
      <c r="AN1270" s="135"/>
      <c r="AO1270" s="135"/>
      <c r="AP1270" s="135"/>
      <c r="AQ1270" s="135"/>
      <c r="AR1270" s="135"/>
      <c r="AS1270" s="135"/>
      <c r="AT1270" s="135"/>
      <c r="AU1270" s="135"/>
    </row>
    <row r="1271" spans="1:47" x14ac:dyDescent="0.2">
      <c r="A1271" s="174"/>
      <c r="B1271" s="175"/>
      <c r="C1271" s="176"/>
      <c r="D1271" s="177"/>
      <c r="E1271" s="178"/>
      <c r="F1271" s="178"/>
      <c r="G1271" s="177"/>
      <c r="H1271" s="303"/>
      <c r="I1271" s="186" t="s">
        <v>1627</v>
      </c>
      <c r="J1271" s="348" t="s">
        <v>1622</v>
      </c>
      <c r="K1271" s="213">
        <f t="shared" si="19"/>
        <v>5025</v>
      </c>
      <c r="L1271" s="176"/>
      <c r="M1271" s="183"/>
      <c r="N1271" s="135"/>
      <c r="O1271" s="135"/>
      <c r="P1271" s="135"/>
      <c r="Q1271" s="135"/>
      <c r="R1271" s="135"/>
      <c r="S1271" s="135"/>
      <c r="T1271" s="135"/>
      <c r="U1271" s="135"/>
      <c r="V1271" s="135"/>
      <c r="W1271" s="135"/>
      <c r="X1271" s="135"/>
      <c r="Y1271" s="135"/>
      <c r="Z1271" s="135"/>
      <c r="AA1271" s="135"/>
      <c r="AB1271" s="135"/>
      <c r="AC1271" s="135"/>
      <c r="AD1271" s="135"/>
      <c r="AE1271" s="135"/>
      <c r="AF1271" s="135"/>
      <c r="AG1271" s="135"/>
      <c r="AH1271" s="135"/>
      <c r="AI1271" s="135"/>
      <c r="AJ1271" s="135"/>
      <c r="AK1271" s="135"/>
      <c r="AL1271" s="135"/>
      <c r="AM1271" s="135"/>
      <c r="AN1271" s="135"/>
      <c r="AO1271" s="135"/>
      <c r="AP1271" s="135"/>
      <c r="AQ1271" s="135"/>
      <c r="AR1271" s="135"/>
      <c r="AS1271" s="135"/>
      <c r="AT1271" s="135"/>
      <c r="AU1271" s="135"/>
    </row>
    <row r="1272" spans="1:47" x14ac:dyDescent="0.2">
      <c r="A1272" s="174"/>
      <c r="B1272" s="175"/>
      <c r="C1272" s="176"/>
      <c r="D1272" s="177"/>
      <c r="E1272" s="178"/>
      <c r="F1272" s="178"/>
      <c r="G1272" s="177"/>
      <c r="H1272" s="303"/>
      <c r="I1272" s="186" t="s">
        <v>1628</v>
      </c>
      <c r="J1272" s="348" t="s">
        <v>1622</v>
      </c>
      <c r="K1272" s="213">
        <f t="shared" si="19"/>
        <v>5025</v>
      </c>
      <c r="L1272" s="176"/>
      <c r="M1272" s="183"/>
      <c r="N1272" s="135"/>
      <c r="O1272" s="135"/>
      <c r="P1272" s="135"/>
      <c r="Q1272" s="135"/>
      <c r="R1272" s="135"/>
      <c r="S1272" s="135"/>
      <c r="T1272" s="135"/>
      <c r="U1272" s="135"/>
      <c r="V1272" s="135"/>
      <c r="W1272" s="135"/>
      <c r="X1272" s="135"/>
      <c r="Y1272" s="135"/>
      <c r="Z1272" s="135"/>
      <c r="AA1272" s="135"/>
      <c r="AB1272" s="135"/>
      <c r="AC1272" s="135"/>
      <c r="AD1272" s="135"/>
      <c r="AE1272" s="135"/>
      <c r="AF1272" s="135"/>
      <c r="AG1272" s="135"/>
      <c r="AH1272" s="135"/>
      <c r="AI1272" s="135"/>
      <c r="AJ1272" s="135"/>
      <c r="AK1272" s="135"/>
      <c r="AL1272" s="135"/>
      <c r="AM1272" s="135"/>
      <c r="AN1272" s="135"/>
      <c r="AO1272" s="135"/>
      <c r="AP1272" s="135"/>
      <c r="AQ1272" s="135"/>
      <c r="AR1272" s="135"/>
      <c r="AS1272" s="135"/>
      <c r="AT1272" s="135"/>
      <c r="AU1272" s="135"/>
    </row>
    <row r="1273" spans="1:47" x14ac:dyDescent="0.2">
      <c r="A1273" s="174"/>
      <c r="B1273" s="175"/>
      <c r="C1273" s="176"/>
      <c r="D1273" s="177"/>
      <c r="E1273" s="178"/>
      <c r="F1273" s="178"/>
      <c r="G1273" s="177"/>
      <c r="H1273" s="303"/>
      <c r="I1273" s="186" t="s">
        <v>1629</v>
      </c>
      <c r="J1273" s="348" t="s">
        <v>1622</v>
      </c>
      <c r="K1273" s="213">
        <f t="shared" si="19"/>
        <v>5025</v>
      </c>
      <c r="L1273" s="176"/>
      <c r="M1273" s="183"/>
      <c r="N1273" s="135"/>
      <c r="O1273" s="135"/>
      <c r="P1273" s="135"/>
      <c r="Q1273" s="135"/>
      <c r="R1273" s="135"/>
      <c r="S1273" s="135"/>
      <c r="T1273" s="135"/>
      <c r="U1273" s="135"/>
      <c r="V1273" s="135"/>
      <c r="W1273" s="135"/>
      <c r="X1273" s="135"/>
      <c r="Y1273" s="135"/>
      <c r="Z1273" s="135"/>
      <c r="AA1273" s="135"/>
      <c r="AB1273" s="135"/>
      <c r="AC1273" s="135"/>
      <c r="AD1273" s="135"/>
      <c r="AE1273" s="135"/>
      <c r="AF1273" s="135"/>
      <c r="AG1273" s="135"/>
      <c r="AH1273" s="135"/>
      <c r="AI1273" s="135"/>
      <c r="AJ1273" s="135"/>
      <c r="AK1273" s="135"/>
      <c r="AL1273" s="135"/>
      <c r="AM1273" s="135"/>
      <c r="AN1273" s="135"/>
      <c r="AO1273" s="135"/>
      <c r="AP1273" s="135"/>
      <c r="AQ1273" s="135"/>
      <c r="AR1273" s="135"/>
      <c r="AS1273" s="135"/>
      <c r="AT1273" s="135"/>
      <c r="AU1273" s="135"/>
    </row>
    <row r="1274" spans="1:47" x14ac:dyDescent="0.2">
      <c r="A1274" s="187"/>
      <c r="B1274" s="188"/>
      <c r="C1274" s="189"/>
      <c r="D1274" s="190"/>
      <c r="E1274" s="191"/>
      <c r="F1274" s="191"/>
      <c r="G1274" s="190"/>
      <c r="H1274" s="304"/>
      <c r="I1274" s="179"/>
      <c r="J1274" s="203"/>
      <c r="K1274" s="198">
        <f>SUM(K1267:K1273)</f>
        <v>100500</v>
      </c>
      <c r="L1274" s="189"/>
      <c r="M1274" s="196"/>
      <c r="N1274" s="135"/>
      <c r="O1274" s="135"/>
      <c r="P1274" s="135"/>
      <c r="Q1274" s="135"/>
      <c r="R1274" s="135"/>
      <c r="S1274" s="135"/>
      <c r="T1274" s="135"/>
      <c r="U1274" s="135"/>
      <c r="V1274" s="135"/>
      <c r="W1274" s="135"/>
      <c r="X1274" s="135"/>
      <c r="Y1274" s="135"/>
      <c r="Z1274" s="135"/>
      <c r="AA1274" s="135"/>
      <c r="AB1274" s="135"/>
      <c r="AC1274" s="135"/>
      <c r="AD1274" s="135"/>
      <c r="AE1274" s="135"/>
      <c r="AF1274" s="135"/>
      <c r="AG1274" s="135"/>
      <c r="AH1274" s="135"/>
      <c r="AI1274" s="135"/>
      <c r="AJ1274" s="135"/>
      <c r="AK1274" s="135"/>
      <c r="AL1274" s="135"/>
      <c r="AM1274" s="135"/>
      <c r="AN1274" s="135"/>
      <c r="AO1274" s="135"/>
      <c r="AP1274" s="135"/>
      <c r="AQ1274" s="135"/>
      <c r="AR1274" s="135"/>
      <c r="AS1274" s="135"/>
      <c r="AT1274" s="135"/>
      <c r="AU1274" s="135"/>
    </row>
    <row r="1275" spans="1:47" ht="24" customHeight="1" x14ac:dyDescent="0.2">
      <c r="A1275" s="163">
        <v>276</v>
      </c>
      <c r="B1275" s="164" t="s">
        <v>1630</v>
      </c>
      <c r="C1275" s="165"/>
      <c r="D1275" s="166" t="s">
        <v>25</v>
      </c>
      <c r="E1275" s="167"/>
      <c r="F1275" s="167"/>
      <c r="G1275" s="166"/>
      <c r="H1275" s="301"/>
      <c r="I1275" s="217" t="s">
        <v>1631</v>
      </c>
      <c r="J1275" s="347" t="s">
        <v>1622</v>
      </c>
      <c r="K1275" s="373">
        <f t="shared" ref="K1275:K1279" si="20">2800000*20%</f>
        <v>560000</v>
      </c>
      <c r="L1275" s="165" t="s">
        <v>1632</v>
      </c>
      <c r="M1275" s="172" t="s">
        <v>1633</v>
      </c>
      <c r="N1275" s="135"/>
      <c r="O1275" s="135"/>
      <c r="P1275" s="135"/>
      <c r="Q1275" s="135"/>
      <c r="R1275" s="135"/>
      <c r="S1275" s="135"/>
      <c r="T1275" s="135"/>
      <c r="U1275" s="135"/>
      <c r="V1275" s="135"/>
      <c r="W1275" s="135"/>
      <c r="X1275" s="135"/>
      <c r="Y1275" s="135"/>
      <c r="Z1275" s="135"/>
      <c r="AA1275" s="135"/>
      <c r="AB1275" s="135"/>
      <c r="AC1275" s="135"/>
      <c r="AD1275" s="135"/>
      <c r="AE1275" s="135"/>
      <c r="AF1275" s="135"/>
      <c r="AG1275" s="135"/>
      <c r="AH1275" s="135"/>
      <c r="AI1275" s="135"/>
      <c r="AJ1275" s="135"/>
      <c r="AK1275" s="135"/>
      <c r="AL1275" s="135"/>
      <c r="AM1275" s="135"/>
      <c r="AN1275" s="135"/>
      <c r="AO1275" s="135"/>
      <c r="AP1275" s="135"/>
      <c r="AQ1275" s="135"/>
      <c r="AR1275" s="135"/>
      <c r="AS1275" s="135"/>
      <c r="AT1275" s="135"/>
      <c r="AU1275" s="135"/>
    </row>
    <row r="1276" spans="1:47" x14ac:dyDescent="0.2">
      <c r="A1276" s="174"/>
      <c r="B1276" s="175"/>
      <c r="C1276" s="176"/>
      <c r="D1276" s="177"/>
      <c r="E1276" s="178"/>
      <c r="F1276" s="178"/>
      <c r="G1276" s="177"/>
      <c r="H1276" s="303"/>
      <c r="I1276" s="186" t="s">
        <v>1634</v>
      </c>
      <c r="J1276" s="348" t="s">
        <v>1622</v>
      </c>
      <c r="K1276" s="374">
        <f t="shared" si="20"/>
        <v>560000</v>
      </c>
      <c r="L1276" s="176"/>
      <c r="M1276" s="183"/>
      <c r="N1276" s="135"/>
      <c r="O1276" s="135"/>
      <c r="P1276" s="135"/>
      <c r="Q1276" s="135"/>
      <c r="R1276" s="135"/>
      <c r="S1276" s="135"/>
      <c r="T1276" s="135"/>
      <c r="U1276" s="135"/>
      <c r="V1276" s="135"/>
      <c r="W1276" s="135"/>
      <c r="X1276" s="135"/>
      <c r="Y1276" s="135"/>
      <c r="Z1276" s="135"/>
      <c r="AA1276" s="135"/>
      <c r="AB1276" s="135"/>
      <c r="AC1276" s="135"/>
      <c r="AD1276" s="135"/>
      <c r="AE1276" s="135"/>
      <c r="AF1276" s="135"/>
      <c r="AG1276" s="135"/>
      <c r="AH1276" s="135"/>
      <c r="AI1276" s="135"/>
      <c r="AJ1276" s="135"/>
      <c r="AK1276" s="135"/>
      <c r="AL1276" s="135"/>
      <c r="AM1276" s="135"/>
      <c r="AN1276" s="135"/>
      <c r="AO1276" s="135"/>
      <c r="AP1276" s="135"/>
      <c r="AQ1276" s="135"/>
      <c r="AR1276" s="135"/>
      <c r="AS1276" s="135"/>
      <c r="AT1276" s="135"/>
      <c r="AU1276" s="135"/>
    </row>
    <row r="1277" spans="1:47" x14ac:dyDescent="0.2">
      <c r="A1277" s="174"/>
      <c r="B1277" s="175"/>
      <c r="C1277" s="176"/>
      <c r="D1277" s="177"/>
      <c r="E1277" s="178"/>
      <c r="F1277" s="178"/>
      <c r="G1277" s="177"/>
      <c r="H1277" s="303"/>
      <c r="I1277" s="186" t="s">
        <v>1635</v>
      </c>
      <c r="J1277" s="348" t="s">
        <v>1622</v>
      </c>
      <c r="K1277" s="374">
        <f t="shared" si="20"/>
        <v>560000</v>
      </c>
      <c r="L1277" s="176"/>
      <c r="M1277" s="183"/>
      <c r="N1277" s="135"/>
      <c r="O1277" s="135"/>
      <c r="P1277" s="135"/>
      <c r="Q1277" s="135"/>
      <c r="R1277" s="135"/>
      <c r="S1277" s="135"/>
      <c r="T1277" s="135"/>
      <c r="U1277" s="135"/>
      <c r="V1277" s="135"/>
      <c r="W1277" s="135"/>
      <c r="X1277" s="135"/>
      <c r="Y1277" s="135"/>
      <c r="Z1277" s="135"/>
      <c r="AA1277" s="135"/>
      <c r="AB1277" s="135"/>
      <c r="AC1277" s="135"/>
      <c r="AD1277" s="135"/>
      <c r="AE1277" s="135"/>
      <c r="AF1277" s="135"/>
      <c r="AG1277" s="135"/>
      <c r="AH1277" s="135"/>
      <c r="AI1277" s="135"/>
      <c r="AJ1277" s="135"/>
      <c r="AK1277" s="135"/>
      <c r="AL1277" s="135"/>
      <c r="AM1277" s="135"/>
      <c r="AN1277" s="135"/>
      <c r="AO1277" s="135"/>
      <c r="AP1277" s="135"/>
      <c r="AQ1277" s="135"/>
      <c r="AR1277" s="135"/>
      <c r="AS1277" s="135"/>
      <c r="AT1277" s="135"/>
      <c r="AU1277" s="135"/>
    </row>
    <row r="1278" spans="1:47" x14ac:dyDescent="0.2">
      <c r="A1278" s="174"/>
      <c r="B1278" s="175"/>
      <c r="C1278" s="176"/>
      <c r="D1278" s="177"/>
      <c r="E1278" s="178"/>
      <c r="F1278" s="178"/>
      <c r="G1278" s="177"/>
      <c r="H1278" s="303"/>
      <c r="I1278" s="186" t="s">
        <v>1636</v>
      </c>
      <c r="J1278" s="348" t="s">
        <v>1622</v>
      </c>
      <c r="K1278" s="374">
        <f t="shared" si="20"/>
        <v>560000</v>
      </c>
      <c r="L1278" s="176"/>
      <c r="M1278" s="183"/>
      <c r="N1278" s="135"/>
      <c r="O1278" s="135"/>
      <c r="P1278" s="135"/>
      <c r="Q1278" s="135"/>
      <c r="R1278" s="135"/>
      <c r="S1278" s="135"/>
      <c r="T1278" s="135"/>
      <c r="U1278" s="135"/>
      <c r="V1278" s="135"/>
      <c r="W1278" s="135"/>
      <c r="X1278" s="135"/>
      <c r="Y1278" s="135"/>
      <c r="Z1278" s="135"/>
      <c r="AA1278" s="135"/>
      <c r="AB1278" s="135"/>
      <c r="AC1278" s="135"/>
      <c r="AD1278" s="135"/>
      <c r="AE1278" s="135"/>
      <c r="AF1278" s="135"/>
      <c r="AG1278" s="135"/>
      <c r="AH1278" s="135"/>
      <c r="AI1278" s="135"/>
      <c r="AJ1278" s="135"/>
      <c r="AK1278" s="135"/>
      <c r="AL1278" s="135"/>
      <c r="AM1278" s="135"/>
      <c r="AN1278" s="135"/>
      <c r="AO1278" s="135"/>
      <c r="AP1278" s="135"/>
      <c r="AQ1278" s="135"/>
      <c r="AR1278" s="135"/>
      <c r="AS1278" s="135"/>
      <c r="AT1278" s="135"/>
      <c r="AU1278" s="135"/>
    </row>
    <row r="1279" spans="1:47" x14ac:dyDescent="0.2">
      <c r="A1279" s="174"/>
      <c r="B1279" s="175"/>
      <c r="C1279" s="176"/>
      <c r="D1279" s="177"/>
      <c r="E1279" s="178"/>
      <c r="F1279" s="178"/>
      <c r="G1279" s="177"/>
      <c r="H1279" s="303"/>
      <c r="I1279" s="186" t="s">
        <v>1637</v>
      </c>
      <c r="J1279" s="348" t="s">
        <v>1622</v>
      </c>
      <c r="K1279" s="374">
        <f t="shared" si="20"/>
        <v>560000</v>
      </c>
      <c r="L1279" s="176"/>
      <c r="M1279" s="183"/>
      <c r="N1279" s="135"/>
      <c r="O1279" s="135"/>
      <c r="P1279" s="135"/>
      <c r="Q1279" s="135"/>
      <c r="R1279" s="135"/>
      <c r="S1279" s="135"/>
      <c r="T1279" s="135"/>
      <c r="U1279" s="135"/>
      <c r="V1279" s="135"/>
      <c r="W1279" s="135"/>
      <c r="X1279" s="135"/>
      <c r="Y1279" s="135"/>
      <c r="Z1279" s="135"/>
      <c r="AA1279" s="135"/>
      <c r="AB1279" s="135"/>
      <c r="AC1279" s="135"/>
      <c r="AD1279" s="135"/>
      <c r="AE1279" s="135"/>
      <c r="AF1279" s="135"/>
      <c r="AG1279" s="135"/>
      <c r="AH1279" s="135"/>
      <c r="AI1279" s="135"/>
      <c r="AJ1279" s="135"/>
      <c r="AK1279" s="135"/>
      <c r="AL1279" s="135"/>
      <c r="AM1279" s="135"/>
      <c r="AN1279" s="135"/>
      <c r="AO1279" s="135"/>
      <c r="AP1279" s="135"/>
      <c r="AQ1279" s="135"/>
      <c r="AR1279" s="135"/>
      <c r="AS1279" s="135"/>
      <c r="AT1279" s="135"/>
      <c r="AU1279" s="135"/>
    </row>
    <row r="1280" spans="1:47" x14ac:dyDescent="0.2">
      <c r="A1280" s="187"/>
      <c r="B1280" s="188"/>
      <c r="C1280" s="189"/>
      <c r="D1280" s="190"/>
      <c r="E1280" s="191"/>
      <c r="F1280" s="191"/>
      <c r="G1280" s="190"/>
      <c r="H1280" s="304"/>
      <c r="I1280" s="179"/>
      <c r="J1280" s="356"/>
      <c r="K1280" s="198">
        <f>SUM(K1275:K1279)</f>
        <v>2800000</v>
      </c>
      <c r="L1280" s="189"/>
      <c r="M1280" s="196"/>
      <c r="N1280" s="135"/>
      <c r="O1280" s="135"/>
      <c r="P1280" s="135"/>
      <c r="Q1280" s="135"/>
      <c r="R1280" s="135"/>
      <c r="S1280" s="135"/>
      <c r="T1280" s="135"/>
      <c r="U1280" s="135"/>
      <c r="V1280" s="135"/>
      <c r="W1280" s="135"/>
      <c r="X1280" s="135"/>
      <c r="Y1280" s="135"/>
      <c r="Z1280" s="135"/>
      <c r="AA1280" s="135"/>
      <c r="AB1280" s="135"/>
      <c r="AC1280" s="135"/>
      <c r="AD1280" s="135"/>
      <c r="AE1280" s="135"/>
      <c r="AF1280" s="135"/>
      <c r="AG1280" s="135"/>
      <c r="AH1280" s="135"/>
      <c r="AI1280" s="135"/>
      <c r="AJ1280" s="135"/>
      <c r="AK1280" s="135"/>
      <c r="AL1280" s="135"/>
      <c r="AM1280" s="135"/>
      <c r="AN1280" s="135"/>
      <c r="AO1280" s="135"/>
      <c r="AP1280" s="135"/>
      <c r="AQ1280" s="135"/>
      <c r="AR1280" s="135"/>
      <c r="AS1280" s="135"/>
      <c r="AT1280" s="135"/>
      <c r="AU1280" s="135"/>
    </row>
    <row r="1281" spans="1:47" ht="48" customHeight="1" x14ac:dyDescent="0.2">
      <c r="A1281" s="163">
        <v>277</v>
      </c>
      <c r="B1281" s="164" t="s">
        <v>1638</v>
      </c>
      <c r="C1281" s="165"/>
      <c r="D1281" s="166" t="s">
        <v>107</v>
      </c>
      <c r="E1281" s="167"/>
      <c r="F1281" s="167"/>
      <c r="G1281" s="166"/>
      <c r="H1281" s="301" t="s">
        <v>108</v>
      </c>
      <c r="I1281" s="217" t="s">
        <v>1639</v>
      </c>
      <c r="J1281" s="355" t="s">
        <v>1640</v>
      </c>
      <c r="K1281" s="278">
        <f>11500*40%</f>
        <v>4600</v>
      </c>
      <c r="L1281" s="165" t="s">
        <v>111</v>
      </c>
      <c r="M1281" s="172" t="s">
        <v>1641</v>
      </c>
      <c r="N1281" s="135"/>
      <c r="O1281" s="135"/>
      <c r="P1281" s="135"/>
      <c r="Q1281" s="135"/>
      <c r="R1281" s="135"/>
      <c r="S1281" s="135"/>
      <c r="T1281" s="135"/>
      <c r="U1281" s="135"/>
      <c r="V1281" s="135"/>
      <c r="W1281" s="135"/>
      <c r="X1281" s="135"/>
      <c r="Y1281" s="135"/>
      <c r="Z1281" s="135"/>
      <c r="AA1281" s="135"/>
      <c r="AB1281" s="135"/>
      <c r="AC1281" s="135"/>
      <c r="AD1281" s="135"/>
      <c r="AE1281" s="135"/>
      <c r="AF1281" s="135"/>
      <c r="AG1281" s="135"/>
      <c r="AH1281" s="135"/>
      <c r="AI1281" s="135"/>
      <c r="AJ1281" s="135"/>
      <c r="AK1281" s="135"/>
      <c r="AL1281" s="135"/>
      <c r="AM1281" s="135"/>
      <c r="AN1281" s="135"/>
      <c r="AO1281" s="135"/>
      <c r="AP1281" s="135"/>
      <c r="AQ1281" s="135"/>
      <c r="AR1281" s="135"/>
      <c r="AS1281" s="135"/>
      <c r="AT1281" s="135"/>
      <c r="AU1281" s="135"/>
    </row>
    <row r="1282" spans="1:47" x14ac:dyDescent="0.2">
      <c r="A1282" s="174"/>
      <c r="B1282" s="175"/>
      <c r="C1282" s="176"/>
      <c r="D1282" s="177"/>
      <c r="E1282" s="178"/>
      <c r="F1282" s="178"/>
      <c r="G1282" s="177"/>
      <c r="H1282" s="303"/>
      <c r="I1282" s="186" t="s">
        <v>1642</v>
      </c>
      <c r="J1282" s="348" t="s">
        <v>1643</v>
      </c>
      <c r="K1282" s="213">
        <f>11500*30%</f>
        <v>3450</v>
      </c>
      <c r="L1282" s="176"/>
      <c r="M1282" s="183"/>
      <c r="N1282" s="135"/>
      <c r="O1282" s="135"/>
      <c r="P1282" s="135"/>
      <c r="Q1282" s="135"/>
      <c r="R1282" s="135"/>
      <c r="S1282" s="135"/>
      <c r="T1282" s="135"/>
      <c r="U1282" s="135"/>
      <c r="V1282" s="135"/>
      <c r="W1282" s="135"/>
      <c r="X1282" s="135"/>
      <c r="Y1282" s="135"/>
      <c r="Z1282" s="135"/>
      <c r="AA1282" s="135"/>
      <c r="AB1282" s="135"/>
      <c r="AC1282" s="135"/>
      <c r="AD1282" s="135"/>
      <c r="AE1282" s="135"/>
      <c r="AF1282" s="135"/>
      <c r="AG1282" s="135"/>
      <c r="AH1282" s="135"/>
      <c r="AI1282" s="135"/>
      <c r="AJ1282" s="135"/>
      <c r="AK1282" s="135"/>
      <c r="AL1282" s="135"/>
      <c r="AM1282" s="135"/>
      <c r="AN1282" s="135"/>
      <c r="AO1282" s="135"/>
      <c r="AP1282" s="135"/>
      <c r="AQ1282" s="135"/>
      <c r="AR1282" s="135"/>
      <c r="AS1282" s="135"/>
      <c r="AT1282" s="135"/>
      <c r="AU1282" s="135"/>
    </row>
    <row r="1283" spans="1:47" x14ac:dyDescent="0.2">
      <c r="A1283" s="174"/>
      <c r="B1283" s="175"/>
      <c r="C1283" s="176"/>
      <c r="D1283" s="177"/>
      <c r="E1283" s="178"/>
      <c r="F1283" s="178"/>
      <c r="G1283" s="177"/>
      <c r="H1283" s="303"/>
      <c r="I1283" s="186" t="s">
        <v>1644</v>
      </c>
      <c r="J1283" s="348" t="s">
        <v>1258</v>
      </c>
      <c r="K1283" s="213">
        <f>11500*20%</f>
        <v>2300</v>
      </c>
      <c r="L1283" s="176"/>
      <c r="M1283" s="183"/>
      <c r="N1283" s="135"/>
      <c r="O1283" s="135"/>
      <c r="P1283" s="135"/>
      <c r="Q1283" s="135"/>
      <c r="R1283" s="135"/>
      <c r="S1283" s="135"/>
      <c r="T1283" s="135"/>
      <c r="U1283" s="135"/>
      <c r="V1283" s="135"/>
      <c r="W1283" s="135"/>
      <c r="X1283" s="135"/>
      <c r="Y1283" s="135"/>
      <c r="Z1283" s="135"/>
      <c r="AA1283" s="135"/>
      <c r="AB1283" s="135"/>
      <c r="AC1283" s="135"/>
      <c r="AD1283" s="135"/>
      <c r="AE1283" s="135"/>
      <c r="AF1283" s="135"/>
      <c r="AG1283" s="135"/>
      <c r="AH1283" s="135"/>
      <c r="AI1283" s="135"/>
      <c r="AJ1283" s="135"/>
      <c r="AK1283" s="135"/>
      <c r="AL1283" s="135"/>
      <c r="AM1283" s="135"/>
      <c r="AN1283" s="135"/>
      <c r="AO1283" s="135"/>
      <c r="AP1283" s="135"/>
      <c r="AQ1283" s="135"/>
      <c r="AR1283" s="135"/>
      <c r="AS1283" s="135"/>
      <c r="AT1283" s="135"/>
      <c r="AU1283" s="135"/>
    </row>
    <row r="1284" spans="1:47" ht="48" x14ac:dyDescent="0.2">
      <c r="A1284" s="174"/>
      <c r="B1284" s="175"/>
      <c r="C1284" s="176"/>
      <c r="D1284" s="177"/>
      <c r="E1284" s="178"/>
      <c r="F1284" s="178"/>
      <c r="G1284" s="177"/>
      <c r="H1284" s="303"/>
      <c r="I1284" s="186" t="s">
        <v>1645</v>
      </c>
      <c r="J1284" s="348" t="s">
        <v>1640</v>
      </c>
      <c r="K1284" s="213">
        <f>11500*10%</f>
        <v>1150</v>
      </c>
      <c r="L1284" s="176"/>
      <c r="M1284" s="183"/>
      <c r="N1284" s="135"/>
      <c r="O1284" s="135"/>
      <c r="P1284" s="135"/>
      <c r="Q1284" s="135"/>
      <c r="R1284" s="135"/>
      <c r="S1284" s="135"/>
      <c r="T1284" s="135"/>
      <c r="U1284" s="135"/>
      <c r="V1284" s="135"/>
      <c r="W1284" s="135"/>
      <c r="X1284" s="135"/>
      <c r="Y1284" s="135"/>
      <c r="Z1284" s="135"/>
      <c r="AA1284" s="135"/>
      <c r="AB1284" s="135"/>
      <c r="AC1284" s="135"/>
      <c r="AD1284" s="135"/>
      <c r="AE1284" s="135"/>
      <c r="AF1284" s="135"/>
      <c r="AG1284" s="135"/>
      <c r="AH1284" s="135"/>
      <c r="AI1284" s="135"/>
      <c r="AJ1284" s="135"/>
      <c r="AK1284" s="135"/>
      <c r="AL1284" s="135"/>
      <c r="AM1284" s="135"/>
      <c r="AN1284" s="135"/>
      <c r="AO1284" s="135"/>
      <c r="AP1284" s="135"/>
      <c r="AQ1284" s="135"/>
      <c r="AR1284" s="135"/>
      <c r="AS1284" s="135"/>
      <c r="AT1284" s="135"/>
      <c r="AU1284" s="135"/>
    </row>
    <row r="1285" spans="1:47" x14ac:dyDescent="0.2">
      <c r="A1285" s="187"/>
      <c r="B1285" s="188"/>
      <c r="C1285" s="189"/>
      <c r="D1285" s="190"/>
      <c r="E1285" s="191"/>
      <c r="F1285" s="191"/>
      <c r="G1285" s="190"/>
      <c r="H1285" s="304"/>
      <c r="I1285" s="202"/>
      <c r="J1285" s="349"/>
      <c r="K1285" s="319">
        <f>SUM(K1281:K1284)</f>
        <v>11500</v>
      </c>
      <c r="L1285" s="189"/>
      <c r="M1285" s="196"/>
      <c r="N1285" s="135"/>
      <c r="O1285" s="135"/>
      <c r="P1285" s="135"/>
      <c r="Q1285" s="135"/>
      <c r="R1285" s="135"/>
      <c r="S1285" s="135"/>
      <c r="T1285" s="135"/>
      <c r="U1285" s="135"/>
      <c r="V1285" s="135"/>
      <c r="W1285" s="135"/>
      <c r="X1285" s="135"/>
      <c r="Y1285" s="135"/>
      <c r="Z1285" s="135"/>
      <c r="AA1285" s="135"/>
      <c r="AB1285" s="135"/>
      <c r="AC1285" s="135"/>
      <c r="AD1285" s="135"/>
      <c r="AE1285" s="135"/>
      <c r="AF1285" s="135"/>
      <c r="AG1285" s="135"/>
      <c r="AH1285" s="135"/>
      <c r="AI1285" s="135"/>
      <c r="AJ1285" s="135"/>
      <c r="AK1285" s="135"/>
      <c r="AL1285" s="135"/>
      <c r="AM1285" s="135"/>
      <c r="AN1285" s="135"/>
      <c r="AO1285" s="135"/>
      <c r="AP1285" s="135"/>
      <c r="AQ1285" s="135"/>
      <c r="AR1285" s="135"/>
      <c r="AS1285" s="135"/>
      <c r="AT1285" s="135"/>
      <c r="AU1285" s="135"/>
    </row>
    <row r="1286" spans="1:47" ht="48" customHeight="1" x14ac:dyDescent="0.2">
      <c r="A1286" s="163">
        <v>278</v>
      </c>
      <c r="B1286" s="164" t="s">
        <v>1646</v>
      </c>
      <c r="C1286" s="165"/>
      <c r="D1286" s="166" t="s">
        <v>107</v>
      </c>
      <c r="E1286" s="167"/>
      <c r="F1286" s="167"/>
      <c r="G1286" s="166"/>
      <c r="H1286" s="301"/>
      <c r="I1286" s="299" t="s">
        <v>1647</v>
      </c>
      <c r="J1286" s="347" t="s">
        <v>1640</v>
      </c>
      <c r="K1286" s="270">
        <f>5800*50%</f>
        <v>2900</v>
      </c>
      <c r="L1286" s="165" t="s">
        <v>111</v>
      </c>
      <c r="M1286" s="172" t="s">
        <v>1648</v>
      </c>
      <c r="N1286" s="135"/>
      <c r="O1286" s="135"/>
      <c r="P1286" s="135"/>
      <c r="Q1286" s="135"/>
      <c r="R1286" s="135"/>
      <c r="S1286" s="135"/>
      <c r="T1286" s="135"/>
      <c r="U1286" s="135"/>
      <c r="V1286" s="135"/>
      <c r="W1286" s="135"/>
      <c r="X1286" s="135"/>
      <c r="Y1286" s="135"/>
      <c r="Z1286" s="135"/>
      <c r="AA1286" s="135"/>
      <c r="AB1286" s="135"/>
      <c r="AC1286" s="135"/>
      <c r="AD1286" s="135"/>
      <c r="AE1286" s="135"/>
      <c r="AF1286" s="135"/>
      <c r="AG1286" s="135"/>
      <c r="AH1286" s="135"/>
      <c r="AI1286" s="135"/>
      <c r="AJ1286" s="135"/>
      <c r="AK1286" s="135"/>
      <c r="AL1286" s="135"/>
      <c r="AM1286" s="135"/>
      <c r="AN1286" s="135"/>
      <c r="AO1286" s="135"/>
      <c r="AP1286" s="135"/>
      <c r="AQ1286" s="135"/>
      <c r="AR1286" s="135"/>
      <c r="AS1286" s="135"/>
      <c r="AT1286" s="135"/>
      <c r="AU1286" s="135"/>
    </row>
    <row r="1287" spans="1:47" x14ac:dyDescent="0.2">
      <c r="A1287" s="174"/>
      <c r="B1287" s="175"/>
      <c r="C1287" s="176"/>
      <c r="D1287" s="177"/>
      <c r="E1287" s="178"/>
      <c r="F1287" s="178"/>
      <c r="G1287" s="177"/>
      <c r="H1287" s="303"/>
      <c r="I1287" s="186" t="s">
        <v>1642</v>
      </c>
      <c r="J1287" s="348" t="s">
        <v>1258</v>
      </c>
      <c r="K1287" s="213">
        <f>5800*30%</f>
        <v>1740</v>
      </c>
      <c r="L1287" s="176"/>
      <c r="M1287" s="183"/>
      <c r="N1287" s="135"/>
      <c r="O1287" s="135"/>
      <c r="P1287" s="135"/>
      <c r="Q1287" s="135"/>
      <c r="R1287" s="135"/>
      <c r="S1287" s="135"/>
      <c r="T1287" s="135"/>
      <c r="U1287" s="135"/>
      <c r="V1287" s="135"/>
      <c r="W1287" s="135"/>
      <c r="X1287" s="135"/>
      <c r="Y1287" s="135"/>
      <c r="Z1287" s="135"/>
      <c r="AA1287" s="135"/>
      <c r="AB1287" s="135"/>
      <c r="AC1287" s="135"/>
      <c r="AD1287" s="135"/>
      <c r="AE1287" s="135"/>
      <c r="AF1287" s="135"/>
      <c r="AG1287" s="135"/>
      <c r="AH1287" s="135"/>
      <c r="AI1287" s="135"/>
      <c r="AJ1287" s="135"/>
      <c r="AK1287" s="135"/>
      <c r="AL1287" s="135"/>
      <c r="AM1287" s="135"/>
      <c r="AN1287" s="135"/>
      <c r="AO1287" s="135"/>
      <c r="AP1287" s="135"/>
      <c r="AQ1287" s="135"/>
      <c r="AR1287" s="135"/>
      <c r="AS1287" s="135"/>
      <c r="AT1287" s="135"/>
      <c r="AU1287" s="135"/>
    </row>
    <row r="1288" spans="1:47" x14ac:dyDescent="0.2">
      <c r="A1288" s="174"/>
      <c r="B1288" s="175"/>
      <c r="C1288" s="176"/>
      <c r="D1288" s="177"/>
      <c r="E1288" s="178"/>
      <c r="F1288" s="178"/>
      <c r="G1288" s="177"/>
      <c r="H1288" s="303"/>
      <c r="I1288" s="186" t="s">
        <v>1644</v>
      </c>
      <c r="J1288" s="348" t="s">
        <v>1258</v>
      </c>
      <c r="K1288" s="213">
        <f>5800*20%</f>
        <v>1160</v>
      </c>
      <c r="L1288" s="176"/>
      <c r="M1288" s="183"/>
      <c r="N1288" s="135"/>
      <c r="O1288" s="135"/>
      <c r="P1288" s="135"/>
      <c r="Q1288" s="135"/>
      <c r="R1288" s="135"/>
      <c r="S1288" s="135"/>
      <c r="T1288" s="135"/>
      <c r="U1288" s="135"/>
      <c r="V1288" s="135"/>
      <c r="W1288" s="135"/>
      <c r="X1288" s="135"/>
      <c r="Y1288" s="135"/>
      <c r="Z1288" s="135"/>
      <c r="AA1288" s="135"/>
      <c r="AB1288" s="135"/>
      <c r="AC1288" s="135"/>
      <c r="AD1288" s="135"/>
      <c r="AE1288" s="135"/>
      <c r="AF1288" s="135"/>
      <c r="AG1288" s="135"/>
      <c r="AH1288" s="135"/>
      <c r="AI1288" s="135"/>
      <c r="AJ1288" s="135"/>
      <c r="AK1288" s="135"/>
      <c r="AL1288" s="135"/>
      <c r="AM1288" s="135"/>
      <c r="AN1288" s="135"/>
      <c r="AO1288" s="135"/>
      <c r="AP1288" s="135"/>
      <c r="AQ1288" s="135"/>
      <c r="AR1288" s="135"/>
      <c r="AS1288" s="135"/>
      <c r="AT1288" s="135"/>
      <c r="AU1288" s="135"/>
    </row>
    <row r="1289" spans="1:47" x14ac:dyDescent="0.2">
      <c r="A1289" s="187"/>
      <c r="B1289" s="188"/>
      <c r="C1289" s="189"/>
      <c r="D1289" s="190"/>
      <c r="E1289" s="191"/>
      <c r="F1289" s="191"/>
      <c r="G1289" s="190"/>
      <c r="H1289" s="304"/>
      <c r="I1289" s="179"/>
      <c r="J1289" s="356"/>
      <c r="K1289" s="198">
        <f>SUM(K1286:K1288)</f>
        <v>5800</v>
      </c>
      <c r="L1289" s="189"/>
      <c r="M1289" s="196"/>
      <c r="N1289" s="135"/>
      <c r="O1289" s="135"/>
      <c r="P1289" s="135"/>
      <c r="Q1289" s="135"/>
      <c r="R1289" s="135"/>
      <c r="S1289" s="135"/>
      <c r="T1289" s="135"/>
      <c r="U1289" s="135"/>
      <c r="V1289" s="135"/>
      <c r="W1289" s="135"/>
      <c r="X1289" s="135"/>
      <c r="Y1289" s="135"/>
      <c r="Z1289" s="135"/>
      <c r="AA1289" s="135"/>
      <c r="AB1289" s="135"/>
      <c r="AC1289" s="135"/>
      <c r="AD1289" s="135"/>
      <c r="AE1289" s="135"/>
      <c r="AF1289" s="135"/>
      <c r="AG1289" s="135"/>
      <c r="AH1289" s="135"/>
      <c r="AI1289" s="135"/>
      <c r="AJ1289" s="135"/>
      <c r="AK1289" s="135"/>
      <c r="AL1289" s="135"/>
      <c r="AM1289" s="135"/>
      <c r="AN1289" s="135"/>
      <c r="AO1289" s="135"/>
      <c r="AP1289" s="135"/>
      <c r="AQ1289" s="135"/>
      <c r="AR1289" s="135"/>
      <c r="AS1289" s="135"/>
      <c r="AT1289" s="135"/>
      <c r="AU1289" s="135"/>
    </row>
    <row r="1290" spans="1:47" ht="24" customHeight="1" x14ac:dyDescent="0.2">
      <c r="A1290" s="163">
        <v>279</v>
      </c>
      <c r="B1290" s="164" t="s">
        <v>1649</v>
      </c>
      <c r="C1290" s="165"/>
      <c r="D1290" s="166" t="s">
        <v>107</v>
      </c>
      <c r="E1290" s="167"/>
      <c r="F1290" s="167"/>
      <c r="G1290" s="166"/>
      <c r="H1290" s="301"/>
      <c r="I1290" s="217" t="s">
        <v>1650</v>
      </c>
      <c r="J1290" s="355" t="s">
        <v>1258</v>
      </c>
      <c r="K1290" s="278">
        <f>5800*50%</f>
        <v>2900</v>
      </c>
      <c r="L1290" s="165" t="s">
        <v>111</v>
      </c>
      <c r="M1290" s="172" t="s">
        <v>1651</v>
      </c>
      <c r="N1290" s="135"/>
      <c r="O1290" s="135"/>
      <c r="P1290" s="135"/>
      <c r="Q1290" s="135"/>
      <c r="R1290" s="135"/>
      <c r="S1290" s="135"/>
      <c r="T1290" s="135"/>
      <c r="U1290" s="135"/>
      <c r="V1290" s="135"/>
      <c r="W1290" s="135"/>
      <c r="X1290" s="135"/>
      <c r="Y1290" s="135"/>
      <c r="Z1290" s="135"/>
      <c r="AA1290" s="135"/>
      <c r="AB1290" s="135"/>
      <c r="AC1290" s="135"/>
      <c r="AD1290" s="135"/>
      <c r="AE1290" s="135"/>
      <c r="AF1290" s="135"/>
      <c r="AG1290" s="135"/>
      <c r="AH1290" s="135"/>
      <c r="AI1290" s="135"/>
      <c r="AJ1290" s="135"/>
      <c r="AK1290" s="135"/>
      <c r="AL1290" s="135"/>
      <c r="AM1290" s="135"/>
      <c r="AN1290" s="135"/>
      <c r="AO1290" s="135"/>
      <c r="AP1290" s="135"/>
      <c r="AQ1290" s="135"/>
      <c r="AR1290" s="135"/>
      <c r="AS1290" s="135"/>
      <c r="AT1290" s="135"/>
      <c r="AU1290" s="135"/>
    </row>
    <row r="1291" spans="1:47" x14ac:dyDescent="0.2">
      <c r="A1291" s="174"/>
      <c r="B1291" s="175"/>
      <c r="C1291" s="176"/>
      <c r="D1291" s="177"/>
      <c r="E1291" s="178"/>
      <c r="F1291" s="178"/>
      <c r="G1291" s="177"/>
      <c r="H1291" s="303"/>
      <c r="I1291" s="186" t="s">
        <v>1642</v>
      </c>
      <c r="J1291" s="348" t="s">
        <v>1258</v>
      </c>
      <c r="K1291" s="213">
        <f>5800*30%</f>
        <v>1740</v>
      </c>
      <c r="L1291" s="176"/>
      <c r="M1291" s="183"/>
      <c r="N1291" s="135"/>
      <c r="O1291" s="135"/>
      <c r="P1291" s="135"/>
      <c r="Q1291" s="135"/>
      <c r="R1291" s="135"/>
      <c r="S1291" s="135"/>
      <c r="T1291" s="135"/>
      <c r="U1291" s="135"/>
      <c r="V1291" s="135"/>
      <c r="W1291" s="135"/>
      <c r="X1291" s="135"/>
      <c r="Y1291" s="135"/>
      <c r="Z1291" s="135"/>
      <c r="AA1291" s="135"/>
      <c r="AB1291" s="135"/>
      <c r="AC1291" s="135"/>
      <c r="AD1291" s="135"/>
      <c r="AE1291" s="135"/>
      <c r="AF1291" s="135"/>
      <c r="AG1291" s="135"/>
      <c r="AH1291" s="135"/>
      <c r="AI1291" s="135"/>
      <c r="AJ1291" s="135"/>
      <c r="AK1291" s="135"/>
      <c r="AL1291" s="135"/>
      <c r="AM1291" s="135"/>
      <c r="AN1291" s="135"/>
      <c r="AO1291" s="135"/>
      <c r="AP1291" s="135"/>
      <c r="AQ1291" s="135"/>
      <c r="AR1291" s="135"/>
      <c r="AS1291" s="135"/>
      <c r="AT1291" s="135"/>
      <c r="AU1291" s="135"/>
    </row>
    <row r="1292" spans="1:47" ht="48" x14ac:dyDescent="0.2">
      <c r="A1292" s="174"/>
      <c r="B1292" s="175"/>
      <c r="C1292" s="176"/>
      <c r="D1292" s="177"/>
      <c r="E1292" s="178"/>
      <c r="F1292" s="178"/>
      <c r="G1292" s="177"/>
      <c r="H1292" s="303"/>
      <c r="I1292" s="186" t="s">
        <v>1652</v>
      </c>
      <c r="J1292" s="348" t="s">
        <v>1640</v>
      </c>
      <c r="K1292" s="213">
        <f>5800*5%</f>
        <v>290</v>
      </c>
      <c r="L1292" s="176"/>
      <c r="M1292" s="183"/>
      <c r="N1292" s="135"/>
      <c r="O1292" s="135"/>
      <c r="P1292" s="135"/>
      <c r="Q1292" s="135"/>
      <c r="R1292" s="135"/>
      <c r="S1292" s="135"/>
      <c r="T1292" s="135"/>
      <c r="U1292" s="135"/>
      <c r="V1292" s="135"/>
      <c r="W1292" s="135"/>
      <c r="X1292" s="135"/>
      <c r="Y1292" s="135"/>
      <c r="Z1292" s="135"/>
      <c r="AA1292" s="135"/>
      <c r="AB1292" s="135"/>
      <c r="AC1292" s="135"/>
      <c r="AD1292" s="135"/>
      <c r="AE1292" s="135"/>
      <c r="AF1292" s="135"/>
      <c r="AG1292" s="135"/>
      <c r="AH1292" s="135"/>
      <c r="AI1292" s="135"/>
      <c r="AJ1292" s="135"/>
      <c r="AK1292" s="135"/>
      <c r="AL1292" s="135"/>
      <c r="AM1292" s="135"/>
      <c r="AN1292" s="135"/>
      <c r="AO1292" s="135"/>
      <c r="AP1292" s="135"/>
      <c r="AQ1292" s="135"/>
      <c r="AR1292" s="135"/>
      <c r="AS1292" s="135"/>
      <c r="AT1292" s="135"/>
      <c r="AU1292" s="135"/>
    </row>
    <row r="1293" spans="1:47" ht="48" x14ac:dyDescent="0.2">
      <c r="A1293" s="174"/>
      <c r="B1293" s="175"/>
      <c r="C1293" s="176"/>
      <c r="D1293" s="177"/>
      <c r="E1293" s="178"/>
      <c r="F1293" s="178"/>
      <c r="G1293" s="177"/>
      <c r="H1293" s="303"/>
      <c r="I1293" s="186" t="s">
        <v>1653</v>
      </c>
      <c r="J1293" s="348" t="s">
        <v>1640</v>
      </c>
      <c r="K1293" s="213">
        <f>5800*15%</f>
        <v>870</v>
      </c>
      <c r="L1293" s="176"/>
      <c r="M1293" s="183"/>
      <c r="N1293" s="135"/>
      <c r="O1293" s="135"/>
      <c r="P1293" s="135"/>
      <c r="Q1293" s="135"/>
      <c r="R1293" s="135"/>
      <c r="S1293" s="135"/>
      <c r="T1293" s="135"/>
      <c r="U1293" s="135"/>
      <c r="V1293" s="135"/>
      <c r="W1293" s="135"/>
      <c r="X1293" s="135"/>
      <c r="Y1293" s="135"/>
      <c r="Z1293" s="135"/>
      <c r="AA1293" s="135"/>
      <c r="AB1293" s="135"/>
      <c r="AC1293" s="135"/>
      <c r="AD1293" s="135"/>
      <c r="AE1293" s="135"/>
      <c r="AF1293" s="135"/>
      <c r="AG1293" s="135"/>
      <c r="AH1293" s="135"/>
      <c r="AI1293" s="135"/>
      <c r="AJ1293" s="135"/>
      <c r="AK1293" s="135"/>
      <c r="AL1293" s="135"/>
      <c r="AM1293" s="135"/>
      <c r="AN1293" s="135"/>
      <c r="AO1293" s="135"/>
      <c r="AP1293" s="135"/>
      <c r="AQ1293" s="135"/>
      <c r="AR1293" s="135"/>
      <c r="AS1293" s="135"/>
      <c r="AT1293" s="135"/>
      <c r="AU1293" s="135"/>
    </row>
    <row r="1294" spans="1:47" x14ac:dyDescent="0.2">
      <c r="A1294" s="187"/>
      <c r="B1294" s="188"/>
      <c r="C1294" s="189"/>
      <c r="D1294" s="190"/>
      <c r="E1294" s="191"/>
      <c r="F1294" s="191"/>
      <c r="G1294" s="190"/>
      <c r="H1294" s="304"/>
      <c r="I1294" s="202"/>
      <c r="J1294" s="349"/>
      <c r="K1294" s="319">
        <f>SUM(K1290:K1293)</f>
        <v>5800</v>
      </c>
      <c r="L1294" s="189"/>
      <c r="M1294" s="196"/>
      <c r="N1294" s="135"/>
      <c r="O1294" s="135"/>
      <c r="P1294" s="135"/>
      <c r="Q1294" s="135"/>
      <c r="R1294" s="135"/>
      <c r="S1294" s="135"/>
      <c r="T1294" s="135"/>
      <c r="U1294" s="135"/>
      <c r="V1294" s="135"/>
      <c r="W1294" s="135"/>
      <c r="X1294" s="135"/>
      <c r="Y1294" s="135"/>
      <c r="Z1294" s="135"/>
      <c r="AA1294" s="135"/>
      <c r="AB1294" s="135"/>
      <c r="AC1294" s="135"/>
      <c r="AD1294" s="135"/>
      <c r="AE1294" s="135"/>
      <c r="AF1294" s="135"/>
      <c r="AG1294" s="135"/>
      <c r="AH1294" s="135"/>
      <c r="AI1294" s="135"/>
      <c r="AJ1294" s="135"/>
      <c r="AK1294" s="135"/>
      <c r="AL1294" s="135"/>
      <c r="AM1294" s="135"/>
      <c r="AN1294" s="135"/>
      <c r="AO1294" s="135"/>
      <c r="AP1294" s="135"/>
      <c r="AQ1294" s="135"/>
      <c r="AR1294" s="135"/>
      <c r="AS1294" s="135"/>
      <c r="AT1294" s="135"/>
      <c r="AU1294" s="135"/>
    </row>
    <row r="1295" spans="1:47" ht="48" customHeight="1" x14ac:dyDescent="0.2">
      <c r="A1295" s="163">
        <v>280</v>
      </c>
      <c r="B1295" s="164" t="s">
        <v>1654</v>
      </c>
      <c r="C1295" s="165"/>
      <c r="D1295" s="166" t="s">
        <v>107</v>
      </c>
      <c r="E1295" s="167"/>
      <c r="F1295" s="167"/>
      <c r="G1295" s="166"/>
      <c r="H1295" s="301"/>
      <c r="I1295" s="299" t="s">
        <v>1655</v>
      </c>
      <c r="J1295" s="347" t="s">
        <v>1656</v>
      </c>
      <c r="K1295" s="270">
        <f>3000*80%</f>
        <v>2400</v>
      </c>
      <c r="L1295" s="165" t="s">
        <v>111</v>
      </c>
      <c r="M1295" s="172" t="s">
        <v>1657</v>
      </c>
      <c r="N1295" s="135"/>
      <c r="O1295" s="135"/>
      <c r="P1295" s="135"/>
      <c r="Q1295" s="135"/>
      <c r="R1295" s="135"/>
      <c r="S1295" s="135"/>
      <c r="T1295" s="135"/>
      <c r="U1295" s="135"/>
      <c r="V1295" s="135"/>
      <c r="W1295" s="135"/>
      <c r="X1295" s="135"/>
      <c r="Y1295" s="135"/>
      <c r="Z1295" s="135"/>
      <c r="AA1295" s="135"/>
      <c r="AB1295" s="135"/>
      <c r="AC1295" s="135"/>
      <c r="AD1295" s="135"/>
      <c r="AE1295" s="135"/>
      <c r="AF1295" s="135"/>
      <c r="AG1295" s="135"/>
      <c r="AH1295" s="135"/>
      <c r="AI1295" s="135"/>
      <c r="AJ1295" s="135"/>
      <c r="AK1295" s="135"/>
      <c r="AL1295" s="135"/>
      <c r="AM1295" s="135"/>
      <c r="AN1295" s="135"/>
      <c r="AO1295" s="135"/>
      <c r="AP1295" s="135"/>
      <c r="AQ1295" s="135"/>
      <c r="AR1295" s="135"/>
      <c r="AS1295" s="135"/>
      <c r="AT1295" s="135"/>
      <c r="AU1295" s="135"/>
    </row>
    <row r="1296" spans="1:47" ht="48" x14ac:dyDescent="0.2">
      <c r="A1296" s="174"/>
      <c r="B1296" s="175"/>
      <c r="C1296" s="176"/>
      <c r="D1296" s="177"/>
      <c r="E1296" s="178"/>
      <c r="F1296" s="178"/>
      <c r="G1296" s="177"/>
      <c r="H1296" s="303"/>
      <c r="I1296" s="186" t="s">
        <v>1658</v>
      </c>
      <c r="J1296" s="348" t="s">
        <v>1656</v>
      </c>
      <c r="K1296" s="213">
        <f>3000*5%</f>
        <v>150</v>
      </c>
      <c r="L1296" s="176"/>
      <c r="M1296" s="183"/>
      <c r="N1296" s="135"/>
      <c r="O1296" s="135"/>
      <c r="P1296" s="135"/>
      <c r="Q1296" s="135"/>
      <c r="R1296" s="135"/>
      <c r="S1296" s="135"/>
      <c r="T1296" s="135"/>
      <c r="U1296" s="135"/>
      <c r="V1296" s="135"/>
      <c r="W1296" s="135"/>
      <c r="X1296" s="135"/>
      <c r="Y1296" s="135"/>
      <c r="Z1296" s="135"/>
      <c r="AA1296" s="135"/>
      <c r="AB1296" s="135"/>
      <c r="AC1296" s="135"/>
      <c r="AD1296" s="135"/>
      <c r="AE1296" s="135"/>
      <c r="AF1296" s="135"/>
      <c r="AG1296" s="135"/>
      <c r="AH1296" s="135"/>
      <c r="AI1296" s="135"/>
      <c r="AJ1296" s="135"/>
      <c r="AK1296" s="135"/>
      <c r="AL1296" s="135"/>
      <c r="AM1296" s="135"/>
      <c r="AN1296" s="135"/>
      <c r="AO1296" s="135"/>
      <c r="AP1296" s="135"/>
      <c r="AQ1296" s="135"/>
      <c r="AR1296" s="135"/>
      <c r="AS1296" s="135"/>
      <c r="AT1296" s="135"/>
      <c r="AU1296" s="135"/>
    </row>
    <row r="1297" spans="1:47" ht="48" x14ac:dyDescent="0.2">
      <c r="A1297" s="174"/>
      <c r="B1297" s="175"/>
      <c r="C1297" s="176"/>
      <c r="D1297" s="177"/>
      <c r="E1297" s="178"/>
      <c r="F1297" s="178"/>
      <c r="G1297" s="177"/>
      <c r="H1297" s="303"/>
      <c r="I1297" s="186" t="s">
        <v>1659</v>
      </c>
      <c r="J1297" s="348" t="s">
        <v>1656</v>
      </c>
      <c r="K1297" s="213">
        <f>3000*5%</f>
        <v>150</v>
      </c>
      <c r="L1297" s="176"/>
      <c r="M1297" s="183"/>
      <c r="N1297" s="135"/>
      <c r="O1297" s="135"/>
      <c r="P1297" s="135"/>
      <c r="Q1297" s="135"/>
      <c r="R1297" s="135"/>
      <c r="S1297" s="135"/>
      <c r="T1297" s="135"/>
      <c r="U1297" s="135"/>
      <c r="V1297" s="135"/>
      <c r="W1297" s="135"/>
      <c r="X1297" s="135"/>
      <c r="Y1297" s="135"/>
      <c r="Z1297" s="135"/>
      <c r="AA1297" s="135"/>
      <c r="AB1297" s="135"/>
      <c r="AC1297" s="135"/>
      <c r="AD1297" s="135"/>
      <c r="AE1297" s="135"/>
      <c r="AF1297" s="135"/>
      <c r="AG1297" s="135"/>
      <c r="AH1297" s="135"/>
      <c r="AI1297" s="135"/>
      <c r="AJ1297" s="135"/>
      <c r="AK1297" s="135"/>
      <c r="AL1297" s="135"/>
      <c r="AM1297" s="135"/>
      <c r="AN1297" s="135"/>
      <c r="AO1297" s="135"/>
      <c r="AP1297" s="135"/>
      <c r="AQ1297" s="135"/>
      <c r="AR1297" s="135"/>
      <c r="AS1297" s="135"/>
      <c r="AT1297" s="135"/>
      <c r="AU1297" s="135"/>
    </row>
    <row r="1298" spans="1:47" x14ac:dyDescent="0.2">
      <c r="A1298" s="174"/>
      <c r="B1298" s="175"/>
      <c r="C1298" s="176"/>
      <c r="D1298" s="177"/>
      <c r="E1298" s="178"/>
      <c r="F1298" s="178"/>
      <c r="G1298" s="177"/>
      <c r="H1298" s="303"/>
      <c r="I1298" s="186" t="s">
        <v>1660</v>
      </c>
      <c r="J1298" s="348" t="s">
        <v>1258</v>
      </c>
      <c r="K1298" s="213">
        <f>3000*5%</f>
        <v>150</v>
      </c>
      <c r="L1298" s="176"/>
      <c r="M1298" s="183"/>
      <c r="N1298" s="135"/>
      <c r="O1298" s="135"/>
      <c r="P1298" s="135"/>
      <c r="Q1298" s="135"/>
      <c r="R1298" s="135"/>
      <c r="S1298" s="135"/>
      <c r="T1298" s="135"/>
      <c r="U1298" s="135"/>
      <c r="V1298" s="135"/>
      <c r="W1298" s="135"/>
      <c r="X1298" s="135"/>
      <c r="Y1298" s="135"/>
      <c r="Z1298" s="135"/>
      <c r="AA1298" s="135"/>
      <c r="AB1298" s="135"/>
      <c r="AC1298" s="135"/>
      <c r="AD1298" s="135"/>
      <c r="AE1298" s="135"/>
      <c r="AF1298" s="135"/>
      <c r="AG1298" s="135"/>
      <c r="AH1298" s="135"/>
      <c r="AI1298" s="135"/>
      <c r="AJ1298" s="135"/>
      <c r="AK1298" s="135"/>
      <c r="AL1298" s="135"/>
      <c r="AM1298" s="135"/>
      <c r="AN1298" s="135"/>
      <c r="AO1298" s="135"/>
      <c r="AP1298" s="135"/>
      <c r="AQ1298" s="135"/>
      <c r="AR1298" s="135"/>
      <c r="AS1298" s="135"/>
      <c r="AT1298" s="135"/>
      <c r="AU1298" s="135"/>
    </row>
    <row r="1299" spans="1:47" x14ac:dyDescent="0.2">
      <c r="A1299" s="174"/>
      <c r="B1299" s="175"/>
      <c r="C1299" s="176"/>
      <c r="D1299" s="177"/>
      <c r="E1299" s="178"/>
      <c r="F1299" s="178"/>
      <c r="G1299" s="177"/>
      <c r="H1299" s="303"/>
      <c r="I1299" s="186" t="s">
        <v>1661</v>
      </c>
      <c r="J1299" s="348" t="s">
        <v>1258</v>
      </c>
      <c r="K1299" s="213">
        <f>3000*5%</f>
        <v>150</v>
      </c>
      <c r="L1299" s="176"/>
      <c r="M1299" s="183"/>
      <c r="N1299" s="135"/>
      <c r="O1299" s="135"/>
      <c r="P1299" s="135"/>
      <c r="Q1299" s="135"/>
      <c r="R1299" s="135"/>
      <c r="S1299" s="135"/>
      <c r="T1299" s="135"/>
      <c r="U1299" s="135"/>
      <c r="V1299" s="135"/>
      <c r="W1299" s="135"/>
      <c r="X1299" s="135"/>
      <c r="Y1299" s="135"/>
      <c r="Z1299" s="135"/>
      <c r="AA1299" s="135"/>
      <c r="AB1299" s="135"/>
      <c r="AC1299" s="135"/>
      <c r="AD1299" s="135"/>
      <c r="AE1299" s="135"/>
      <c r="AF1299" s="135"/>
      <c r="AG1299" s="135"/>
      <c r="AH1299" s="135"/>
      <c r="AI1299" s="135"/>
      <c r="AJ1299" s="135"/>
      <c r="AK1299" s="135"/>
      <c r="AL1299" s="135"/>
      <c r="AM1299" s="135"/>
      <c r="AN1299" s="135"/>
      <c r="AO1299" s="135"/>
      <c r="AP1299" s="135"/>
      <c r="AQ1299" s="135"/>
      <c r="AR1299" s="135"/>
      <c r="AS1299" s="135"/>
      <c r="AT1299" s="135"/>
      <c r="AU1299" s="135"/>
    </row>
    <row r="1300" spans="1:47" x14ac:dyDescent="0.2">
      <c r="A1300" s="187"/>
      <c r="B1300" s="188"/>
      <c r="C1300" s="189"/>
      <c r="D1300" s="190"/>
      <c r="E1300" s="191"/>
      <c r="F1300" s="191"/>
      <c r="G1300" s="190"/>
      <c r="H1300" s="304"/>
      <c r="I1300" s="179"/>
      <c r="J1300" s="356"/>
      <c r="K1300" s="198">
        <f>SUM(K1295:K1299)</f>
        <v>3000</v>
      </c>
      <c r="L1300" s="189"/>
      <c r="M1300" s="196"/>
      <c r="N1300" s="135"/>
      <c r="O1300" s="135"/>
      <c r="P1300" s="135"/>
      <c r="Q1300" s="135"/>
      <c r="R1300" s="135"/>
      <c r="S1300" s="135"/>
      <c r="T1300" s="135"/>
      <c r="U1300" s="135"/>
      <c r="V1300" s="135"/>
      <c r="W1300" s="135"/>
      <c r="X1300" s="135"/>
      <c r="Y1300" s="135"/>
      <c r="Z1300" s="135"/>
      <c r="AA1300" s="135"/>
      <c r="AB1300" s="135"/>
      <c r="AC1300" s="135"/>
      <c r="AD1300" s="135"/>
      <c r="AE1300" s="135"/>
      <c r="AF1300" s="135"/>
      <c r="AG1300" s="135"/>
      <c r="AH1300" s="135"/>
      <c r="AI1300" s="135"/>
      <c r="AJ1300" s="135"/>
      <c r="AK1300" s="135"/>
      <c r="AL1300" s="135"/>
      <c r="AM1300" s="135"/>
      <c r="AN1300" s="135"/>
      <c r="AO1300" s="135"/>
      <c r="AP1300" s="135"/>
      <c r="AQ1300" s="135"/>
      <c r="AR1300" s="135"/>
      <c r="AS1300" s="135"/>
      <c r="AT1300" s="135"/>
      <c r="AU1300" s="135"/>
    </row>
    <row r="1301" spans="1:47" ht="48" customHeight="1" x14ac:dyDescent="0.2">
      <c r="A1301" s="163">
        <v>281</v>
      </c>
      <c r="B1301" s="164" t="s">
        <v>1662</v>
      </c>
      <c r="C1301" s="165"/>
      <c r="D1301" s="166" t="s">
        <v>107</v>
      </c>
      <c r="E1301" s="167"/>
      <c r="F1301" s="167"/>
      <c r="G1301" s="166"/>
      <c r="H1301" s="301" t="s">
        <v>743</v>
      </c>
      <c r="I1301" s="217" t="s">
        <v>1663</v>
      </c>
      <c r="J1301" s="355" t="s">
        <v>1664</v>
      </c>
      <c r="K1301" s="278">
        <f>5000*80%</f>
        <v>4000</v>
      </c>
      <c r="L1301" s="165" t="s">
        <v>111</v>
      </c>
      <c r="M1301" s="172" t="s">
        <v>1665</v>
      </c>
      <c r="N1301" s="135"/>
      <c r="O1301" s="135"/>
      <c r="P1301" s="135"/>
      <c r="Q1301" s="135"/>
      <c r="R1301" s="135"/>
      <c r="S1301" s="135"/>
      <c r="T1301" s="135"/>
      <c r="U1301" s="135"/>
      <c r="V1301" s="135"/>
      <c r="W1301" s="135"/>
      <c r="X1301" s="135"/>
      <c r="Y1301" s="135"/>
      <c r="Z1301" s="135"/>
      <c r="AA1301" s="135"/>
      <c r="AB1301" s="135"/>
      <c r="AC1301" s="135"/>
      <c r="AD1301" s="135"/>
      <c r="AE1301" s="135"/>
      <c r="AF1301" s="135"/>
      <c r="AG1301" s="135"/>
      <c r="AH1301" s="135"/>
      <c r="AI1301" s="135"/>
      <c r="AJ1301" s="135"/>
      <c r="AK1301" s="135"/>
      <c r="AL1301" s="135"/>
      <c r="AM1301" s="135"/>
      <c r="AN1301" s="135"/>
      <c r="AO1301" s="135"/>
      <c r="AP1301" s="135"/>
      <c r="AQ1301" s="135"/>
      <c r="AR1301" s="135"/>
      <c r="AS1301" s="135"/>
      <c r="AT1301" s="135"/>
      <c r="AU1301" s="135"/>
    </row>
    <row r="1302" spans="1:47" ht="48" x14ac:dyDescent="0.2">
      <c r="A1302" s="174"/>
      <c r="B1302" s="175"/>
      <c r="C1302" s="176"/>
      <c r="D1302" s="177"/>
      <c r="E1302" s="178"/>
      <c r="F1302" s="178"/>
      <c r="G1302" s="177"/>
      <c r="H1302" s="303"/>
      <c r="I1302" s="186" t="s">
        <v>1666</v>
      </c>
      <c r="J1302" s="348" t="s">
        <v>1664</v>
      </c>
      <c r="K1302" s="213">
        <f>5000*5%</f>
        <v>250</v>
      </c>
      <c r="L1302" s="176"/>
      <c r="M1302" s="183"/>
      <c r="N1302" s="135"/>
      <c r="O1302" s="135"/>
      <c r="P1302" s="135"/>
      <c r="Q1302" s="135"/>
      <c r="R1302" s="135"/>
      <c r="S1302" s="135"/>
      <c r="T1302" s="135"/>
      <c r="U1302" s="135"/>
      <c r="V1302" s="135"/>
      <c r="W1302" s="135"/>
      <c r="X1302" s="135"/>
      <c r="Y1302" s="135"/>
      <c r="Z1302" s="135"/>
      <c r="AA1302" s="135"/>
      <c r="AB1302" s="135"/>
      <c r="AC1302" s="135"/>
      <c r="AD1302" s="135"/>
      <c r="AE1302" s="135"/>
      <c r="AF1302" s="135"/>
      <c r="AG1302" s="135"/>
      <c r="AH1302" s="135"/>
      <c r="AI1302" s="135"/>
      <c r="AJ1302" s="135"/>
      <c r="AK1302" s="135"/>
      <c r="AL1302" s="135"/>
      <c r="AM1302" s="135"/>
      <c r="AN1302" s="135"/>
      <c r="AO1302" s="135"/>
      <c r="AP1302" s="135"/>
      <c r="AQ1302" s="135"/>
      <c r="AR1302" s="135"/>
      <c r="AS1302" s="135"/>
      <c r="AT1302" s="135"/>
      <c r="AU1302" s="135"/>
    </row>
    <row r="1303" spans="1:47" x14ac:dyDescent="0.2">
      <c r="A1303" s="174"/>
      <c r="B1303" s="175"/>
      <c r="C1303" s="176"/>
      <c r="D1303" s="177"/>
      <c r="E1303" s="178"/>
      <c r="F1303" s="178"/>
      <c r="G1303" s="177"/>
      <c r="H1303" s="303"/>
      <c r="I1303" s="186" t="s">
        <v>1667</v>
      </c>
      <c r="J1303" s="348" t="s">
        <v>1258</v>
      </c>
      <c r="K1303" s="213">
        <f>5000*5%</f>
        <v>250</v>
      </c>
      <c r="L1303" s="176"/>
      <c r="M1303" s="183"/>
      <c r="N1303" s="135"/>
      <c r="O1303" s="135"/>
      <c r="P1303" s="135"/>
      <c r="Q1303" s="135"/>
      <c r="R1303" s="135"/>
      <c r="S1303" s="135"/>
      <c r="T1303" s="135"/>
      <c r="U1303" s="135"/>
      <c r="V1303" s="135"/>
      <c r="W1303" s="135"/>
      <c r="X1303" s="135"/>
      <c r="Y1303" s="135"/>
      <c r="Z1303" s="135"/>
      <c r="AA1303" s="135"/>
      <c r="AB1303" s="135"/>
      <c r="AC1303" s="135"/>
      <c r="AD1303" s="135"/>
      <c r="AE1303" s="135"/>
      <c r="AF1303" s="135"/>
      <c r="AG1303" s="135"/>
      <c r="AH1303" s="135"/>
      <c r="AI1303" s="135"/>
      <c r="AJ1303" s="135"/>
      <c r="AK1303" s="135"/>
      <c r="AL1303" s="135"/>
      <c r="AM1303" s="135"/>
      <c r="AN1303" s="135"/>
      <c r="AO1303" s="135"/>
      <c r="AP1303" s="135"/>
      <c r="AQ1303" s="135"/>
      <c r="AR1303" s="135"/>
      <c r="AS1303" s="135"/>
      <c r="AT1303" s="135"/>
      <c r="AU1303" s="135"/>
    </row>
    <row r="1304" spans="1:47" x14ac:dyDescent="0.2">
      <c r="A1304" s="174"/>
      <c r="B1304" s="175"/>
      <c r="C1304" s="176"/>
      <c r="D1304" s="177"/>
      <c r="E1304" s="178"/>
      <c r="F1304" s="178"/>
      <c r="G1304" s="177"/>
      <c r="H1304" s="303"/>
      <c r="I1304" s="186" t="s">
        <v>1668</v>
      </c>
      <c r="J1304" s="348" t="s">
        <v>1258</v>
      </c>
      <c r="K1304" s="213">
        <f>5000*5%</f>
        <v>250</v>
      </c>
      <c r="L1304" s="176"/>
      <c r="M1304" s="183"/>
      <c r="N1304" s="135"/>
      <c r="O1304" s="135"/>
      <c r="P1304" s="135"/>
      <c r="Q1304" s="135"/>
      <c r="R1304" s="135"/>
      <c r="S1304" s="135"/>
      <c r="T1304" s="135"/>
      <c r="U1304" s="135"/>
      <c r="V1304" s="135"/>
      <c r="W1304" s="135"/>
      <c r="X1304" s="135"/>
      <c r="Y1304" s="135"/>
      <c r="Z1304" s="135"/>
      <c r="AA1304" s="135"/>
      <c r="AB1304" s="135"/>
      <c r="AC1304" s="135"/>
      <c r="AD1304" s="135"/>
      <c r="AE1304" s="135"/>
      <c r="AF1304" s="135"/>
      <c r="AG1304" s="135"/>
      <c r="AH1304" s="135"/>
      <c r="AI1304" s="135"/>
      <c r="AJ1304" s="135"/>
      <c r="AK1304" s="135"/>
      <c r="AL1304" s="135"/>
      <c r="AM1304" s="135"/>
      <c r="AN1304" s="135"/>
      <c r="AO1304" s="135"/>
      <c r="AP1304" s="135"/>
      <c r="AQ1304" s="135"/>
      <c r="AR1304" s="135"/>
      <c r="AS1304" s="135"/>
      <c r="AT1304" s="135"/>
      <c r="AU1304" s="135"/>
    </row>
    <row r="1305" spans="1:47" ht="48" x14ac:dyDescent="0.2">
      <c r="A1305" s="174"/>
      <c r="B1305" s="175"/>
      <c r="C1305" s="176"/>
      <c r="D1305" s="177"/>
      <c r="E1305" s="178"/>
      <c r="F1305" s="178"/>
      <c r="G1305" s="177"/>
      <c r="H1305" s="303"/>
      <c r="I1305" s="186" t="s">
        <v>1257</v>
      </c>
      <c r="J1305" s="348" t="s">
        <v>1664</v>
      </c>
      <c r="K1305" s="213">
        <f>5000*5%</f>
        <v>250</v>
      </c>
      <c r="L1305" s="176"/>
      <c r="M1305" s="183"/>
      <c r="N1305" s="135"/>
      <c r="O1305" s="135"/>
      <c r="P1305" s="135"/>
      <c r="Q1305" s="135"/>
      <c r="R1305" s="135"/>
      <c r="S1305" s="135"/>
      <c r="T1305" s="135"/>
      <c r="U1305" s="135"/>
      <c r="V1305" s="135"/>
      <c r="W1305" s="135"/>
      <c r="X1305" s="135"/>
      <c r="Y1305" s="135"/>
      <c r="Z1305" s="135"/>
      <c r="AA1305" s="135"/>
      <c r="AB1305" s="135"/>
      <c r="AC1305" s="135"/>
      <c r="AD1305" s="135"/>
      <c r="AE1305" s="135"/>
      <c r="AF1305" s="135"/>
      <c r="AG1305" s="135"/>
      <c r="AH1305" s="135"/>
      <c r="AI1305" s="135"/>
      <c r="AJ1305" s="135"/>
      <c r="AK1305" s="135"/>
      <c r="AL1305" s="135"/>
      <c r="AM1305" s="135"/>
      <c r="AN1305" s="135"/>
      <c r="AO1305" s="135"/>
      <c r="AP1305" s="135"/>
      <c r="AQ1305" s="135"/>
      <c r="AR1305" s="135"/>
      <c r="AS1305" s="135"/>
      <c r="AT1305" s="135"/>
      <c r="AU1305" s="135"/>
    </row>
    <row r="1306" spans="1:47" x14ac:dyDescent="0.2">
      <c r="A1306" s="187"/>
      <c r="B1306" s="188"/>
      <c r="C1306" s="189"/>
      <c r="D1306" s="190"/>
      <c r="E1306" s="191"/>
      <c r="F1306" s="191"/>
      <c r="G1306" s="190"/>
      <c r="H1306" s="304"/>
      <c r="I1306" s="202"/>
      <c r="J1306" s="349"/>
      <c r="K1306" s="319">
        <f>SUM(K1301:K1305)</f>
        <v>5000</v>
      </c>
      <c r="L1306" s="189"/>
      <c r="M1306" s="196"/>
      <c r="N1306" s="135"/>
      <c r="O1306" s="135"/>
      <c r="P1306" s="135"/>
      <c r="Q1306" s="135"/>
      <c r="R1306" s="135"/>
      <c r="S1306" s="135"/>
      <c r="T1306" s="135"/>
      <c r="U1306" s="135"/>
      <c r="V1306" s="135"/>
      <c r="W1306" s="135"/>
      <c r="X1306" s="135"/>
      <c r="Y1306" s="135"/>
      <c r="Z1306" s="135"/>
      <c r="AA1306" s="135"/>
      <c r="AB1306" s="135"/>
      <c r="AC1306" s="135"/>
      <c r="AD1306" s="135"/>
      <c r="AE1306" s="135"/>
      <c r="AF1306" s="135"/>
      <c r="AG1306" s="135"/>
      <c r="AH1306" s="135"/>
      <c r="AI1306" s="135"/>
      <c r="AJ1306" s="135"/>
      <c r="AK1306" s="135"/>
      <c r="AL1306" s="135"/>
      <c r="AM1306" s="135"/>
      <c r="AN1306" s="135"/>
      <c r="AO1306" s="135"/>
      <c r="AP1306" s="135"/>
      <c r="AQ1306" s="135"/>
      <c r="AR1306" s="135"/>
      <c r="AS1306" s="135"/>
      <c r="AT1306" s="135"/>
      <c r="AU1306" s="135"/>
    </row>
    <row r="1307" spans="1:47" ht="24" customHeight="1" x14ac:dyDescent="0.2">
      <c r="A1307" s="163">
        <v>282</v>
      </c>
      <c r="B1307" s="164" t="s">
        <v>1669</v>
      </c>
      <c r="C1307" s="165"/>
      <c r="D1307" s="166" t="s">
        <v>107</v>
      </c>
      <c r="E1307" s="167"/>
      <c r="F1307" s="167"/>
      <c r="G1307" s="166"/>
      <c r="H1307" s="301"/>
      <c r="I1307" s="299" t="s">
        <v>1670</v>
      </c>
      <c r="J1307" s="347" t="s">
        <v>1258</v>
      </c>
      <c r="K1307" s="270">
        <f>5000*65%</f>
        <v>3250</v>
      </c>
      <c r="L1307" s="165" t="s">
        <v>111</v>
      </c>
      <c r="M1307" s="172" t="s">
        <v>1671</v>
      </c>
      <c r="N1307" s="135"/>
      <c r="O1307" s="135"/>
      <c r="P1307" s="135"/>
      <c r="Q1307" s="135"/>
      <c r="R1307" s="135"/>
      <c r="S1307" s="135"/>
      <c r="T1307" s="135"/>
      <c r="U1307" s="135"/>
      <c r="V1307" s="135"/>
      <c r="W1307" s="135"/>
      <c r="X1307" s="135"/>
      <c r="Y1307" s="135"/>
      <c r="Z1307" s="135"/>
      <c r="AA1307" s="135"/>
      <c r="AB1307" s="135"/>
      <c r="AC1307" s="135"/>
      <c r="AD1307" s="135"/>
      <c r="AE1307" s="135"/>
      <c r="AF1307" s="135"/>
      <c r="AG1307" s="135"/>
      <c r="AH1307" s="135"/>
      <c r="AI1307" s="135"/>
      <c r="AJ1307" s="135"/>
      <c r="AK1307" s="135"/>
      <c r="AL1307" s="135"/>
      <c r="AM1307" s="135"/>
      <c r="AN1307" s="135"/>
      <c r="AO1307" s="135"/>
      <c r="AP1307" s="135"/>
      <c r="AQ1307" s="135"/>
      <c r="AR1307" s="135"/>
      <c r="AS1307" s="135"/>
      <c r="AT1307" s="135"/>
      <c r="AU1307" s="135"/>
    </row>
    <row r="1308" spans="1:47" ht="48" x14ac:dyDescent="0.2">
      <c r="A1308" s="174"/>
      <c r="B1308" s="175"/>
      <c r="C1308" s="176"/>
      <c r="D1308" s="177"/>
      <c r="E1308" s="178"/>
      <c r="F1308" s="178"/>
      <c r="G1308" s="177"/>
      <c r="H1308" s="303"/>
      <c r="I1308" s="186" t="s">
        <v>1672</v>
      </c>
      <c r="J1308" s="348" t="s">
        <v>1664</v>
      </c>
      <c r="K1308" s="213">
        <f>5000*20%</f>
        <v>1000</v>
      </c>
      <c r="L1308" s="176"/>
      <c r="M1308" s="183"/>
      <c r="N1308" s="135"/>
      <c r="O1308" s="135"/>
      <c r="P1308" s="135"/>
      <c r="Q1308" s="135"/>
      <c r="R1308" s="135"/>
      <c r="S1308" s="135"/>
      <c r="T1308" s="135"/>
      <c r="U1308" s="135"/>
      <c r="V1308" s="135"/>
      <c r="W1308" s="135"/>
      <c r="X1308" s="135"/>
      <c r="Y1308" s="135"/>
      <c r="Z1308" s="135"/>
      <c r="AA1308" s="135"/>
      <c r="AB1308" s="135"/>
      <c r="AC1308" s="135"/>
      <c r="AD1308" s="135"/>
      <c r="AE1308" s="135"/>
      <c r="AF1308" s="135"/>
      <c r="AG1308" s="135"/>
      <c r="AH1308" s="135"/>
      <c r="AI1308" s="135"/>
      <c r="AJ1308" s="135"/>
      <c r="AK1308" s="135"/>
      <c r="AL1308" s="135"/>
      <c r="AM1308" s="135"/>
      <c r="AN1308" s="135"/>
      <c r="AO1308" s="135"/>
      <c r="AP1308" s="135"/>
      <c r="AQ1308" s="135"/>
      <c r="AR1308" s="135"/>
      <c r="AS1308" s="135"/>
      <c r="AT1308" s="135"/>
      <c r="AU1308" s="135"/>
    </row>
    <row r="1309" spans="1:47" ht="48" x14ac:dyDescent="0.2">
      <c r="A1309" s="174"/>
      <c r="B1309" s="175"/>
      <c r="C1309" s="176"/>
      <c r="D1309" s="177"/>
      <c r="E1309" s="178"/>
      <c r="F1309" s="178"/>
      <c r="G1309" s="177"/>
      <c r="H1309" s="303"/>
      <c r="I1309" s="186" t="s">
        <v>1257</v>
      </c>
      <c r="J1309" s="348" t="s">
        <v>1664</v>
      </c>
      <c r="K1309" s="213">
        <f>5000*5%</f>
        <v>250</v>
      </c>
      <c r="L1309" s="176"/>
      <c r="M1309" s="183"/>
      <c r="N1309" s="135"/>
      <c r="O1309" s="135"/>
      <c r="P1309" s="135"/>
      <c r="Q1309" s="135"/>
      <c r="R1309" s="135"/>
      <c r="S1309" s="135"/>
      <c r="T1309" s="135"/>
      <c r="U1309" s="135"/>
      <c r="V1309" s="135"/>
      <c r="W1309" s="135"/>
      <c r="X1309" s="135"/>
      <c r="Y1309" s="135"/>
      <c r="Z1309" s="135"/>
      <c r="AA1309" s="135"/>
      <c r="AB1309" s="135"/>
      <c r="AC1309" s="135"/>
      <c r="AD1309" s="135"/>
      <c r="AE1309" s="135"/>
      <c r="AF1309" s="135"/>
      <c r="AG1309" s="135"/>
      <c r="AH1309" s="135"/>
      <c r="AI1309" s="135"/>
      <c r="AJ1309" s="135"/>
      <c r="AK1309" s="135"/>
      <c r="AL1309" s="135"/>
      <c r="AM1309" s="135"/>
      <c r="AN1309" s="135"/>
      <c r="AO1309" s="135"/>
      <c r="AP1309" s="135"/>
      <c r="AQ1309" s="135"/>
      <c r="AR1309" s="135"/>
      <c r="AS1309" s="135"/>
      <c r="AT1309" s="135"/>
      <c r="AU1309" s="135"/>
    </row>
    <row r="1310" spans="1:47" ht="48" x14ac:dyDescent="0.2">
      <c r="A1310" s="174"/>
      <c r="B1310" s="175"/>
      <c r="C1310" s="176"/>
      <c r="D1310" s="177"/>
      <c r="E1310" s="178"/>
      <c r="F1310" s="178"/>
      <c r="G1310" s="177"/>
      <c r="H1310" s="303"/>
      <c r="I1310" s="186" t="s">
        <v>1666</v>
      </c>
      <c r="J1310" s="348" t="s">
        <v>1664</v>
      </c>
      <c r="K1310" s="213">
        <f>5000*5%</f>
        <v>250</v>
      </c>
      <c r="L1310" s="176"/>
      <c r="M1310" s="183"/>
      <c r="N1310" s="135"/>
      <c r="O1310" s="135"/>
      <c r="P1310" s="135"/>
      <c r="Q1310" s="135"/>
      <c r="R1310" s="135"/>
      <c r="S1310" s="135"/>
      <c r="T1310" s="135"/>
      <c r="U1310" s="135"/>
      <c r="V1310" s="135"/>
      <c r="W1310" s="135"/>
      <c r="X1310" s="135"/>
      <c r="Y1310" s="135"/>
      <c r="Z1310" s="135"/>
      <c r="AA1310" s="135"/>
      <c r="AB1310" s="135"/>
      <c r="AC1310" s="135"/>
      <c r="AD1310" s="135"/>
      <c r="AE1310" s="135"/>
      <c r="AF1310" s="135"/>
      <c r="AG1310" s="135"/>
      <c r="AH1310" s="135"/>
      <c r="AI1310" s="135"/>
      <c r="AJ1310" s="135"/>
      <c r="AK1310" s="135"/>
      <c r="AL1310" s="135"/>
      <c r="AM1310" s="135"/>
      <c r="AN1310" s="135"/>
      <c r="AO1310" s="135"/>
      <c r="AP1310" s="135"/>
      <c r="AQ1310" s="135"/>
      <c r="AR1310" s="135"/>
      <c r="AS1310" s="135"/>
      <c r="AT1310" s="135"/>
      <c r="AU1310" s="135"/>
    </row>
    <row r="1311" spans="1:47" x14ac:dyDescent="0.2">
      <c r="A1311" s="174"/>
      <c r="B1311" s="175"/>
      <c r="C1311" s="176"/>
      <c r="D1311" s="177"/>
      <c r="E1311" s="178"/>
      <c r="F1311" s="178"/>
      <c r="G1311" s="177"/>
      <c r="H1311" s="303"/>
      <c r="I1311" s="186" t="s">
        <v>1668</v>
      </c>
      <c r="J1311" s="348" t="s">
        <v>1258</v>
      </c>
      <c r="K1311" s="213">
        <f>5000*5%</f>
        <v>250</v>
      </c>
      <c r="L1311" s="176"/>
      <c r="M1311" s="183"/>
      <c r="N1311" s="135"/>
      <c r="O1311" s="135"/>
      <c r="P1311" s="135"/>
      <c r="Q1311" s="135"/>
      <c r="R1311" s="135"/>
      <c r="S1311" s="135"/>
      <c r="T1311" s="135"/>
      <c r="U1311" s="135"/>
      <c r="V1311" s="135"/>
      <c r="W1311" s="135"/>
      <c r="X1311" s="135"/>
      <c r="Y1311" s="135"/>
      <c r="Z1311" s="135"/>
      <c r="AA1311" s="135"/>
      <c r="AB1311" s="135"/>
      <c r="AC1311" s="135"/>
      <c r="AD1311" s="135"/>
      <c r="AE1311" s="135"/>
      <c r="AF1311" s="135"/>
      <c r="AG1311" s="135"/>
      <c r="AH1311" s="135"/>
      <c r="AI1311" s="135"/>
      <c r="AJ1311" s="135"/>
      <c r="AK1311" s="135"/>
      <c r="AL1311" s="135"/>
      <c r="AM1311" s="135"/>
      <c r="AN1311" s="135"/>
      <c r="AO1311" s="135"/>
      <c r="AP1311" s="135"/>
      <c r="AQ1311" s="135"/>
      <c r="AR1311" s="135"/>
      <c r="AS1311" s="135"/>
      <c r="AT1311" s="135"/>
      <c r="AU1311" s="135"/>
    </row>
    <row r="1312" spans="1:47" x14ac:dyDescent="0.2">
      <c r="A1312" s="187"/>
      <c r="B1312" s="188"/>
      <c r="C1312" s="189"/>
      <c r="D1312" s="190"/>
      <c r="E1312" s="191"/>
      <c r="F1312" s="191"/>
      <c r="G1312" s="190"/>
      <c r="H1312" s="304"/>
      <c r="I1312" s="179"/>
      <c r="J1312" s="356"/>
      <c r="K1312" s="198">
        <f>SUM(K1307:K1311)</f>
        <v>5000</v>
      </c>
      <c r="L1312" s="189"/>
      <c r="M1312" s="196"/>
      <c r="N1312" s="135"/>
      <c r="O1312" s="135"/>
      <c r="P1312" s="135"/>
      <c r="Q1312" s="135"/>
      <c r="R1312" s="135"/>
      <c r="S1312" s="135"/>
      <c r="T1312" s="135"/>
      <c r="U1312" s="135"/>
      <c r="V1312" s="135"/>
      <c r="W1312" s="135"/>
      <c r="X1312" s="135"/>
      <c r="Y1312" s="135"/>
      <c r="Z1312" s="135"/>
      <c r="AA1312" s="135"/>
      <c r="AB1312" s="135"/>
      <c r="AC1312" s="135"/>
      <c r="AD1312" s="135"/>
      <c r="AE1312" s="135"/>
      <c r="AF1312" s="135"/>
      <c r="AG1312" s="135"/>
      <c r="AH1312" s="135"/>
      <c r="AI1312" s="135"/>
      <c r="AJ1312" s="135"/>
      <c r="AK1312" s="135"/>
      <c r="AL1312" s="135"/>
      <c r="AM1312" s="135"/>
      <c r="AN1312" s="135"/>
      <c r="AO1312" s="135"/>
      <c r="AP1312" s="135"/>
      <c r="AQ1312" s="135"/>
      <c r="AR1312" s="135"/>
      <c r="AS1312" s="135"/>
      <c r="AT1312" s="135"/>
      <c r="AU1312" s="135"/>
    </row>
    <row r="1313" spans="1:47" ht="24" customHeight="1" x14ac:dyDescent="0.2">
      <c r="A1313" s="163">
        <v>283</v>
      </c>
      <c r="B1313" s="164" t="s">
        <v>1673</v>
      </c>
      <c r="C1313" s="165"/>
      <c r="D1313" s="166" t="s">
        <v>107</v>
      </c>
      <c r="E1313" s="167"/>
      <c r="F1313" s="167"/>
      <c r="G1313" s="166"/>
      <c r="H1313" s="301" t="s">
        <v>137</v>
      </c>
      <c r="I1313" s="217" t="s">
        <v>1674</v>
      </c>
      <c r="J1313" s="355" t="s">
        <v>1643</v>
      </c>
      <c r="K1313" s="278">
        <f>8000*30%</f>
        <v>2400</v>
      </c>
      <c r="L1313" s="165" t="s">
        <v>111</v>
      </c>
      <c r="M1313" s="172" t="s">
        <v>1675</v>
      </c>
      <c r="N1313" s="135"/>
      <c r="O1313" s="135"/>
      <c r="P1313" s="135"/>
      <c r="Q1313" s="135"/>
      <c r="R1313" s="135"/>
      <c r="S1313" s="135"/>
      <c r="T1313" s="135"/>
      <c r="U1313" s="135"/>
      <c r="V1313" s="135"/>
      <c r="W1313" s="135"/>
      <c r="X1313" s="135"/>
      <c r="Y1313" s="135"/>
      <c r="Z1313" s="135"/>
      <c r="AA1313" s="135"/>
      <c r="AB1313" s="135"/>
      <c r="AC1313" s="135"/>
      <c r="AD1313" s="135"/>
      <c r="AE1313" s="135"/>
      <c r="AF1313" s="135"/>
      <c r="AG1313" s="135"/>
      <c r="AH1313" s="135"/>
      <c r="AI1313" s="135"/>
      <c r="AJ1313" s="135"/>
      <c r="AK1313" s="135"/>
      <c r="AL1313" s="135"/>
      <c r="AM1313" s="135"/>
      <c r="AN1313" s="135"/>
      <c r="AO1313" s="135"/>
      <c r="AP1313" s="135"/>
      <c r="AQ1313" s="135"/>
      <c r="AR1313" s="135"/>
      <c r="AS1313" s="135"/>
      <c r="AT1313" s="135"/>
      <c r="AU1313" s="135"/>
    </row>
    <row r="1314" spans="1:47" x14ac:dyDescent="0.2">
      <c r="A1314" s="174"/>
      <c r="B1314" s="175"/>
      <c r="C1314" s="176"/>
      <c r="D1314" s="177"/>
      <c r="E1314" s="178"/>
      <c r="F1314" s="178"/>
      <c r="G1314" s="177"/>
      <c r="H1314" s="303"/>
      <c r="I1314" s="186" t="s">
        <v>1642</v>
      </c>
      <c r="J1314" s="348" t="s">
        <v>1258</v>
      </c>
      <c r="K1314" s="213">
        <f>8000*30%</f>
        <v>2400</v>
      </c>
      <c r="L1314" s="176"/>
      <c r="M1314" s="183"/>
      <c r="N1314" s="135"/>
      <c r="O1314" s="135"/>
      <c r="P1314" s="135"/>
      <c r="Q1314" s="135"/>
      <c r="R1314" s="135"/>
      <c r="S1314" s="135"/>
      <c r="T1314" s="135"/>
      <c r="U1314" s="135"/>
      <c r="V1314" s="135"/>
      <c r="W1314" s="135"/>
      <c r="X1314" s="135"/>
      <c r="Y1314" s="135"/>
      <c r="Z1314" s="135"/>
      <c r="AA1314" s="135"/>
      <c r="AB1314" s="135"/>
      <c r="AC1314" s="135"/>
      <c r="AD1314" s="135"/>
      <c r="AE1314" s="135"/>
      <c r="AF1314" s="135"/>
      <c r="AG1314" s="135"/>
      <c r="AH1314" s="135"/>
      <c r="AI1314" s="135"/>
      <c r="AJ1314" s="135"/>
      <c r="AK1314" s="135"/>
      <c r="AL1314" s="135"/>
      <c r="AM1314" s="135"/>
      <c r="AN1314" s="135"/>
      <c r="AO1314" s="135"/>
      <c r="AP1314" s="135"/>
      <c r="AQ1314" s="135"/>
      <c r="AR1314" s="135"/>
      <c r="AS1314" s="135"/>
      <c r="AT1314" s="135"/>
      <c r="AU1314" s="135"/>
    </row>
    <row r="1315" spans="1:47" x14ac:dyDescent="0.2">
      <c r="A1315" s="174"/>
      <c r="B1315" s="175"/>
      <c r="C1315" s="176"/>
      <c r="D1315" s="177"/>
      <c r="E1315" s="178"/>
      <c r="F1315" s="178"/>
      <c r="G1315" s="177"/>
      <c r="H1315" s="303"/>
      <c r="I1315" s="186" t="s">
        <v>1676</v>
      </c>
      <c r="J1315" s="348" t="s">
        <v>1258</v>
      </c>
      <c r="K1315" s="213">
        <f>8000*40%</f>
        <v>3200</v>
      </c>
      <c r="L1315" s="176"/>
      <c r="M1315" s="183"/>
      <c r="N1315" s="135"/>
      <c r="O1315" s="135"/>
      <c r="P1315" s="135"/>
      <c r="Q1315" s="135"/>
      <c r="R1315" s="135"/>
      <c r="S1315" s="135"/>
      <c r="T1315" s="135"/>
      <c r="U1315" s="135"/>
      <c r="V1315" s="135"/>
      <c r="W1315" s="135"/>
      <c r="X1315" s="135"/>
      <c r="Y1315" s="135"/>
      <c r="Z1315" s="135"/>
      <c r="AA1315" s="135"/>
      <c r="AB1315" s="135"/>
      <c r="AC1315" s="135"/>
      <c r="AD1315" s="135"/>
      <c r="AE1315" s="135"/>
      <c r="AF1315" s="135"/>
      <c r="AG1315" s="135"/>
      <c r="AH1315" s="135"/>
      <c r="AI1315" s="135"/>
      <c r="AJ1315" s="135"/>
      <c r="AK1315" s="135"/>
      <c r="AL1315" s="135"/>
      <c r="AM1315" s="135"/>
      <c r="AN1315" s="135"/>
      <c r="AO1315" s="135"/>
      <c r="AP1315" s="135"/>
      <c r="AQ1315" s="135"/>
      <c r="AR1315" s="135"/>
      <c r="AS1315" s="135"/>
      <c r="AT1315" s="135"/>
      <c r="AU1315" s="135"/>
    </row>
    <row r="1316" spans="1:47" x14ac:dyDescent="0.2">
      <c r="A1316" s="187"/>
      <c r="B1316" s="188"/>
      <c r="C1316" s="189"/>
      <c r="D1316" s="190"/>
      <c r="E1316" s="191"/>
      <c r="F1316" s="191"/>
      <c r="G1316" s="190"/>
      <c r="H1316" s="304"/>
      <c r="I1316" s="202"/>
      <c r="J1316" s="349"/>
      <c r="K1316" s="319">
        <f>SUM(K1313:K1315)</f>
        <v>8000</v>
      </c>
      <c r="L1316" s="189"/>
      <c r="M1316" s="196"/>
      <c r="N1316" s="135"/>
      <c r="O1316" s="135"/>
      <c r="P1316" s="135"/>
      <c r="Q1316" s="135"/>
      <c r="R1316" s="135"/>
      <c r="S1316" s="135"/>
      <c r="T1316" s="135"/>
      <c r="U1316" s="135"/>
      <c r="V1316" s="135"/>
      <c r="W1316" s="135"/>
      <c r="X1316" s="135"/>
      <c r="Y1316" s="135"/>
      <c r="Z1316" s="135"/>
      <c r="AA1316" s="135"/>
      <c r="AB1316" s="135"/>
      <c r="AC1316" s="135"/>
      <c r="AD1316" s="135"/>
      <c r="AE1316" s="135"/>
      <c r="AF1316" s="135"/>
      <c r="AG1316" s="135"/>
      <c r="AH1316" s="135"/>
      <c r="AI1316" s="135"/>
      <c r="AJ1316" s="135"/>
      <c r="AK1316" s="135"/>
      <c r="AL1316" s="135"/>
      <c r="AM1316" s="135"/>
      <c r="AN1316" s="135"/>
      <c r="AO1316" s="135"/>
      <c r="AP1316" s="135"/>
      <c r="AQ1316" s="135"/>
      <c r="AR1316" s="135"/>
      <c r="AS1316" s="135"/>
      <c r="AT1316" s="135"/>
      <c r="AU1316" s="135"/>
    </row>
    <row r="1317" spans="1:47" ht="24" customHeight="1" x14ac:dyDescent="0.2">
      <c r="A1317" s="163">
        <v>284</v>
      </c>
      <c r="B1317" s="164" t="s">
        <v>1677</v>
      </c>
      <c r="C1317" s="165"/>
      <c r="D1317" s="166" t="s">
        <v>107</v>
      </c>
      <c r="E1317" s="167"/>
      <c r="F1317" s="167"/>
      <c r="G1317" s="166"/>
      <c r="H1317" s="301" t="s">
        <v>743</v>
      </c>
      <c r="I1317" s="299" t="s">
        <v>1678</v>
      </c>
      <c r="J1317" s="347" t="s">
        <v>1258</v>
      </c>
      <c r="K1317" s="270">
        <f>7500*50%</f>
        <v>3750</v>
      </c>
      <c r="L1317" s="165" t="s">
        <v>111</v>
      </c>
      <c r="M1317" s="172" t="s">
        <v>1679</v>
      </c>
      <c r="N1317" s="135"/>
      <c r="O1317" s="135"/>
      <c r="P1317" s="135"/>
      <c r="Q1317" s="135"/>
      <c r="R1317" s="135"/>
      <c r="S1317" s="135"/>
      <c r="T1317" s="135"/>
      <c r="U1317" s="135"/>
      <c r="V1317" s="135"/>
      <c r="W1317" s="135"/>
      <c r="X1317" s="135"/>
      <c r="Y1317" s="135"/>
      <c r="Z1317" s="135"/>
      <c r="AA1317" s="135"/>
      <c r="AB1317" s="135"/>
      <c r="AC1317" s="135"/>
      <c r="AD1317" s="135"/>
      <c r="AE1317" s="135"/>
      <c r="AF1317" s="135"/>
      <c r="AG1317" s="135"/>
      <c r="AH1317" s="135"/>
      <c r="AI1317" s="135"/>
      <c r="AJ1317" s="135"/>
      <c r="AK1317" s="135"/>
      <c r="AL1317" s="135"/>
      <c r="AM1317" s="135"/>
      <c r="AN1317" s="135"/>
      <c r="AO1317" s="135"/>
      <c r="AP1317" s="135"/>
      <c r="AQ1317" s="135"/>
      <c r="AR1317" s="135"/>
      <c r="AS1317" s="135"/>
      <c r="AT1317" s="135"/>
      <c r="AU1317" s="135"/>
    </row>
    <row r="1318" spans="1:47" x14ac:dyDescent="0.2">
      <c r="A1318" s="174"/>
      <c r="B1318" s="175"/>
      <c r="C1318" s="176"/>
      <c r="D1318" s="177"/>
      <c r="E1318" s="178"/>
      <c r="F1318" s="178"/>
      <c r="G1318" s="177"/>
      <c r="H1318" s="303"/>
      <c r="I1318" s="186" t="s">
        <v>1680</v>
      </c>
      <c r="J1318" s="348" t="s">
        <v>1258</v>
      </c>
      <c r="K1318" s="213">
        <f>7500*10%</f>
        <v>750</v>
      </c>
      <c r="L1318" s="176"/>
      <c r="M1318" s="183"/>
      <c r="N1318" s="135"/>
      <c r="O1318" s="135"/>
      <c r="P1318" s="135"/>
      <c r="Q1318" s="135"/>
      <c r="R1318" s="135"/>
      <c r="S1318" s="135"/>
      <c r="T1318" s="135"/>
      <c r="U1318" s="135"/>
      <c r="V1318" s="135"/>
      <c r="W1318" s="135"/>
      <c r="X1318" s="135"/>
      <c r="Y1318" s="135"/>
      <c r="Z1318" s="135"/>
      <c r="AA1318" s="135"/>
      <c r="AB1318" s="135"/>
      <c r="AC1318" s="135"/>
      <c r="AD1318" s="135"/>
      <c r="AE1318" s="135"/>
      <c r="AF1318" s="135"/>
      <c r="AG1318" s="135"/>
      <c r="AH1318" s="135"/>
      <c r="AI1318" s="135"/>
      <c r="AJ1318" s="135"/>
      <c r="AK1318" s="135"/>
      <c r="AL1318" s="135"/>
      <c r="AM1318" s="135"/>
      <c r="AN1318" s="135"/>
      <c r="AO1318" s="135"/>
      <c r="AP1318" s="135"/>
      <c r="AQ1318" s="135"/>
      <c r="AR1318" s="135"/>
      <c r="AS1318" s="135"/>
      <c r="AT1318" s="135"/>
      <c r="AU1318" s="135"/>
    </row>
    <row r="1319" spans="1:47" x14ac:dyDescent="0.2">
      <c r="A1319" s="174"/>
      <c r="B1319" s="175"/>
      <c r="C1319" s="176"/>
      <c r="D1319" s="177"/>
      <c r="E1319" s="178"/>
      <c r="F1319" s="178"/>
      <c r="G1319" s="177"/>
      <c r="H1319" s="303"/>
      <c r="I1319" s="186" t="s">
        <v>1681</v>
      </c>
      <c r="J1319" s="348" t="s">
        <v>1258</v>
      </c>
      <c r="K1319" s="213">
        <f>7500*20%</f>
        <v>1500</v>
      </c>
      <c r="L1319" s="176"/>
      <c r="M1319" s="183"/>
      <c r="N1319" s="135"/>
      <c r="O1319" s="135"/>
      <c r="P1319" s="135"/>
      <c r="Q1319" s="135"/>
      <c r="R1319" s="135"/>
      <c r="S1319" s="135"/>
      <c r="T1319" s="135"/>
      <c r="U1319" s="135"/>
      <c r="V1319" s="135"/>
      <c r="W1319" s="135"/>
      <c r="X1319" s="135"/>
      <c r="Y1319" s="135"/>
      <c r="Z1319" s="135"/>
      <c r="AA1319" s="135"/>
      <c r="AB1319" s="135"/>
      <c r="AC1319" s="135"/>
      <c r="AD1319" s="135"/>
      <c r="AE1319" s="135"/>
      <c r="AF1319" s="135"/>
      <c r="AG1319" s="135"/>
      <c r="AH1319" s="135"/>
      <c r="AI1319" s="135"/>
      <c r="AJ1319" s="135"/>
      <c r="AK1319" s="135"/>
      <c r="AL1319" s="135"/>
      <c r="AM1319" s="135"/>
      <c r="AN1319" s="135"/>
      <c r="AO1319" s="135"/>
      <c r="AP1319" s="135"/>
      <c r="AQ1319" s="135"/>
      <c r="AR1319" s="135"/>
      <c r="AS1319" s="135"/>
      <c r="AT1319" s="135"/>
      <c r="AU1319" s="135"/>
    </row>
    <row r="1320" spans="1:47" x14ac:dyDescent="0.2">
      <c r="A1320" s="174"/>
      <c r="B1320" s="175"/>
      <c r="C1320" s="176"/>
      <c r="D1320" s="177"/>
      <c r="E1320" s="178"/>
      <c r="F1320" s="178"/>
      <c r="G1320" s="177"/>
      <c r="H1320" s="303"/>
      <c r="I1320" s="186" t="s">
        <v>1682</v>
      </c>
      <c r="J1320" s="348" t="s">
        <v>1258</v>
      </c>
      <c r="K1320" s="213">
        <f>7500*10%</f>
        <v>750</v>
      </c>
      <c r="L1320" s="176"/>
      <c r="M1320" s="183"/>
      <c r="N1320" s="135"/>
      <c r="O1320" s="135"/>
      <c r="P1320" s="135"/>
      <c r="Q1320" s="135"/>
      <c r="R1320" s="135"/>
      <c r="S1320" s="135"/>
      <c r="T1320" s="135"/>
      <c r="U1320" s="135"/>
      <c r="V1320" s="135"/>
      <c r="W1320" s="135"/>
      <c r="X1320" s="135"/>
      <c r="Y1320" s="135"/>
      <c r="Z1320" s="135"/>
      <c r="AA1320" s="135"/>
      <c r="AB1320" s="135"/>
      <c r="AC1320" s="135"/>
      <c r="AD1320" s="135"/>
      <c r="AE1320" s="135"/>
      <c r="AF1320" s="135"/>
      <c r="AG1320" s="135"/>
      <c r="AH1320" s="135"/>
      <c r="AI1320" s="135"/>
      <c r="AJ1320" s="135"/>
      <c r="AK1320" s="135"/>
      <c r="AL1320" s="135"/>
      <c r="AM1320" s="135"/>
      <c r="AN1320" s="135"/>
      <c r="AO1320" s="135"/>
      <c r="AP1320" s="135"/>
      <c r="AQ1320" s="135"/>
      <c r="AR1320" s="135"/>
      <c r="AS1320" s="135"/>
      <c r="AT1320" s="135"/>
      <c r="AU1320" s="135"/>
    </row>
    <row r="1321" spans="1:47" x14ac:dyDescent="0.2">
      <c r="A1321" s="174"/>
      <c r="B1321" s="175"/>
      <c r="C1321" s="176"/>
      <c r="D1321" s="177"/>
      <c r="E1321" s="178"/>
      <c r="F1321" s="178"/>
      <c r="G1321" s="177"/>
      <c r="H1321" s="303"/>
      <c r="I1321" s="186" t="s">
        <v>1683</v>
      </c>
      <c r="J1321" s="348" t="s">
        <v>1258</v>
      </c>
      <c r="K1321" s="213">
        <f>7500*10%</f>
        <v>750</v>
      </c>
      <c r="L1321" s="176"/>
      <c r="M1321" s="183"/>
      <c r="N1321" s="135"/>
      <c r="O1321" s="135"/>
      <c r="P1321" s="135"/>
      <c r="Q1321" s="135"/>
      <c r="R1321" s="135"/>
      <c r="S1321" s="135"/>
      <c r="T1321" s="135"/>
      <c r="U1321" s="135"/>
      <c r="V1321" s="135"/>
      <c r="W1321" s="135"/>
      <c r="X1321" s="135"/>
      <c r="Y1321" s="135"/>
      <c r="Z1321" s="135"/>
      <c r="AA1321" s="135"/>
      <c r="AB1321" s="135"/>
      <c r="AC1321" s="135"/>
      <c r="AD1321" s="135"/>
      <c r="AE1321" s="135"/>
      <c r="AF1321" s="135"/>
      <c r="AG1321" s="135"/>
      <c r="AH1321" s="135"/>
      <c r="AI1321" s="135"/>
      <c r="AJ1321" s="135"/>
      <c r="AK1321" s="135"/>
      <c r="AL1321" s="135"/>
      <c r="AM1321" s="135"/>
      <c r="AN1321" s="135"/>
      <c r="AO1321" s="135"/>
      <c r="AP1321" s="135"/>
      <c r="AQ1321" s="135"/>
      <c r="AR1321" s="135"/>
      <c r="AS1321" s="135"/>
      <c r="AT1321" s="135"/>
      <c r="AU1321" s="135"/>
    </row>
    <row r="1322" spans="1:47" x14ac:dyDescent="0.2">
      <c r="A1322" s="187"/>
      <c r="B1322" s="188"/>
      <c r="C1322" s="189"/>
      <c r="D1322" s="190"/>
      <c r="E1322" s="191"/>
      <c r="F1322" s="191"/>
      <c r="G1322" s="190"/>
      <c r="H1322" s="304"/>
      <c r="I1322" s="179"/>
      <c r="J1322" s="356"/>
      <c r="K1322" s="198">
        <f>SUM(K1317:K1321)</f>
        <v>7500</v>
      </c>
      <c r="L1322" s="189"/>
      <c r="M1322" s="196"/>
      <c r="N1322" s="135"/>
      <c r="O1322" s="135"/>
      <c r="P1322" s="135"/>
      <c r="Q1322" s="135"/>
      <c r="R1322" s="135"/>
      <c r="S1322" s="135"/>
      <c r="T1322" s="135"/>
      <c r="U1322" s="135"/>
      <c r="V1322" s="135"/>
      <c r="W1322" s="135"/>
      <c r="X1322" s="135"/>
      <c r="Y1322" s="135"/>
      <c r="Z1322" s="135"/>
      <c r="AA1322" s="135"/>
      <c r="AB1322" s="135"/>
      <c r="AC1322" s="135"/>
      <c r="AD1322" s="135"/>
      <c r="AE1322" s="135"/>
      <c r="AF1322" s="135"/>
      <c r="AG1322" s="135"/>
      <c r="AH1322" s="135"/>
      <c r="AI1322" s="135"/>
      <c r="AJ1322" s="135"/>
      <c r="AK1322" s="135"/>
      <c r="AL1322" s="135"/>
      <c r="AM1322" s="135"/>
      <c r="AN1322" s="135"/>
      <c r="AO1322" s="135"/>
      <c r="AP1322" s="135"/>
      <c r="AQ1322" s="135"/>
      <c r="AR1322" s="135"/>
      <c r="AS1322" s="135"/>
      <c r="AT1322" s="135"/>
      <c r="AU1322" s="135"/>
    </row>
    <row r="1323" spans="1:47" ht="24" customHeight="1" x14ac:dyDescent="0.2">
      <c r="A1323" s="163">
        <v>285</v>
      </c>
      <c r="B1323" s="164" t="s">
        <v>1684</v>
      </c>
      <c r="C1323" s="165"/>
      <c r="D1323" s="166" t="s">
        <v>107</v>
      </c>
      <c r="E1323" s="167"/>
      <c r="F1323" s="167"/>
      <c r="G1323" s="166"/>
      <c r="H1323" s="301"/>
      <c r="I1323" s="217" t="s">
        <v>1685</v>
      </c>
      <c r="J1323" s="355" t="s">
        <v>1258</v>
      </c>
      <c r="K1323" s="278">
        <f>7500*40%</f>
        <v>3000</v>
      </c>
      <c r="L1323" s="165" t="s">
        <v>111</v>
      </c>
      <c r="M1323" s="172" t="s">
        <v>1686</v>
      </c>
      <c r="N1323" s="135"/>
      <c r="O1323" s="135"/>
      <c r="P1323" s="135"/>
      <c r="Q1323" s="135"/>
      <c r="R1323" s="135"/>
      <c r="S1323" s="135"/>
      <c r="T1323" s="135"/>
      <c r="U1323" s="135"/>
      <c r="V1323" s="135"/>
      <c r="W1323" s="135"/>
      <c r="X1323" s="135"/>
      <c r="Y1323" s="135"/>
      <c r="Z1323" s="135"/>
      <c r="AA1323" s="135"/>
      <c r="AB1323" s="135"/>
      <c r="AC1323" s="135"/>
      <c r="AD1323" s="135"/>
      <c r="AE1323" s="135"/>
      <c r="AF1323" s="135"/>
      <c r="AG1323" s="135"/>
      <c r="AH1323" s="135"/>
      <c r="AI1323" s="135"/>
      <c r="AJ1323" s="135"/>
      <c r="AK1323" s="135"/>
      <c r="AL1323" s="135"/>
      <c r="AM1323" s="135"/>
      <c r="AN1323" s="135"/>
      <c r="AO1323" s="135"/>
      <c r="AP1323" s="135"/>
      <c r="AQ1323" s="135"/>
      <c r="AR1323" s="135"/>
      <c r="AS1323" s="135"/>
      <c r="AT1323" s="135"/>
      <c r="AU1323" s="135"/>
    </row>
    <row r="1324" spans="1:47" x14ac:dyDescent="0.2">
      <c r="A1324" s="174"/>
      <c r="B1324" s="175"/>
      <c r="C1324" s="176"/>
      <c r="D1324" s="177"/>
      <c r="E1324" s="178"/>
      <c r="F1324" s="178"/>
      <c r="G1324" s="177"/>
      <c r="H1324" s="303"/>
      <c r="I1324" s="186" t="s">
        <v>1687</v>
      </c>
      <c r="J1324" s="348" t="s">
        <v>1258</v>
      </c>
      <c r="K1324" s="213">
        <f>7500*20%</f>
        <v>1500</v>
      </c>
      <c r="L1324" s="176"/>
      <c r="M1324" s="183"/>
      <c r="N1324" s="135"/>
      <c r="O1324" s="135"/>
      <c r="P1324" s="135"/>
      <c r="Q1324" s="135"/>
      <c r="R1324" s="135"/>
      <c r="S1324" s="135"/>
      <c r="T1324" s="135"/>
      <c r="U1324" s="135"/>
      <c r="V1324" s="135"/>
      <c r="W1324" s="135"/>
      <c r="X1324" s="135"/>
      <c r="Y1324" s="135"/>
      <c r="Z1324" s="135"/>
      <c r="AA1324" s="135"/>
      <c r="AB1324" s="135"/>
      <c r="AC1324" s="135"/>
      <c r="AD1324" s="135"/>
      <c r="AE1324" s="135"/>
      <c r="AF1324" s="135"/>
      <c r="AG1324" s="135"/>
      <c r="AH1324" s="135"/>
      <c r="AI1324" s="135"/>
      <c r="AJ1324" s="135"/>
      <c r="AK1324" s="135"/>
      <c r="AL1324" s="135"/>
      <c r="AM1324" s="135"/>
      <c r="AN1324" s="135"/>
      <c r="AO1324" s="135"/>
      <c r="AP1324" s="135"/>
      <c r="AQ1324" s="135"/>
      <c r="AR1324" s="135"/>
      <c r="AS1324" s="135"/>
      <c r="AT1324" s="135"/>
      <c r="AU1324" s="135"/>
    </row>
    <row r="1325" spans="1:47" x14ac:dyDescent="0.2">
      <c r="A1325" s="174"/>
      <c r="B1325" s="175"/>
      <c r="C1325" s="176"/>
      <c r="D1325" s="177"/>
      <c r="E1325" s="178"/>
      <c r="F1325" s="178"/>
      <c r="G1325" s="177"/>
      <c r="H1325" s="303"/>
      <c r="I1325" s="186" t="s">
        <v>1681</v>
      </c>
      <c r="J1325" s="348" t="s">
        <v>1258</v>
      </c>
      <c r="K1325" s="213">
        <f>7500*20%</f>
        <v>1500</v>
      </c>
      <c r="L1325" s="176"/>
      <c r="M1325" s="183"/>
      <c r="N1325" s="135"/>
      <c r="O1325" s="135"/>
      <c r="P1325" s="135"/>
      <c r="Q1325" s="135"/>
      <c r="R1325" s="135"/>
      <c r="S1325" s="135"/>
      <c r="T1325" s="135"/>
      <c r="U1325" s="135"/>
      <c r="V1325" s="135"/>
      <c r="W1325" s="135"/>
      <c r="X1325" s="135"/>
      <c r="Y1325" s="135"/>
      <c r="Z1325" s="135"/>
      <c r="AA1325" s="135"/>
      <c r="AB1325" s="135"/>
      <c r="AC1325" s="135"/>
      <c r="AD1325" s="135"/>
      <c r="AE1325" s="135"/>
      <c r="AF1325" s="135"/>
      <c r="AG1325" s="135"/>
      <c r="AH1325" s="135"/>
      <c r="AI1325" s="135"/>
      <c r="AJ1325" s="135"/>
      <c r="AK1325" s="135"/>
      <c r="AL1325" s="135"/>
      <c r="AM1325" s="135"/>
      <c r="AN1325" s="135"/>
      <c r="AO1325" s="135"/>
      <c r="AP1325" s="135"/>
      <c r="AQ1325" s="135"/>
      <c r="AR1325" s="135"/>
      <c r="AS1325" s="135"/>
      <c r="AT1325" s="135"/>
      <c r="AU1325" s="135"/>
    </row>
    <row r="1326" spans="1:47" x14ac:dyDescent="0.2">
      <c r="A1326" s="174"/>
      <c r="B1326" s="175"/>
      <c r="C1326" s="176"/>
      <c r="D1326" s="177"/>
      <c r="E1326" s="178"/>
      <c r="F1326" s="178"/>
      <c r="G1326" s="177"/>
      <c r="H1326" s="303"/>
      <c r="I1326" s="186" t="s">
        <v>1644</v>
      </c>
      <c r="J1326" s="348" t="s">
        <v>1258</v>
      </c>
      <c r="K1326" s="213">
        <f>7500*20%</f>
        <v>1500</v>
      </c>
      <c r="L1326" s="176"/>
      <c r="M1326" s="183"/>
      <c r="N1326" s="135"/>
      <c r="O1326" s="135"/>
      <c r="P1326" s="135"/>
      <c r="Q1326" s="135"/>
      <c r="R1326" s="135"/>
      <c r="S1326" s="135"/>
      <c r="T1326" s="135"/>
      <c r="U1326" s="135"/>
      <c r="V1326" s="135"/>
      <c r="W1326" s="135"/>
      <c r="X1326" s="135"/>
      <c r="Y1326" s="135"/>
      <c r="Z1326" s="135"/>
      <c r="AA1326" s="135"/>
      <c r="AB1326" s="135"/>
      <c r="AC1326" s="135"/>
      <c r="AD1326" s="135"/>
      <c r="AE1326" s="135"/>
      <c r="AF1326" s="135"/>
      <c r="AG1326" s="135"/>
      <c r="AH1326" s="135"/>
      <c r="AI1326" s="135"/>
      <c r="AJ1326" s="135"/>
      <c r="AK1326" s="135"/>
      <c r="AL1326" s="135"/>
      <c r="AM1326" s="135"/>
      <c r="AN1326" s="135"/>
      <c r="AO1326" s="135"/>
      <c r="AP1326" s="135"/>
      <c r="AQ1326" s="135"/>
      <c r="AR1326" s="135"/>
      <c r="AS1326" s="135"/>
      <c r="AT1326" s="135"/>
      <c r="AU1326" s="135"/>
    </row>
    <row r="1327" spans="1:47" x14ac:dyDescent="0.2">
      <c r="A1327" s="187"/>
      <c r="B1327" s="188"/>
      <c r="C1327" s="189"/>
      <c r="D1327" s="190"/>
      <c r="E1327" s="191"/>
      <c r="F1327" s="191"/>
      <c r="G1327" s="190"/>
      <c r="H1327" s="304"/>
      <c r="I1327" s="202"/>
      <c r="J1327" s="349"/>
      <c r="K1327" s="319">
        <f>SUM(K1323:K1326)</f>
        <v>7500</v>
      </c>
      <c r="L1327" s="189"/>
      <c r="M1327" s="196"/>
      <c r="N1327" s="135"/>
      <c r="O1327" s="135"/>
      <c r="P1327" s="135"/>
      <c r="Q1327" s="135"/>
      <c r="R1327" s="135"/>
      <c r="S1327" s="135"/>
      <c r="T1327" s="135"/>
      <c r="U1327" s="135"/>
      <c r="V1327" s="135"/>
      <c r="W1327" s="135"/>
      <c r="X1327" s="135"/>
      <c r="Y1327" s="135"/>
      <c r="Z1327" s="135"/>
      <c r="AA1327" s="135"/>
      <c r="AB1327" s="135"/>
      <c r="AC1327" s="135"/>
      <c r="AD1327" s="135"/>
      <c r="AE1327" s="135"/>
      <c r="AF1327" s="135"/>
      <c r="AG1327" s="135"/>
      <c r="AH1327" s="135"/>
      <c r="AI1327" s="135"/>
      <c r="AJ1327" s="135"/>
      <c r="AK1327" s="135"/>
      <c r="AL1327" s="135"/>
      <c r="AM1327" s="135"/>
      <c r="AN1327" s="135"/>
      <c r="AO1327" s="135"/>
      <c r="AP1327" s="135"/>
      <c r="AQ1327" s="135"/>
      <c r="AR1327" s="135"/>
      <c r="AS1327" s="135"/>
      <c r="AT1327" s="135"/>
      <c r="AU1327" s="135"/>
    </row>
    <row r="1328" spans="1:47" ht="48" customHeight="1" x14ac:dyDescent="0.2">
      <c r="A1328" s="163">
        <v>286</v>
      </c>
      <c r="B1328" s="164" t="s">
        <v>1688</v>
      </c>
      <c r="C1328" s="165"/>
      <c r="D1328" s="166" t="s">
        <v>107</v>
      </c>
      <c r="E1328" s="167"/>
      <c r="F1328" s="167"/>
      <c r="G1328" s="166"/>
      <c r="H1328" s="301" t="s">
        <v>162</v>
      </c>
      <c r="I1328" s="299" t="s">
        <v>1689</v>
      </c>
      <c r="J1328" s="347" t="s">
        <v>1690</v>
      </c>
      <c r="K1328" s="270">
        <f>8000*50%</f>
        <v>4000</v>
      </c>
      <c r="L1328" s="165" t="s">
        <v>111</v>
      </c>
      <c r="M1328" s="172" t="s">
        <v>1691</v>
      </c>
      <c r="N1328" s="135"/>
      <c r="O1328" s="135"/>
      <c r="P1328" s="135"/>
      <c r="Q1328" s="135"/>
      <c r="R1328" s="135"/>
      <c r="S1328" s="135"/>
      <c r="T1328" s="135"/>
      <c r="U1328" s="135"/>
      <c r="V1328" s="135"/>
      <c r="W1328" s="135"/>
      <c r="X1328" s="135"/>
      <c r="Y1328" s="135"/>
      <c r="Z1328" s="135"/>
      <c r="AA1328" s="135"/>
      <c r="AB1328" s="135"/>
      <c r="AC1328" s="135"/>
      <c r="AD1328" s="135"/>
      <c r="AE1328" s="135"/>
      <c r="AF1328" s="135"/>
      <c r="AG1328" s="135"/>
      <c r="AH1328" s="135"/>
      <c r="AI1328" s="135"/>
      <c r="AJ1328" s="135"/>
      <c r="AK1328" s="135"/>
      <c r="AL1328" s="135"/>
      <c r="AM1328" s="135"/>
      <c r="AN1328" s="135"/>
      <c r="AO1328" s="135"/>
      <c r="AP1328" s="135"/>
      <c r="AQ1328" s="135"/>
      <c r="AR1328" s="135"/>
      <c r="AS1328" s="135"/>
      <c r="AT1328" s="135"/>
      <c r="AU1328" s="135"/>
    </row>
    <row r="1329" spans="1:47" x14ac:dyDescent="0.2">
      <c r="A1329" s="174"/>
      <c r="B1329" s="175"/>
      <c r="C1329" s="176"/>
      <c r="D1329" s="177"/>
      <c r="E1329" s="178"/>
      <c r="F1329" s="178"/>
      <c r="G1329" s="177"/>
      <c r="H1329" s="303"/>
      <c r="I1329" s="186" t="s">
        <v>1692</v>
      </c>
      <c r="J1329" s="348" t="s">
        <v>1258</v>
      </c>
      <c r="K1329" s="213">
        <f>8000*50%</f>
        <v>4000</v>
      </c>
      <c r="L1329" s="176"/>
      <c r="M1329" s="183"/>
      <c r="N1329" s="135"/>
      <c r="O1329" s="135"/>
      <c r="P1329" s="135"/>
      <c r="Q1329" s="135"/>
      <c r="R1329" s="135"/>
      <c r="S1329" s="135"/>
      <c r="T1329" s="135"/>
      <c r="U1329" s="135"/>
      <c r="V1329" s="135"/>
      <c r="W1329" s="135"/>
      <c r="X1329" s="135"/>
      <c r="Y1329" s="135"/>
      <c r="Z1329" s="135"/>
      <c r="AA1329" s="135"/>
      <c r="AB1329" s="135"/>
      <c r="AC1329" s="135"/>
      <c r="AD1329" s="135"/>
      <c r="AE1329" s="135"/>
      <c r="AF1329" s="135"/>
      <c r="AG1329" s="135"/>
      <c r="AH1329" s="135"/>
      <c r="AI1329" s="135"/>
      <c r="AJ1329" s="135"/>
      <c r="AK1329" s="135"/>
      <c r="AL1329" s="135"/>
      <c r="AM1329" s="135"/>
      <c r="AN1329" s="135"/>
      <c r="AO1329" s="135"/>
      <c r="AP1329" s="135"/>
      <c r="AQ1329" s="135"/>
      <c r="AR1329" s="135"/>
      <c r="AS1329" s="135"/>
      <c r="AT1329" s="135"/>
      <c r="AU1329" s="135"/>
    </row>
    <row r="1330" spans="1:47" x14ac:dyDescent="0.2">
      <c r="A1330" s="187"/>
      <c r="B1330" s="188"/>
      <c r="C1330" s="189"/>
      <c r="D1330" s="190"/>
      <c r="E1330" s="191"/>
      <c r="F1330" s="191"/>
      <c r="G1330" s="190"/>
      <c r="H1330" s="304"/>
      <c r="I1330" s="179"/>
      <c r="J1330" s="356"/>
      <c r="K1330" s="198">
        <f>SUM(K1328:K1329)</f>
        <v>8000</v>
      </c>
      <c r="L1330" s="189"/>
      <c r="M1330" s="196"/>
      <c r="N1330" s="135"/>
      <c r="O1330" s="135"/>
      <c r="P1330" s="135"/>
      <c r="Q1330" s="135"/>
      <c r="R1330" s="135"/>
      <c r="S1330" s="135"/>
      <c r="T1330" s="135"/>
      <c r="U1330" s="135"/>
      <c r="V1330" s="135"/>
      <c r="W1330" s="135"/>
      <c r="X1330" s="135"/>
      <c r="Y1330" s="135"/>
      <c r="Z1330" s="135"/>
      <c r="AA1330" s="135"/>
      <c r="AB1330" s="135"/>
      <c r="AC1330" s="135"/>
      <c r="AD1330" s="135"/>
      <c r="AE1330" s="135"/>
      <c r="AF1330" s="135"/>
      <c r="AG1330" s="135"/>
      <c r="AH1330" s="135"/>
      <c r="AI1330" s="135"/>
      <c r="AJ1330" s="135"/>
      <c r="AK1330" s="135"/>
      <c r="AL1330" s="135"/>
      <c r="AM1330" s="135"/>
      <c r="AN1330" s="135"/>
      <c r="AO1330" s="135"/>
      <c r="AP1330" s="135"/>
      <c r="AQ1330" s="135"/>
      <c r="AR1330" s="135"/>
      <c r="AS1330" s="135"/>
      <c r="AT1330" s="135"/>
      <c r="AU1330" s="135"/>
    </row>
    <row r="1331" spans="1:47" ht="24" customHeight="1" x14ac:dyDescent="0.2">
      <c r="A1331" s="163">
        <v>287</v>
      </c>
      <c r="B1331" s="164" t="s">
        <v>1693</v>
      </c>
      <c r="C1331" s="165"/>
      <c r="D1331" s="166" t="s">
        <v>107</v>
      </c>
      <c r="E1331" s="167"/>
      <c r="F1331" s="167"/>
      <c r="G1331" s="166"/>
      <c r="H1331" s="301" t="s">
        <v>162</v>
      </c>
      <c r="I1331" s="217" t="s">
        <v>1694</v>
      </c>
      <c r="J1331" s="355" t="s">
        <v>1258</v>
      </c>
      <c r="K1331" s="278">
        <f>8000*60%</f>
        <v>4800</v>
      </c>
      <c r="L1331" s="165" t="s">
        <v>111</v>
      </c>
      <c r="M1331" s="172" t="s">
        <v>1695</v>
      </c>
      <c r="N1331" s="135"/>
      <c r="O1331" s="135"/>
      <c r="P1331" s="135"/>
      <c r="Q1331" s="135"/>
      <c r="R1331" s="135"/>
      <c r="S1331" s="135"/>
      <c r="T1331" s="135"/>
      <c r="U1331" s="135"/>
      <c r="V1331" s="135"/>
      <c r="W1331" s="135"/>
      <c r="X1331" s="135"/>
      <c r="Y1331" s="135"/>
      <c r="Z1331" s="135"/>
      <c r="AA1331" s="135"/>
      <c r="AB1331" s="135"/>
      <c r="AC1331" s="135"/>
      <c r="AD1331" s="135"/>
      <c r="AE1331" s="135"/>
      <c r="AF1331" s="135"/>
      <c r="AG1331" s="135"/>
      <c r="AH1331" s="135"/>
      <c r="AI1331" s="135"/>
      <c r="AJ1331" s="135"/>
      <c r="AK1331" s="135"/>
      <c r="AL1331" s="135"/>
      <c r="AM1331" s="135"/>
      <c r="AN1331" s="135"/>
      <c r="AO1331" s="135"/>
      <c r="AP1331" s="135"/>
      <c r="AQ1331" s="135"/>
      <c r="AR1331" s="135"/>
      <c r="AS1331" s="135"/>
      <c r="AT1331" s="135"/>
      <c r="AU1331" s="135"/>
    </row>
    <row r="1332" spans="1:47" x14ac:dyDescent="0.2">
      <c r="A1332" s="174"/>
      <c r="B1332" s="175"/>
      <c r="C1332" s="176"/>
      <c r="D1332" s="177"/>
      <c r="E1332" s="178"/>
      <c r="F1332" s="178"/>
      <c r="G1332" s="177"/>
      <c r="H1332" s="303"/>
      <c r="I1332" s="186" t="s">
        <v>1696</v>
      </c>
      <c r="J1332" s="348" t="s">
        <v>1258</v>
      </c>
      <c r="K1332" s="213">
        <f>8000*40%</f>
        <v>3200</v>
      </c>
      <c r="L1332" s="176"/>
      <c r="M1332" s="183"/>
      <c r="N1332" s="135"/>
      <c r="O1332" s="135"/>
      <c r="P1332" s="135"/>
      <c r="Q1332" s="135"/>
      <c r="R1332" s="135"/>
      <c r="S1332" s="135"/>
      <c r="T1332" s="135"/>
      <c r="U1332" s="135"/>
      <c r="V1332" s="135"/>
      <c r="W1332" s="135"/>
      <c r="X1332" s="135"/>
      <c r="Y1332" s="135"/>
      <c r="Z1332" s="135"/>
      <c r="AA1332" s="135"/>
      <c r="AB1332" s="135"/>
      <c r="AC1332" s="135"/>
      <c r="AD1332" s="135"/>
      <c r="AE1332" s="135"/>
      <c r="AF1332" s="135"/>
      <c r="AG1332" s="135"/>
      <c r="AH1332" s="135"/>
      <c r="AI1332" s="135"/>
      <c r="AJ1332" s="135"/>
      <c r="AK1332" s="135"/>
      <c r="AL1332" s="135"/>
      <c r="AM1332" s="135"/>
      <c r="AN1332" s="135"/>
      <c r="AO1332" s="135"/>
      <c r="AP1332" s="135"/>
      <c r="AQ1332" s="135"/>
      <c r="AR1332" s="135"/>
      <c r="AS1332" s="135"/>
      <c r="AT1332" s="135"/>
      <c r="AU1332" s="135"/>
    </row>
    <row r="1333" spans="1:47" x14ac:dyDescent="0.2">
      <c r="A1333" s="187"/>
      <c r="B1333" s="188"/>
      <c r="C1333" s="189"/>
      <c r="D1333" s="190"/>
      <c r="E1333" s="191"/>
      <c r="F1333" s="191"/>
      <c r="G1333" s="190"/>
      <c r="H1333" s="304"/>
      <c r="I1333" s="202"/>
      <c r="J1333" s="349"/>
      <c r="K1333" s="319">
        <f>SUM(K1331:K1332)</f>
        <v>8000</v>
      </c>
      <c r="L1333" s="189"/>
      <c r="M1333" s="196"/>
      <c r="N1333" s="135"/>
      <c r="O1333" s="135"/>
      <c r="P1333" s="135"/>
      <c r="Q1333" s="135"/>
      <c r="R1333" s="135"/>
      <c r="S1333" s="135"/>
      <c r="T1333" s="135"/>
      <c r="U1333" s="135"/>
      <c r="V1333" s="135"/>
      <c r="W1333" s="135"/>
      <c r="X1333" s="135"/>
      <c r="Y1333" s="135"/>
      <c r="Z1333" s="135"/>
      <c r="AA1333" s="135"/>
      <c r="AB1333" s="135"/>
      <c r="AC1333" s="135"/>
      <c r="AD1333" s="135"/>
      <c r="AE1333" s="135"/>
      <c r="AF1333" s="135"/>
      <c r="AG1333" s="135"/>
      <c r="AH1333" s="135"/>
      <c r="AI1333" s="135"/>
      <c r="AJ1333" s="135"/>
      <c r="AK1333" s="135"/>
      <c r="AL1333" s="135"/>
      <c r="AM1333" s="135"/>
      <c r="AN1333" s="135"/>
      <c r="AO1333" s="135"/>
      <c r="AP1333" s="135"/>
      <c r="AQ1333" s="135"/>
      <c r="AR1333" s="135"/>
      <c r="AS1333" s="135"/>
      <c r="AT1333" s="135"/>
      <c r="AU1333" s="135"/>
    </row>
    <row r="1334" spans="1:47" ht="22.5" customHeight="1" x14ac:dyDescent="0.2">
      <c r="A1334" s="163">
        <v>288</v>
      </c>
      <c r="B1334" s="164" t="s">
        <v>1697</v>
      </c>
      <c r="C1334" s="165"/>
      <c r="D1334" s="166" t="s">
        <v>107</v>
      </c>
      <c r="E1334" s="167"/>
      <c r="F1334" s="167"/>
      <c r="G1334" s="166"/>
      <c r="H1334" s="166"/>
      <c r="I1334" s="299" t="s">
        <v>1678</v>
      </c>
      <c r="J1334" s="347" t="s">
        <v>1698</v>
      </c>
      <c r="K1334" s="270">
        <f>8000*50%</f>
        <v>4000</v>
      </c>
      <c r="L1334" s="172" t="s">
        <v>111</v>
      </c>
      <c r="M1334" s="172" t="s">
        <v>1699</v>
      </c>
      <c r="N1334" s="135"/>
      <c r="O1334" s="135"/>
      <c r="P1334" s="135"/>
      <c r="Q1334" s="135"/>
      <c r="R1334" s="135"/>
      <c r="S1334" s="135"/>
      <c r="T1334" s="135"/>
      <c r="U1334" s="135"/>
      <c r="V1334" s="135"/>
      <c r="W1334" s="135"/>
      <c r="X1334" s="135"/>
      <c r="Y1334" s="135"/>
      <c r="Z1334" s="135"/>
      <c r="AA1334" s="135"/>
      <c r="AB1334" s="135"/>
      <c r="AC1334" s="135"/>
      <c r="AD1334" s="135"/>
      <c r="AE1334" s="135"/>
      <c r="AF1334" s="135"/>
      <c r="AG1334" s="135"/>
      <c r="AH1334" s="135"/>
      <c r="AI1334" s="135"/>
      <c r="AJ1334" s="135"/>
      <c r="AK1334" s="135"/>
      <c r="AL1334" s="135"/>
      <c r="AM1334" s="135"/>
      <c r="AN1334" s="135"/>
      <c r="AO1334" s="135"/>
      <c r="AP1334" s="135"/>
      <c r="AQ1334" s="135"/>
      <c r="AR1334" s="135"/>
      <c r="AS1334" s="135"/>
      <c r="AT1334" s="135"/>
      <c r="AU1334" s="135"/>
    </row>
    <row r="1335" spans="1:47" x14ac:dyDescent="0.2">
      <c r="A1335" s="174"/>
      <c r="B1335" s="175"/>
      <c r="C1335" s="176"/>
      <c r="D1335" s="177"/>
      <c r="E1335" s="178"/>
      <c r="F1335" s="178"/>
      <c r="G1335" s="177"/>
      <c r="H1335" s="177"/>
      <c r="I1335" s="186" t="s">
        <v>1692</v>
      </c>
      <c r="J1335" s="348" t="s">
        <v>1258</v>
      </c>
      <c r="K1335" s="213">
        <f>8000*50%</f>
        <v>4000</v>
      </c>
      <c r="L1335" s="183"/>
      <c r="M1335" s="183"/>
      <c r="N1335" s="135"/>
      <c r="O1335" s="135"/>
      <c r="P1335" s="135"/>
      <c r="Q1335" s="135"/>
      <c r="R1335" s="135"/>
      <c r="S1335" s="135"/>
      <c r="T1335" s="135"/>
      <c r="U1335" s="135"/>
      <c r="V1335" s="135"/>
      <c r="W1335" s="135"/>
      <c r="X1335" s="135"/>
      <c r="Y1335" s="135"/>
      <c r="Z1335" s="135"/>
      <c r="AA1335" s="135"/>
      <c r="AB1335" s="135"/>
      <c r="AC1335" s="135"/>
      <c r="AD1335" s="135"/>
      <c r="AE1335" s="135"/>
      <c r="AF1335" s="135"/>
      <c r="AG1335" s="135"/>
      <c r="AH1335" s="135"/>
      <c r="AI1335" s="135"/>
      <c r="AJ1335" s="135"/>
      <c r="AK1335" s="135"/>
      <c r="AL1335" s="135"/>
      <c r="AM1335" s="135"/>
      <c r="AN1335" s="135"/>
      <c r="AO1335" s="135"/>
      <c r="AP1335" s="135"/>
      <c r="AQ1335" s="135"/>
      <c r="AR1335" s="135"/>
      <c r="AS1335" s="135"/>
      <c r="AT1335" s="135"/>
      <c r="AU1335" s="135"/>
    </row>
    <row r="1336" spans="1:47" x14ac:dyDescent="0.2">
      <c r="A1336" s="174"/>
      <c r="B1336" s="175"/>
      <c r="C1336" s="176"/>
      <c r="D1336" s="190"/>
      <c r="E1336" s="191"/>
      <c r="F1336" s="178"/>
      <c r="G1336" s="177"/>
      <c r="H1336" s="190"/>
      <c r="I1336" s="168"/>
      <c r="J1336" s="372"/>
      <c r="K1336" s="334">
        <f>SUM(K1334:K1335)</f>
        <v>8000</v>
      </c>
      <c r="L1336" s="196"/>
      <c r="M1336" s="183"/>
      <c r="N1336" s="135"/>
      <c r="O1336" s="135"/>
      <c r="P1336" s="135"/>
      <c r="Q1336" s="135"/>
      <c r="R1336" s="135"/>
      <c r="S1336" s="135"/>
      <c r="T1336" s="135"/>
      <c r="U1336" s="135"/>
      <c r="V1336" s="135"/>
      <c r="W1336" s="135"/>
      <c r="X1336" s="135"/>
      <c r="Y1336" s="135"/>
      <c r="Z1336" s="135"/>
      <c r="AA1336" s="135"/>
      <c r="AB1336" s="135"/>
      <c r="AC1336" s="135"/>
      <c r="AD1336" s="135"/>
      <c r="AE1336" s="135"/>
      <c r="AF1336" s="135"/>
      <c r="AG1336" s="135"/>
      <c r="AH1336" s="135"/>
      <c r="AI1336" s="135"/>
      <c r="AJ1336" s="135"/>
      <c r="AK1336" s="135"/>
      <c r="AL1336" s="135"/>
      <c r="AM1336" s="135"/>
      <c r="AN1336" s="135"/>
      <c r="AO1336" s="135"/>
      <c r="AP1336" s="135"/>
      <c r="AQ1336" s="135"/>
      <c r="AR1336" s="135"/>
      <c r="AS1336" s="135"/>
      <c r="AT1336" s="135"/>
      <c r="AU1336" s="135"/>
    </row>
    <row r="1337" spans="1:47" s="134" customFormat="1" x14ac:dyDescent="0.2"/>
    <row r="1338" spans="1:47" s="134" customFormat="1" x14ac:dyDescent="0.2"/>
    <row r="1339" spans="1:47" s="134" customFormat="1" x14ac:dyDescent="0.2"/>
    <row r="1340" spans="1:47" s="134" customFormat="1" x14ac:dyDescent="0.2"/>
    <row r="1341" spans="1:47" s="134" customFormat="1" x14ac:dyDescent="0.2"/>
    <row r="1342" spans="1:47" s="134" customFormat="1" x14ac:dyDescent="0.2"/>
    <row r="1343" spans="1:47" s="134" customFormat="1" x14ac:dyDescent="0.2"/>
    <row r="1344" spans="1:47" s="134" customFormat="1" x14ac:dyDescent="0.2"/>
    <row r="1345" s="134" customFormat="1" x14ac:dyDescent="0.2"/>
    <row r="1346" s="134" customFormat="1" x14ac:dyDescent="0.2"/>
    <row r="1347" s="134" customFormat="1" x14ac:dyDescent="0.2"/>
    <row r="1348" s="134" customFormat="1" x14ac:dyDescent="0.2"/>
    <row r="1349" s="134" customFormat="1" x14ac:dyDescent="0.2"/>
    <row r="1350" s="134" customFormat="1" x14ac:dyDescent="0.2"/>
    <row r="1351" s="134" customFormat="1" x14ac:dyDescent="0.2"/>
    <row r="1352" s="134" customFormat="1" x14ac:dyDescent="0.2"/>
    <row r="1353" s="134" customFormat="1" x14ac:dyDescent="0.2"/>
    <row r="1354" s="134" customFormat="1" x14ac:dyDescent="0.2"/>
    <row r="1355" s="134" customFormat="1" x14ac:dyDescent="0.2"/>
    <row r="1356" s="134" customFormat="1" x14ac:dyDescent="0.2"/>
    <row r="1357" s="134" customFormat="1" x14ac:dyDescent="0.2"/>
    <row r="1358" s="134" customFormat="1" x14ac:dyDescent="0.2"/>
    <row r="1359" s="134" customFormat="1" x14ac:dyDescent="0.2"/>
    <row r="1360" s="134" customFormat="1" x14ac:dyDescent="0.2"/>
    <row r="1361" s="134" customFormat="1" x14ac:dyDescent="0.2"/>
    <row r="1362" s="134" customFormat="1" x14ac:dyDescent="0.2"/>
    <row r="1363" s="134" customFormat="1" x14ac:dyDescent="0.2"/>
    <row r="1364" s="134" customFormat="1" x14ac:dyDescent="0.2"/>
    <row r="1365" s="134" customFormat="1" x14ac:dyDescent="0.2"/>
    <row r="1366" s="134" customFormat="1" x14ac:dyDescent="0.2"/>
    <row r="1367" s="134" customFormat="1" x14ac:dyDescent="0.2"/>
    <row r="1368" s="134" customFormat="1" x14ac:dyDescent="0.2"/>
    <row r="1369" s="134" customFormat="1" x14ac:dyDescent="0.2"/>
    <row r="1370" s="134" customFormat="1" x14ac:dyDescent="0.2"/>
    <row r="1371" s="134" customFormat="1" x14ac:dyDescent="0.2"/>
    <row r="1372" s="134" customFormat="1" x14ac:dyDescent="0.2"/>
    <row r="1373" s="134" customFormat="1" x14ac:dyDescent="0.2"/>
    <row r="1374" s="134" customFormat="1" x14ac:dyDescent="0.2"/>
    <row r="1375" s="134" customFormat="1" x14ac:dyDescent="0.2"/>
    <row r="1376" s="134" customFormat="1" x14ac:dyDescent="0.2"/>
    <row r="1377" s="134" customFormat="1" x14ac:dyDescent="0.2"/>
    <row r="1378" s="134" customFormat="1" x14ac:dyDescent="0.2"/>
    <row r="1379" s="134" customFormat="1" x14ac:dyDescent="0.2"/>
    <row r="1380" s="134" customFormat="1" x14ac:dyDescent="0.2"/>
    <row r="1381" s="134" customFormat="1" x14ac:dyDescent="0.2"/>
    <row r="1382" s="134" customFormat="1" x14ac:dyDescent="0.2"/>
    <row r="1383" s="134" customFormat="1" x14ac:dyDescent="0.2"/>
    <row r="1384" s="134" customFormat="1" x14ac:dyDescent="0.2"/>
    <row r="1385" s="134" customFormat="1" x14ac:dyDescent="0.2"/>
    <row r="1386" s="134" customFormat="1" x14ac:dyDescent="0.2"/>
    <row r="1387" s="134" customFormat="1" x14ac:dyDescent="0.2"/>
    <row r="1388" s="134" customFormat="1" x14ac:dyDescent="0.2"/>
    <row r="1389" s="134" customFormat="1" x14ac:dyDescent="0.2"/>
    <row r="1390" s="134" customFormat="1" x14ac:dyDescent="0.2"/>
    <row r="1391" s="134" customFormat="1" x14ac:dyDescent="0.2"/>
    <row r="1392" s="134" customFormat="1" x14ac:dyDescent="0.2"/>
    <row r="1393" s="134" customFormat="1" x14ac:dyDescent="0.2"/>
    <row r="1394" s="134" customFormat="1" x14ac:dyDescent="0.2"/>
    <row r="1395" s="134" customFormat="1" x14ac:dyDescent="0.2"/>
    <row r="1396" s="134" customFormat="1" x14ac:dyDescent="0.2"/>
    <row r="1397" s="134" customFormat="1" x14ac:dyDescent="0.2"/>
    <row r="1398" s="134" customFormat="1" x14ac:dyDescent="0.2"/>
  </sheetData>
  <mergeCells count="2218">
    <mergeCell ref="M1334:M1336"/>
    <mergeCell ref="L1331:L1333"/>
    <mergeCell ref="M1331:M1333"/>
    <mergeCell ref="A1334:A1336"/>
    <mergeCell ref="B1334:C1336"/>
    <mergeCell ref="D1334:D1336"/>
    <mergeCell ref="E1334:E1336"/>
    <mergeCell ref="F1334:F1336"/>
    <mergeCell ref="G1334:G1336"/>
    <mergeCell ref="H1334:H1336"/>
    <mergeCell ref="L1334:L1336"/>
    <mergeCell ref="H1328:H1330"/>
    <mergeCell ref="L1328:L1330"/>
    <mergeCell ref="M1328:M1330"/>
    <mergeCell ref="A1331:A1333"/>
    <mergeCell ref="B1331:C1333"/>
    <mergeCell ref="D1331:D1333"/>
    <mergeCell ref="E1331:E1333"/>
    <mergeCell ref="F1331:F1333"/>
    <mergeCell ref="G1331:G1333"/>
    <mergeCell ref="H1331:H1333"/>
    <mergeCell ref="A1328:A1330"/>
    <mergeCell ref="B1328:C1330"/>
    <mergeCell ref="D1328:D1330"/>
    <mergeCell ref="E1328:E1330"/>
    <mergeCell ref="F1328:F1330"/>
    <mergeCell ref="G1328:G1330"/>
    <mergeCell ref="M1317:M1322"/>
    <mergeCell ref="A1323:A1327"/>
    <mergeCell ref="B1323:C1327"/>
    <mergeCell ref="D1323:D1327"/>
    <mergeCell ref="E1323:E1327"/>
    <mergeCell ref="F1323:F1327"/>
    <mergeCell ref="G1323:G1327"/>
    <mergeCell ref="H1323:H1327"/>
    <mergeCell ref="L1323:L1327"/>
    <mergeCell ref="M1323:M1327"/>
    <mergeCell ref="L1313:L1316"/>
    <mergeCell ref="M1313:M1316"/>
    <mergeCell ref="A1317:A1322"/>
    <mergeCell ref="B1317:C1322"/>
    <mergeCell ref="D1317:D1322"/>
    <mergeCell ref="E1317:E1322"/>
    <mergeCell ref="F1317:F1322"/>
    <mergeCell ref="G1317:G1322"/>
    <mergeCell ref="H1317:H1322"/>
    <mergeCell ref="L1317:L1322"/>
    <mergeCell ref="H1307:H1312"/>
    <mergeCell ref="L1307:L1312"/>
    <mergeCell ref="M1307:M1312"/>
    <mergeCell ref="A1313:A1316"/>
    <mergeCell ref="B1313:C1316"/>
    <mergeCell ref="D1313:D1316"/>
    <mergeCell ref="E1313:E1316"/>
    <mergeCell ref="F1313:F1316"/>
    <mergeCell ref="G1313:G1316"/>
    <mergeCell ref="H1313:H1316"/>
    <mergeCell ref="A1307:A1312"/>
    <mergeCell ref="B1307:C1312"/>
    <mergeCell ref="D1307:D1312"/>
    <mergeCell ref="E1307:E1312"/>
    <mergeCell ref="F1307:F1312"/>
    <mergeCell ref="G1307:G1312"/>
    <mergeCell ref="M1295:M1300"/>
    <mergeCell ref="A1301:A1306"/>
    <mergeCell ref="B1301:C1306"/>
    <mergeCell ref="D1301:D1306"/>
    <mergeCell ref="E1301:E1306"/>
    <mergeCell ref="F1301:F1306"/>
    <mergeCell ref="G1301:G1306"/>
    <mergeCell ref="H1301:H1306"/>
    <mergeCell ref="L1301:L1306"/>
    <mergeCell ref="M1301:M1306"/>
    <mergeCell ref="L1290:L1294"/>
    <mergeCell ref="M1290:M1294"/>
    <mergeCell ref="A1295:A1300"/>
    <mergeCell ref="B1295:C1300"/>
    <mergeCell ref="D1295:D1300"/>
    <mergeCell ref="E1295:E1300"/>
    <mergeCell ref="F1295:F1300"/>
    <mergeCell ref="G1295:G1300"/>
    <mergeCell ref="H1295:H1300"/>
    <mergeCell ref="L1295:L1300"/>
    <mergeCell ref="H1286:H1289"/>
    <mergeCell ref="L1286:L1289"/>
    <mergeCell ref="M1286:M1289"/>
    <mergeCell ref="A1290:A1294"/>
    <mergeCell ref="B1290:C1294"/>
    <mergeCell ref="D1290:D1294"/>
    <mergeCell ref="E1290:E1294"/>
    <mergeCell ref="F1290:F1294"/>
    <mergeCell ref="G1290:G1294"/>
    <mergeCell ref="H1290:H1294"/>
    <mergeCell ref="A1286:A1289"/>
    <mergeCell ref="B1286:C1289"/>
    <mergeCell ref="D1286:D1289"/>
    <mergeCell ref="E1286:E1289"/>
    <mergeCell ref="F1286:F1289"/>
    <mergeCell ref="G1286:G1289"/>
    <mergeCell ref="M1275:M1280"/>
    <mergeCell ref="A1281:A1285"/>
    <mergeCell ref="B1281:C1285"/>
    <mergeCell ref="D1281:D1285"/>
    <mergeCell ref="E1281:E1285"/>
    <mergeCell ref="F1281:F1285"/>
    <mergeCell ref="G1281:G1285"/>
    <mergeCell ref="H1281:H1285"/>
    <mergeCell ref="L1281:L1285"/>
    <mergeCell ref="M1281:M1285"/>
    <mergeCell ref="L1267:L1274"/>
    <mergeCell ref="M1267:M1274"/>
    <mergeCell ref="A1275:A1280"/>
    <mergeCell ref="B1275:C1280"/>
    <mergeCell ref="D1275:D1280"/>
    <mergeCell ref="E1275:E1280"/>
    <mergeCell ref="F1275:F1280"/>
    <mergeCell ref="G1275:G1280"/>
    <mergeCell ref="H1275:H1280"/>
    <mergeCell ref="L1275:L1280"/>
    <mergeCell ref="H1258:H1266"/>
    <mergeCell ref="L1258:L1266"/>
    <mergeCell ref="M1258:M1266"/>
    <mergeCell ref="A1267:A1274"/>
    <mergeCell ref="B1267:C1274"/>
    <mergeCell ref="D1267:D1274"/>
    <mergeCell ref="E1267:E1274"/>
    <mergeCell ref="F1267:F1274"/>
    <mergeCell ref="G1267:G1274"/>
    <mergeCell ref="H1267:H1274"/>
    <mergeCell ref="A1258:A1266"/>
    <mergeCell ref="B1258:C1266"/>
    <mergeCell ref="D1258:D1266"/>
    <mergeCell ref="E1258:E1266"/>
    <mergeCell ref="F1258:F1266"/>
    <mergeCell ref="G1258:G1266"/>
    <mergeCell ref="M1252:M1254"/>
    <mergeCell ref="A1255:A1257"/>
    <mergeCell ref="B1255:C1257"/>
    <mergeCell ref="D1255:D1257"/>
    <mergeCell ref="E1255:E1257"/>
    <mergeCell ref="F1255:F1257"/>
    <mergeCell ref="G1255:G1257"/>
    <mergeCell ref="H1255:H1257"/>
    <mergeCell ref="L1255:L1257"/>
    <mergeCell ref="M1255:M1257"/>
    <mergeCell ref="L1248:L1251"/>
    <mergeCell ref="M1248:M1251"/>
    <mergeCell ref="A1252:A1254"/>
    <mergeCell ref="B1252:C1254"/>
    <mergeCell ref="D1252:D1254"/>
    <mergeCell ref="E1252:E1254"/>
    <mergeCell ref="F1252:F1254"/>
    <mergeCell ref="G1252:G1254"/>
    <mergeCell ref="H1252:H1254"/>
    <mergeCell ref="L1252:L1254"/>
    <mergeCell ref="H1244:H1247"/>
    <mergeCell ref="L1244:L1247"/>
    <mergeCell ref="M1244:M1247"/>
    <mergeCell ref="A1248:A1251"/>
    <mergeCell ref="B1248:C1251"/>
    <mergeCell ref="D1248:D1251"/>
    <mergeCell ref="E1248:E1251"/>
    <mergeCell ref="F1248:F1251"/>
    <mergeCell ref="G1248:G1251"/>
    <mergeCell ref="H1248:H1251"/>
    <mergeCell ref="A1244:A1247"/>
    <mergeCell ref="B1244:C1247"/>
    <mergeCell ref="D1244:D1247"/>
    <mergeCell ref="E1244:E1247"/>
    <mergeCell ref="F1244:F1247"/>
    <mergeCell ref="G1244:G1247"/>
    <mergeCell ref="M1236:M1239"/>
    <mergeCell ref="A1240:A1243"/>
    <mergeCell ref="B1240:C1243"/>
    <mergeCell ref="D1240:D1243"/>
    <mergeCell ref="E1240:E1243"/>
    <mergeCell ref="F1240:F1243"/>
    <mergeCell ref="G1240:G1243"/>
    <mergeCell ref="H1240:H1243"/>
    <mergeCell ref="L1240:L1243"/>
    <mergeCell ref="M1240:M1243"/>
    <mergeCell ref="L1232:L1235"/>
    <mergeCell ref="M1232:M1235"/>
    <mergeCell ref="A1236:A1239"/>
    <mergeCell ref="B1236:C1239"/>
    <mergeCell ref="D1236:D1239"/>
    <mergeCell ref="E1236:E1239"/>
    <mergeCell ref="F1236:F1239"/>
    <mergeCell ref="G1236:G1239"/>
    <mergeCell ref="H1236:H1239"/>
    <mergeCell ref="L1236:L1239"/>
    <mergeCell ref="H1228:H1231"/>
    <mergeCell ref="L1228:L1231"/>
    <mergeCell ref="M1228:M1231"/>
    <mergeCell ref="A1232:A1235"/>
    <mergeCell ref="B1232:C1235"/>
    <mergeCell ref="D1232:D1235"/>
    <mergeCell ref="E1232:E1235"/>
    <mergeCell ref="F1232:F1235"/>
    <mergeCell ref="G1232:G1235"/>
    <mergeCell ref="H1232:H1235"/>
    <mergeCell ref="A1228:A1231"/>
    <mergeCell ref="B1228:C1231"/>
    <mergeCell ref="D1228:D1231"/>
    <mergeCell ref="E1228:E1231"/>
    <mergeCell ref="F1228:F1231"/>
    <mergeCell ref="G1228:G1231"/>
    <mergeCell ref="M1220:M1223"/>
    <mergeCell ref="A1224:A1227"/>
    <mergeCell ref="B1224:C1227"/>
    <mergeCell ref="D1224:D1227"/>
    <mergeCell ref="E1224:E1227"/>
    <mergeCell ref="F1224:F1227"/>
    <mergeCell ref="G1224:G1227"/>
    <mergeCell ref="H1224:H1227"/>
    <mergeCell ref="L1224:L1227"/>
    <mergeCell ref="M1224:M1227"/>
    <mergeCell ref="L1211:L1219"/>
    <mergeCell ref="A1220:A1223"/>
    <mergeCell ref="B1220:C1223"/>
    <mergeCell ref="D1220:D1223"/>
    <mergeCell ref="E1220:E1223"/>
    <mergeCell ref="F1220:F1223"/>
    <mergeCell ref="G1220:G1223"/>
    <mergeCell ref="H1220:H1223"/>
    <mergeCell ref="L1220:L1223"/>
    <mergeCell ref="H1204:H1210"/>
    <mergeCell ref="L1204:L1210"/>
    <mergeCell ref="M1204:M1210"/>
    <mergeCell ref="A1211:A1219"/>
    <mergeCell ref="B1211:C1219"/>
    <mergeCell ref="D1211:D1219"/>
    <mergeCell ref="E1211:E1219"/>
    <mergeCell ref="F1211:F1219"/>
    <mergeCell ref="G1211:G1219"/>
    <mergeCell ref="H1211:H1219"/>
    <mergeCell ref="A1204:A1210"/>
    <mergeCell ref="B1204:C1210"/>
    <mergeCell ref="D1204:D1210"/>
    <mergeCell ref="E1204:E1210"/>
    <mergeCell ref="F1204:F1210"/>
    <mergeCell ref="G1204:G1210"/>
    <mergeCell ref="M1193:M1197"/>
    <mergeCell ref="A1198:A1203"/>
    <mergeCell ref="B1198:C1203"/>
    <mergeCell ref="D1198:D1203"/>
    <mergeCell ref="E1198:E1203"/>
    <mergeCell ref="F1198:F1203"/>
    <mergeCell ref="G1198:G1203"/>
    <mergeCell ref="H1198:H1203"/>
    <mergeCell ref="L1198:L1203"/>
    <mergeCell ref="M1198:M1203"/>
    <mergeCell ref="L1189:L1192"/>
    <mergeCell ref="M1189:M1192"/>
    <mergeCell ref="A1193:A1197"/>
    <mergeCell ref="B1193:C1197"/>
    <mergeCell ref="D1193:D1197"/>
    <mergeCell ref="E1193:E1197"/>
    <mergeCell ref="F1193:F1197"/>
    <mergeCell ref="G1193:G1197"/>
    <mergeCell ref="H1193:H1197"/>
    <mergeCell ref="L1193:L1197"/>
    <mergeCell ref="H1186:H1188"/>
    <mergeCell ref="L1186:L1188"/>
    <mergeCell ref="M1186:M1188"/>
    <mergeCell ref="A1189:A1192"/>
    <mergeCell ref="B1189:C1192"/>
    <mergeCell ref="D1189:D1192"/>
    <mergeCell ref="E1189:E1192"/>
    <mergeCell ref="F1189:F1192"/>
    <mergeCell ref="G1189:G1192"/>
    <mergeCell ref="H1189:H1192"/>
    <mergeCell ref="A1186:A1188"/>
    <mergeCell ref="B1186:C1188"/>
    <mergeCell ref="D1186:D1188"/>
    <mergeCell ref="E1186:E1188"/>
    <mergeCell ref="F1186:F1188"/>
    <mergeCell ref="G1186:G1188"/>
    <mergeCell ref="M1172:M1178"/>
    <mergeCell ref="A1179:A1185"/>
    <mergeCell ref="B1179:C1185"/>
    <mergeCell ref="D1179:D1185"/>
    <mergeCell ref="E1179:E1185"/>
    <mergeCell ref="F1179:F1185"/>
    <mergeCell ref="G1179:G1185"/>
    <mergeCell ref="H1179:H1185"/>
    <mergeCell ref="L1179:L1185"/>
    <mergeCell ref="M1179:M1185"/>
    <mergeCell ref="L1167:L1171"/>
    <mergeCell ref="M1167:M1171"/>
    <mergeCell ref="A1172:A1178"/>
    <mergeCell ref="B1172:C1178"/>
    <mergeCell ref="D1172:D1178"/>
    <mergeCell ref="E1172:E1178"/>
    <mergeCell ref="F1172:F1178"/>
    <mergeCell ref="G1172:G1178"/>
    <mergeCell ref="H1172:H1178"/>
    <mergeCell ref="L1172:L1178"/>
    <mergeCell ref="H1162:H1166"/>
    <mergeCell ref="L1162:L1166"/>
    <mergeCell ref="M1162:M1166"/>
    <mergeCell ref="A1167:A1171"/>
    <mergeCell ref="B1167:C1171"/>
    <mergeCell ref="D1167:D1171"/>
    <mergeCell ref="E1167:E1171"/>
    <mergeCell ref="F1167:F1171"/>
    <mergeCell ref="G1167:G1171"/>
    <mergeCell ref="H1167:H1171"/>
    <mergeCell ref="A1162:A1166"/>
    <mergeCell ref="B1162:C1166"/>
    <mergeCell ref="D1162:D1166"/>
    <mergeCell ref="E1162:E1166"/>
    <mergeCell ref="F1162:F1166"/>
    <mergeCell ref="G1162:G1166"/>
    <mergeCell ref="M1152:M1154"/>
    <mergeCell ref="A1155:A1161"/>
    <mergeCell ref="B1155:C1161"/>
    <mergeCell ref="D1155:D1161"/>
    <mergeCell ref="E1155:E1161"/>
    <mergeCell ref="F1155:F1161"/>
    <mergeCell ref="G1155:G1161"/>
    <mergeCell ref="H1155:H1161"/>
    <mergeCell ref="L1155:L1161"/>
    <mergeCell ref="M1155:M1161"/>
    <mergeCell ref="L1145:L1151"/>
    <mergeCell ref="M1145:M1151"/>
    <mergeCell ref="A1152:A1154"/>
    <mergeCell ref="B1152:C1154"/>
    <mergeCell ref="D1152:D1154"/>
    <mergeCell ref="E1152:E1154"/>
    <mergeCell ref="F1152:F1154"/>
    <mergeCell ref="G1152:G1154"/>
    <mergeCell ref="H1152:H1154"/>
    <mergeCell ref="L1152:L1154"/>
    <mergeCell ref="H1137:H1144"/>
    <mergeCell ref="L1137:L1144"/>
    <mergeCell ref="M1137:M1144"/>
    <mergeCell ref="A1145:A1151"/>
    <mergeCell ref="B1145:C1151"/>
    <mergeCell ref="D1145:D1151"/>
    <mergeCell ref="E1145:E1151"/>
    <mergeCell ref="F1145:F1151"/>
    <mergeCell ref="G1145:G1151"/>
    <mergeCell ref="H1145:H1151"/>
    <mergeCell ref="A1137:A1144"/>
    <mergeCell ref="B1137:C1144"/>
    <mergeCell ref="D1137:D1144"/>
    <mergeCell ref="E1137:E1144"/>
    <mergeCell ref="F1137:F1144"/>
    <mergeCell ref="G1137:G1144"/>
    <mergeCell ref="M1129:M1131"/>
    <mergeCell ref="A1132:A1136"/>
    <mergeCell ref="B1132:C1136"/>
    <mergeCell ref="D1132:D1136"/>
    <mergeCell ref="E1132:E1136"/>
    <mergeCell ref="F1132:F1136"/>
    <mergeCell ref="G1132:G1136"/>
    <mergeCell ref="H1132:H1136"/>
    <mergeCell ref="L1132:L1136"/>
    <mergeCell ref="M1132:M1136"/>
    <mergeCell ref="L1126:L1128"/>
    <mergeCell ref="M1126:M1128"/>
    <mergeCell ref="A1129:A1131"/>
    <mergeCell ref="B1129:C1131"/>
    <mergeCell ref="D1129:D1131"/>
    <mergeCell ref="E1129:E1131"/>
    <mergeCell ref="F1129:F1131"/>
    <mergeCell ref="G1129:G1131"/>
    <mergeCell ref="H1129:H1131"/>
    <mergeCell ref="L1129:L1131"/>
    <mergeCell ref="H1119:H1125"/>
    <mergeCell ref="L1119:L1125"/>
    <mergeCell ref="M1119:M1125"/>
    <mergeCell ref="A1126:A1128"/>
    <mergeCell ref="B1126:C1128"/>
    <mergeCell ref="D1126:D1128"/>
    <mergeCell ref="E1126:E1128"/>
    <mergeCell ref="F1126:F1128"/>
    <mergeCell ref="G1126:G1128"/>
    <mergeCell ref="H1126:H1128"/>
    <mergeCell ref="A1119:A1125"/>
    <mergeCell ref="B1119:C1125"/>
    <mergeCell ref="D1119:D1125"/>
    <mergeCell ref="E1119:E1125"/>
    <mergeCell ref="F1119:F1125"/>
    <mergeCell ref="G1119:G1125"/>
    <mergeCell ref="M1105:M1110"/>
    <mergeCell ref="A1111:A1118"/>
    <mergeCell ref="B1111:C1118"/>
    <mergeCell ref="D1111:D1118"/>
    <mergeCell ref="E1111:E1118"/>
    <mergeCell ref="F1111:F1118"/>
    <mergeCell ref="G1111:G1118"/>
    <mergeCell ref="H1111:H1118"/>
    <mergeCell ref="L1111:L1118"/>
    <mergeCell ref="M1111:M1118"/>
    <mergeCell ref="L1097:L1104"/>
    <mergeCell ref="M1097:M1104"/>
    <mergeCell ref="A1105:A1110"/>
    <mergeCell ref="B1105:C1110"/>
    <mergeCell ref="D1105:D1110"/>
    <mergeCell ref="E1105:E1110"/>
    <mergeCell ref="F1105:F1110"/>
    <mergeCell ref="G1105:G1110"/>
    <mergeCell ref="H1105:H1110"/>
    <mergeCell ref="L1105:L1110"/>
    <mergeCell ref="H1093:H1096"/>
    <mergeCell ref="L1093:L1096"/>
    <mergeCell ref="M1093:M1096"/>
    <mergeCell ref="A1097:A1104"/>
    <mergeCell ref="B1097:C1104"/>
    <mergeCell ref="D1097:D1104"/>
    <mergeCell ref="E1097:E1104"/>
    <mergeCell ref="F1097:F1104"/>
    <mergeCell ref="G1097:G1104"/>
    <mergeCell ref="H1097:H1104"/>
    <mergeCell ref="A1093:A1096"/>
    <mergeCell ref="B1093:C1096"/>
    <mergeCell ref="D1093:D1096"/>
    <mergeCell ref="E1093:E1096"/>
    <mergeCell ref="F1093:F1096"/>
    <mergeCell ref="G1093:G1096"/>
    <mergeCell ref="M1081:M1084"/>
    <mergeCell ref="A1085:A1092"/>
    <mergeCell ref="B1085:C1092"/>
    <mergeCell ref="D1085:D1092"/>
    <mergeCell ref="E1085:E1092"/>
    <mergeCell ref="F1085:F1092"/>
    <mergeCell ref="G1085:G1092"/>
    <mergeCell ref="H1085:H1092"/>
    <mergeCell ref="L1085:L1092"/>
    <mergeCell ref="M1085:M1092"/>
    <mergeCell ref="L1076:L1080"/>
    <mergeCell ref="M1076:M1080"/>
    <mergeCell ref="A1081:A1084"/>
    <mergeCell ref="B1081:C1084"/>
    <mergeCell ref="D1081:D1084"/>
    <mergeCell ref="E1081:E1084"/>
    <mergeCell ref="F1081:F1084"/>
    <mergeCell ref="G1081:G1084"/>
    <mergeCell ref="H1081:H1084"/>
    <mergeCell ref="L1081:L1084"/>
    <mergeCell ref="M1069:M1073"/>
    <mergeCell ref="B1074:C1074"/>
    <mergeCell ref="B1075:C1075"/>
    <mergeCell ref="A1076:A1080"/>
    <mergeCell ref="B1076:C1080"/>
    <mergeCell ref="D1076:D1080"/>
    <mergeCell ref="E1076:E1080"/>
    <mergeCell ref="F1076:F1080"/>
    <mergeCell ref="G1076:G1080"/>
    <mergeCell ref="H1076:H1080"/>
    <mergeCell ref="L1064:L1068"/>
    <mergeCell ref="M1064:M1068"/>
    <mergeCell ref="A1069:A1073"/>
    <mergeCell ref="B1069:C1073"/>
    <mergeCell ref="D1069:D1073"/>
    <mergeCell ref="E1069:E1073"/>
    <mergeCell ref="F1069:F1073"/>
    <mergeCell ref="G1069:G1073"/>
    <mergeCell ref="H1069:H1073"/>
    <mergeCell ref="L1069:L1073"/>
    <mergeCell ref="H1060:H1063"/>
    <mergeCell ref="L1060:L1063"/>
    <mergeCell ref="M1060:M1063"/>
    <mergeCell ref="A1064:A1068"/>
    <mergeCell ref="B1064:C1068"/>
    <mergeCell ref="D1064:D1068"/>
    <mergeCell ref="E1064:E1068"/>
    <mergeCell ref="F1064:F1068"/>
    <mergeCell ref="G1064:G1068"/>
    <mergeCell ref="H1064:H1068"/>
    <mergeCell ref="A1060:A1063"/>
    <mergeCell ref="B1060:C1063"/>
    <mergeCell ref="D1060:D1063"/>
    <mergeCell ref="E1060:E1063"/>
    <mergeCell ref="F1060:F1063"/>
    <mergeCell ref="G1060:G1063"/>
    <mergeCell ref="M1051:M1054"/>
    <mergeCell ref="A1055:A1059"/>
    <mergeCell ref="B1055:C1059"/>
    <mergeCell ref="D1055:D1059"/>
    <mergeCell ref="E1055:E1059"/>
    <mergeCell ref="F1055:F1059"/>
    <mergeCell ref="G1055:G1059"/>
    <mergeCell ref="H1055:H1059"/>
    <mergeCell ref="L1055:L1059"/>
    <mergeCell ref="M1055:M1059"/>
    <mergeCell ref="L1046:L1050"/>
    <mergeCell ref="M1046:M1050"/>
    <mergeCell ref="A1051:A1054"/>
    <mergeCell ref="B1051:C1054"/>
    <mergeCell ref="D1051:D1054"/>
    <mergeCell ref="E1051:E1054"/>
    <mergeCell ref="F1051:F1054"/>
    <mergeCell ref="G1051:G1054"/>
    <mergeCell ref="H1051:H1054"/>
    <mergeCell ref="L1051:L1054"/>
    <mergeCell ref="H1043:H1045"/>
    <mergeCell ref="L1043:L1045"/>
    <mergeCell ref="M1043:M1045"/>
    <mergeCell ref="A1046:A1050"/>
    <mergeCell ref="B1046:C1050"/>
    <mergeCell ref="D1046:D1050"/>
    <mergeCell ref="E1046:E1050"/>
    <mergeCell ref="F1046:F1050"/>
    <mergeCell ref="G1046:G1050"/>
    <mergeCell ref="H1046:H1050"/>
    <mergeCell ref="A1043:A1045"/>
    <mergeCell ref="B1043:C1045"/>
    <mergeCell ref="D1043:D1045"/>
    <mergeCell ref="E1043:E1045"/>
    <mergeCell ref="F1043:F1045"/>
    <mergeCell ref="G1043:G1045"/>
    <mergeCell ref="M1033:M1037"/>
    <mergeCell ref="A1038:A1042"/>
    <mergeCell ref="B1038:C1042"/>
    <mergeCell ref="D1038:D1042"/>
    <mergeCell ref="E1038:E1042"/>
    <mergeCell ref="F1038:F1042"/>
    <mergeCell ref="G1038:G1042"/>
    <mergeCell ref="H1038:H1042"/>
    <mergeCell ref="L1038:L1042"/>
    <mergeCell ref="M1038:M1042"/>
    <mergeCell ref="L1029:L1032"/>
    <mergeCell ref="M1029:M1032"/>
    <mergeCell ref="A1033:A1037"/>
    <mergeCell ref="B1033:C1037"/>
    <mergeCell ref="D1033:D1037"/>
    <mergeCell ref="E1033:E1037"/>
    <mergeCell ref="F1033:F1037"/>
    <mergeCell ref="G1033:G1037"/>
    <mergeCell ref="H1033:H1037"/>
    <mergeCell ref="L1033:L1037"/>
    <mergeCell ref="H1015:H1028"/>
    <mergeCell ref="L1015:L1028"/>
    <mergeCell ref="M1015:M1028"/>
    <mergeCell ref="A1029:A1032"/>
    <mergeCell ref="B1029:C1032"/>
    <mergeCell ref="D1029:D1032"/>
    <mergeCell ref="E1029:E1032"/>
    <mergeCell ref="F1029:F1032"/>
    <mergeCell ref="G1029:G1032"/>
    <mergeCell ref="H1029:H1032"/>
    <mergeCell ref="A1015:A1028"/>
    <mergeCell ref="B1015:C1028"/>
    <mergeCell ref="D1015:D1028"/>
    <mergeCell ref="E1015:E1028"/>
    <mergeCell ref="F1015:F1028"/>
    <mergeCell ref="G1015:G1028"/>
    <mergeCell ref="M996:M1003"/>
    <mergeCell ref="A1004:A1014"/>
    <mergeCell ref="B1004:C1014"/>
    <mergeCell ref="D1004:D1014"/>
    <mergeCell ref="E1004:E1014"/>
    <mergeCell ref="F1004:F1014"/>
    <mergeCell ref="G1004:G1014"/>
    <mergeCell ref="H1004:H1014"/>
    <mergeCell ref="L1004:L1014"/>
    <mergeCell ref="M1004:M1014"/>
    <mergeCell ref="L986:L995"/>
    <mergeCell ref="M986:M995"/>
    <mergeCell ref="A996:A1003"/>
    <mergeCell ref="B996:C1003"/>
    <mergeCell ref="D996:D1003"/>
    <mergeCell ref="E996:E1003"/>
    <mergeCell ref="F996:F1003"/>
    <mergeCell ref="G996:G1003"/>
    <mergeCell ref="H996:H1003"/>
    <mergeCell ref="L996:L1003"/>
    <mergeCell ref="H982:H985"/>
    <mergeCell ref="L982:L985"/>
    <mergeCell ref="M982:M985"/>
    <mergeCell ref="A986:A995"/>
    <mergeCell ref="B986:C995"/>
    <mergeCell ref="D986:D995"/>
    <mergeCell ref="E986:E995"/>
    <mergeCell ref="F986:F995"/>
    <mergeCell ref="G986:G995"/>
    <mergeCell ref="H986:H995"/>
    <mergeCell ref="A982:A985"/>
    <mergeCell ref="B982:C985"/>
    <mergeCell ref="D982:D985"/>
    <mergeCell ref="E982:E985"/>
    <mergeCell ref="F982:F985"/>
    <mergeCell ref="G982:G985"/>
    <mergeCell ref="M971:M973"/>
    <mergeCell ref="A974:A981"/>
    <mergeCell ref="B974:C981"/>
    <mergeCell ref="D974:D981"/>
    <mergeCell ref="E974:E981"/>
    <mergeCell ref="F974:F981"/>
    <mergeCell ref="G974:G981"/>
    <mergeCell ref="H974:H981"/>
    <mergeCell ref="L974:L981"/>
    <mergeCell ref="M974:M981"/>
    <mergeCell ref="L965:L970"/>
    <mergeCell ref="M965:M970"/>
    <mergeCell ref="A971:A973"/>
    <mergeCell ref="B971:C973"/>
    <mergeCell ref="D971:D973"/>
    <mergeCell ref="E971:E973"/>
    <mergeCell ref="F971:F973"/>
    <mergeCell ref="G971:G973"/>
    <mergeCell ref="H971:H973"/>
    <mergeCell ref="L971:L973"/>
    <mergeCell ref="H962:H964"/>
    <mergeCell ref="L962:L964"/>
    <mergeCell ref="M962:M964"/>
    <mergeCell ref="A965:A970"/>
    <mergeCell ref="B965:C970"/>
    <mergeCell ref="D965:D970"/>
    <mergeCell ref="E965:E970"/>
    <mergeCell ref="F965:F970"/>
    <mergeCell ref="G965:G970"/>
    <mergeCell ref="H965:H970"/>
    <mergeCell ref="A962:A964"/>
    <mergeCell ref="B962:C964"/>
    <mergeCell ref="D962:D964"/>
    <mergeCell ref="E962:E964"/>
    <mergeCell ref="F962:F964"/>
    <mergeCell ref="G962:G964"/>
    <mergeCell ref="M955:M958"/>
    <mergeCell ref="A959:A961"/>
    <mergeCell ref="B959:C961"/>
    <mergeCell ref="D959:D961"/>
    <mergeCell ref="E959:E961"/>
    <mergeCell ref="F959:F961"/>
    <mergeCell ref="G959:G961"/>
    <mergeCell ref="H959:H961"/>
    <mergeCell ref="L959:L961"/>
    <mergeCell ref="M959:M961"/>
    <mergeCell ref="L948:L954"/>
    <mergeCell ref="M948:M954"/>
    <mergeCell ref="A955:A958"/>
    <mergeCell ref="B955:C958"/>
    <mergeCell ref="D955:D958"/>
    <mergeCell ref="E955:E958"/>
    <mergeCell ref="F955:F958"/>
    <mergeCell ref="G955:G958"/>
    <mergeCell ref="H955:H958"/>
    <mergeCell ref="L955:L958"/>
    <mergeCell ref="H943:H947"/>
    <mergeCell ref="L943:L947"/>
    <mergeCell ref="M943:M947"/>
    <mergeCell ref="A948:A954"/>
    <mergeCell ref="B948:C954"/>
    <mergeCell ref="D948:D954"/>
    <mergeCell ref="E948:E954"/>
    <mergeCell ref="F948:F954"/>
    <mergeCell ref="G948:G954"/>
    <mergeCell ref="H948:H954"/>
    <mergeCell ref="A943:A947"/>
    <mergeCell ref="B943:C947"/>
    <mergeCell ref="D943:D947"/>
    <mergeCell ref="E943:E947"/>
    <mergeCell ref="F943:F947"/>
    <mergeCell ref="G943:G947"/>
    <mergeCell ref="M930:M935"/>
    <mergeCell ref="A936:A942"/>
    <mergeCell ref="B936:C942"/>
    <mergeCell ref="D936:D942"/>
    <mergeCell ref="E936:E942"/>
    <mergeCell ref="F936:F942"/>
    <mergeCell ref="G936:G942"/>
    <mergeCell ref="H936:H942"/>
    <mergeCell ref="L936:L942"/>
    <mergeCell ref="M936:M942"/>
    <mergeCell ref="L924:L929"/>
    <mergeCell ref="M924:M929"/>
    <mergeCell ref="A930:A935"/>
    <mergeCell ref="B930:C935"/>
    <mergeCell ref="D930:D935"/>
    <mergeCell ref="E930:E935"/>
    <mergeCell ref="F930:F935"/>
    <mergeCell ref="G930:G935"/>
    <mergeCell ref="H930:H935"/>
    <mergeCell ref="L930:L935"/>
    <mergeCell ref="H919:H923"/>
    <mergeCell ref="L919:L923"/>
    <mergeCell ref="M919:M923"/>
    <mergeCell ref="A924:A929"/>
    <mergeCell ref="B924:C929"/>
    <mergeCell ref="D924:D929"/>
    <mergeCell ref="E924:E929"/>
    <mergeCell ref="F924:F929"/>
    <mergeCell ref="G924:G929"/>
    <mergeCell ref="H924:H929"/>
    <mergeCell ref="A919:A923"/>
    <mergeCell ref="B919:C923"/>
    <mergeCell ref="D919:D923"/>
    <mergeCell ref="E919:E923"/>
    <mergeCell ref="F919:F923"/>
    <mergeCell ref="G919:G923"/>
    <mergeCell ref="M912:M915"/>
    <mergeCell ref="A916:A918"/>
    <mergeCell ref="B916:C918"/>
    <mergeCell ref="D916:D918"/>
    <mergeCell ref="E916:E918"/>
    <mergeCell ref="F916:F918"/>
    <mergeCell ref="G916:G918"/>
    <mergeCell ref="H916:H918"/>
    <mergeCell ref="L916:L918"/>
    <mergeCell ref="M916:M918"/>
    <mergeCell ref="L903:L911"/>
    <mergeCell ref="M903:M911"/>
    <mergeCell ref="A912:A915"/>
    <mergeCell ref="B912:C915"/>
    <mergeCell ref="D912:D915"/>
    <mergeCell ref="E912:E915"/>
    <mergeCell ref="F912:F915"/>
    <mergeCell ref="G912:G915"/>
    <mergeCell ref="H912:H915"/>
    <mergeCell ref="L912:L915"/>
    <mergeCell ref="H898:H902"/>
    <mergeCell ref="L898:L902"/>
    <mergeCell ref="M898:M902"/>
    <mergeCell ref="A903:A911"/>
    <mergeCell ref="B903:C911"/>
    <mergeCell ref="D903:D911"/>
    <mergeCell ref="E903:E911"/>
    <mergeCell ref="F903:F911"/>
    <mergeCell ref="G903:G911"/>
    <mergeCell ref="H903:H911"/>
    <mergeCell ref="A898:A902"/>
    <mergeCell ref="B898:C902"/>
    <mergeCell ref="D898:D902"/>
    <mergeCell ref="E898:E902"/>
    <mergeCell ref="F898:F902"/>
    <mergeCell ref="G898:G902"/>
    <mergeCell ref="M888:M890"/>
    <mergeCell ref="A891:A897"/>
    <mergeCell ref="B891:C897"/>
    <mergeCell ref="D891:D897"/>
    <mergeCell ref="E891:E897"/>
    <mergeCell ref="F891:F897"/>
    <mergeCell ref="G891:G897"/>
    <mergeCell ref="H891:H897"/>
    <mergeCell ref="L891:L897"/>
    <mergeCell ref="M891:M897"/>
    <mergeCell ref="L885:L887"/>
    <mergeCell ref="M885:M887"/>
    <mergeCell ref="A888:A890"/>
    <mergeCell ref="B888:C890"/>
    <mergeCell ref="D888:D890"/>
    <mergeCell ref="E888:E890"/>
    <mergeCell ref="F888:F890"/>
    <mergeCell ref="G888:G890"/>
    <mergeCell ref="H888:H890"/>
    <mergeCell ref="L888:L890"/>
    <mergeCell ref="H882:H884"/>
    <mergeCell ref="L882:L884"/>
    <mergeCell ref="M882:M884"/>
    <mergeCell ref="A885:A887"/>
    <mergeCell ref="B885:C887"/>
    <mergeCell ref="D885:D887"/>
    <mergeCell ref="E885:E887"/>
    <mergeCell ref="F885:F887"/>
    <mergeCell ref="G885:G887"/>
    <mergeCell ref="H885:H887"/>
    <mergeCell ref="G879:G881"/>
    <mergeCell ref="H879:H881"/>
    <mergeCell ref="L879:L881"/>
    <mergeCell ref="M879:M881"/>
    <mergeCell ref="A882:A884"/>
    <mergeCell ref="B882:C884"/>
    <mergeCell ref="D882:D884"/>
    <mergeCell ref="E882:E884"/>
    <mergeCell ref="F882:F884"/>
    <mergeCell ref="G882:G884"/>
    <mergeCell ref="H874:H876"/>
    <mergeCell ref="L874:L876"/>
    <mergeCell ref="M874:M876"/>
    <mergeCell ref="B877:C877"/>
    <mergeCell ref="B878:C878"/>
    <mergeCell ref="A879:A881"/>
    <mergeCell ref="B879:C881"/>
    <mergeCell ref="D879:D881"/>
    <mergeCell ref="E879:E881"/>
    <mergeCell ref="F879:F881"/>
    <mergeCell ref="A874:A876"/>
    <mergeCell ref="B874:C876"/>
    <mergeCell ref="D874:D876"/>
    <mergeCell ref="E874:E876"/>
    <mergeCell ref="F874:F876"/>
    <mergeCell ref="G874:G876"/>
    <mergeCell ref="M868:M870"/>
    <mergeCell ref="A871:A873"/>
    <mergeCell ref="B871:C873"/>
    <mergeCell ref="D871:D873"/>
    <mergeCell ref="E871:E873"/>
    <mergeCell ref="F871:F873"/>
    <mergeCell ref="G871:G873"/>
    <mergeCell ref="H871:H873"/>
    <mergeCell ref="L871:L873"/>
    <mergeCell ref="M871:M873"/>
    <mergeCell ref="L859:L867"/>
    <mergeCell ref="M859:M867"/>
    <mergeCell ref="A868:A870"/>
    <mergeCell ref="B868:C870"/>
    <mergeCell ref="D868:D870"/>
    <mergeCell ref="E868:E870"/>
    <mergeCell ref="F868:F870"/>
    <mergeCell ref="G868:G870"/>
    <mergeCell ref="H868:H870"/>
    <mergeCell ref="L868:L870"/>
    <mergeCell ref="H850:H858"/>
    <mergeCell ref="L850:L858"/>
    <mergeCell ref="M850:M858"/>
    <mergeCell ref="A859:A867"/>
    <mergeCell ref="B859:C867"/>
    <mergeCell ref="D859:D867"/>
    <mergeCell ref="E859:E867"/>
    <mergeCell ref="F859:F867"/>
    <mergeCell ref="G859:G867"/>
    <mergeCell ref="H859:H867"/>
    <mergeCell ref="A850:A858"/>
    <mergeCell ref="B850:C858"/>
    <mergeCell ref="D850:D858"/>
    <mergeCell ref="E850:E858"/>
    <mergeCell ref="F850:F858"/>
    <mergeCell ref="G850:G858"/>
    <mergeCell ref="M842:M845"/>
    <mergeCell ref="A846:A849"/>
    <mergeCell ref="B846:C849"/>
    <mergeCell ref="D846:D849"/>
    <mergeCell ref="E846:E849"/>
    <mergeCell ref="F846:F849"/>
    <mergeCell ref="G846:G849"/>
    <mergeCell ref="H846:H849"/>
    <mergeCell ref="L846:L849"/>
    <mergeCell ref="M846:M849"/>
    <mergeCell ref="L836:L841"/>
    <mergeCell ref="M836:M841"/>
    <mergeCell ref="A842:A845"/>
    <mergeCell ref="B842:C845"/>
    <mergeCell ref="D842:D845"/>
    <mergeCell ref="E842:E845"/>
    <mergeCell ref="F842:F845"/>
    <mergeCell ref="G842:G845"/>
    <mergeCell ref="H842:H845"/>
    <mergeCell ref="L842:L845"/>
    <mergeCell ref="H828:H835"/>
    <mergeCell ref="L828:L835"/>
    <mergeCell ref="M828:M835"/>
    <mergeCell ref="A836:A841"/>
    <mergeCell ref="B836:C841"/>
    <mergeCell ref="D836:D841"/>
    <mergeCell ref="E836:E841"/>
    <mergeCell ref="F836:F841"/>
    <mergeCell ref="G836:G841"/>
    <mergeCell ref="H836:H841"/>
    <mergeCell ref="A828:A835"/>
    <mergeCell ref="B828:C835"/>
    <mergeCell ref="D828:D835"/>
    <mergeCell ref="E828:E835"/>
    <mergeCell ref="F828:F835"/>
    <mergeCell ref="G828:G835"/>
    <mergeCell ref="M819:M822"/>
    <mergeCell ref="A823:A827"/>
    <mergeCell ref="B823:C827"/>
    <mergeCell ref="D823:D827"/>
    <mergeCell ref="E823:E827"/>
    <mergeCell ref="F823:F827"/>
    <mergeCell ref="G823:G827"/>
    <mergeCell ref="H823:H827"/>
    <mergeCell ref="L823:L827"/>
    <mergeCell ref="M823:M827"/>
    <mergeCell ref="L815:L818"/>
    <mergeCell ref="M815:M818"/>
    <mergeCell ref="A819:A822"/>
    <mergeCell ref="B819:C822"/>
    <mergeCell ref="D819:D822"/>
    <mergeCell ref="E819:E822"/>
    <mergeCell ref="F819:F822"/>
    <mergeCell ref="G819:G822"/>
    <mergeCell ref="H819:H822"/>
    <mergeCell ref="L819:L822"/>
    <mergeCell ref="H811:H814"/>
    <mergeCell ref="L811:L814"/>
    <mergeCell ref="M811:M814"/>
    <mergeCell ref="A815:A818"/>
    <mergeCell ref="B815:C818"/>
    <mergeCell ref="D815:D818"/>
    <mergeCell ref="E815:E818"/>
    <mergeCell ref="F815:F818"/>
    <mergeCell ref="G815:G818"/>
    <mergeCell ref="H815:H818"/>
    <mergeCell ref="G807:G810"/>
    <mergeCell ref="H807:H810"/>
    <mergeCell ref="L807:L810"/>
    <mergeCell ref="M807:M810"/>
    <mergeCell ref="A811:A814"/>
    <mergeCell ref="B811:C814"/>
    <mergeCell ref="D811:D814"/>
    <mergeCell ref="E811:E814"/>
    <mergeCell ref="F811:F814"/>
    <mergeCell ref="G811:G814"/>
    <mergeCell ref="H800:H804"/>
    <mergeCell ref="L800:L804"/>
    <mergeCell ref="M800:M804"/>
    <mergeCell ref="B805:C805"/>
    <mergeCell ref="B806:C806"/>
    <mergeCell ref="A807:A810"/>
    <mergeCell ref="B807:C810"/>
    <mergeCell ref="D807:D810"/>
    <mergeCell ref="E807:E810"/>
    <mergeCell ref="F807:F810"/>
    <mergeCell ref="A800:A804"/>
    <mergeCell ref="B800:C804"/>
    <mergeCell ref="D800:D804"/>
    <mergeCell ref="E800:E804"/>
    <mergeCell ref="F800:F804"/>
    <mergeCell ref="G800:G804"/>
    <mergeCell ref="M790:M794"/>
    <mergeCell ref="A795:A799"/>
    <mergeCell ref="B795:C799"/>
    <mergeCell ref="D795:D799"/>
    <mergeCell ref="E795:E799"/>
    <mergeCell ref="F795:F799"/>
    <mergeCell ref="G795:G799"/>
    <mergeCell ref="H795:H799"/>
    <mergeCell ref="L795:L799"/>
    <mergeCell ref="M795:M799"/>
    <mergeCell ref="L785:L789"/>
    <mergeCell ref="M785:M789"/>
    <mergeCell ref="A790:A794"/>
    <mergeCell ref="B790:C794"/>
    <mergeCell ref="D790:D794"/>
    <mergeCell ref="E790:E794"/>
    <mergeCell ref="F790:F794"/>
    <mergeCell ref="G790:G794"/>
    <mergeCell ref="H790:H794"/>
    <mergeCell ref="L790:L794"/>
    <mergeCell ref="H776:H784"/>
    <mergeCell ref="L776:L784"/>
    <mergeCell ref="M776:M784"/>
    <mergeCell ref="A785:A789"/>
    <mergeCell ref="B785:C789"/>
    <mergeCell ref="D785:D789"/>
    <mergeCell ref="E785:E789"/>
    <mergeCell ref="F785:F789"/>
    <mergeCell ref="G785:G789"/>
    <mergeCell ref="H785:H789"/>
    <mergeCell ref="A776:A784"/>
    <mergeCell ref="B776:C784"/>
    <mergeCell ref="D776:D784"/>
    <mergeCell ref="E776:E784"/>
    <mergeCell ref="F776:F784"/>
    <mergeCell ref="G776:G784"/>
    <mergeCell ref="M766:M768"/>
    <mergeCell ref="A769:A775"/>
    <mergeCell ref="B769:C775"/>
    <mergeCell ref="D769:D775"/>
    <mergeCell ref="E769:E775"/>
    <mergeCell ref="F769:F775"/>
    <mergeCell ref="G769:G775"/>
    <mergeCell ref="H769:H775"/>
    <mergeCell ref="L769:L775"/>
    <mergeCell ref="M769:M775"/>
    <mergeCell ref="L760:L765"/>
    <mergeCell ref="M760:M765"/>
    <mergeCell ref="A766:A768"/>
    <mergeCell ref="B766:C768"/>
    <mergeCell ref="D766:D768"/>
    <mergeCell ref="E766:E768"/>
    <mergeCell ref="F766:F768"/>
    <mergeCell ref="G766:G768"/>
    <mergeCell ref="H766:H768"/>
    <mergeCell ref="L766:L768"/>
    <mergeCell ref="H755:H759"/>
    <mergeCell ref="L755:L759"/>
    <mergeCell ref="M755:M759"/>
    <mergeCell ref="A760:A765"/>
    <mergeCell ref="B760:C765"/>
    <mergeCell ref="D760:D765"/>
    <mergeCell ref="E760:E765"/>
    <mergeCell ref="F760:F765"/>
    <mergeCell ref="G760:G765"/>
    <mergeCell ref="H760:H765"/>
    <mergeCell ref="A755:A759"/>
    <mergeCell ref="B755:C759"/>
    <mergeCell ref="D755:D759"/>
    <mergeCell ref="E755:E759"/>
    <mergeCell ref="F755:F759"/>
    <mergeCell ref="G755:G759"/>
    <mergeCell ref="M739:M746"/>
    <mergeCell ref="A747:A754"/>
    <mergeCell ref="B747:C754"/>
    <mergeCell ref="D747:D754"/>
    <mergeCell ref="E747:E754"/>
    <mergeCell ref="F747:F754"/>
    <mergeCell ref="G747:G754"/>
    <mergeCell ref="H747:H754"/>
    <mergeCell ref="L747:L754"/>
    <mergeCell ref="M747:M754"/>
    <mergeCell ref="L731:L738"/>
    <mergeCell ref="M731:M738"/>
    <mergeCell ref="A739:A746"/>
    <mergeCell ref="B739:C746"/>
    <mergeCell ref="D739:D746"/>
    <mergeCell ref="E739:E746"/>
    <mergeCell ref="F739:F746"/>
    <mergeCell ref="G739:G746"/>
    <mergeCell ref="H739:H746"/>
    <mergeCell ref="L739:L746"/>
    <mergeCell ref="H724:H730"/>
    <mergeCell ref="L724:L730"/>
    <mergeCell ref="M724:M730"/>
    <mergeCell ref="A731:A738"/>
    <mergeCell ref="B731:C738"/>
    <mergeCell ref="D731:D738"/>
    <mergeCell ref="E731:E738"/>
    <mergeCell ref="F731:F738"/>
    <mergeCell ref="G731:G738"/>
    <mergeCell ref="H731:H738"/>
    <mergeCell ref="H718:H722"/>
    <mergeCell ref="L718:L722"/>
    <mergeCell ref="M718:M722"/>
    <mergeCell ref="B723:C723"/>
    <mergeCell ref="A724:A730"/>
    <mergeCell ref="B724:C730"/>
    <mergeCell ref="D724:D730"/>
    <mergeCell ref="E724:E730"/>
    <mergeCell ref="F724:F730"/>
    <mergeCell ref="G724:G730"/>
    <mergeCell ref="A718:A722"/>
    <mergeCell ref="B718:C722"/>
    <mergeCell ref="D718:D722"/>
    <mergeCell ref="E718:E722"/>
    <mergeCell ref="F718:F722"/>
    <mergeCell ref="G718:G722"/>
    <mergeCell ref="M710:M713"/>
    <mergeCell ref="A714:A717"/>
    <mergeCell ref="B714:C717"/>
    <mergeCell ref="D714:D717"/>
    <mergeCell ref="E714:E717"/>
    <mergeCell ref="F714:F717"/>
    <mergeCell ref="G714:G717"/>
    <mergeCell ref="H714:H717"/>
    <mergeCell ref="L714:L717"/>
    <mergeCell ref="M714:M717"/>
    <mergeCell ref="L702:L709"/>
    <mergeCell ref="M702:M709"/>
    <mergeCell ref="A710:A713"/>
    <mergeCell ref="B710:C713"/>
    <mergeCell ref="D710:D713"/>
    <mergeCell ref="E710:E713"/>
    <mergeCell ref="F710:F713"/>
    <mergeCell ref="G710:G713"/>
    <mergeCell ref="H710:H713"/>
    <mergeCell ref="L710:L713"/>
    <mergeCell ref="H694:H701"/>
    <mergeCell ref="L694:L701"/>
    <mergeCell ref="M694:M701"/>
    <mergeCell ref="A702:A709"/>
    <mergeCell ref="B702:C709"/>
    <mergeCell ref="D702:D709"/>
    <mergeCell ref="E702:E709"/>
    <mergeCell ref="F702:F709"/>
    <mergeCell ref="G702:G709"/>
    <mergeCell ref="H702:H709"/>
    <mergeCell ref="A694:A701"/>
    <mergeCell ref="B694:C701"/>
    <mergeCell ref="D694:D701"/>
    <mergeCell ref="E694:E701"/>
    <mergeCell ref="F694:F701"/>
    <mergeCell ref="G694:G701"/>
    <mergeCell ref="M682:M688"/>
    <mergeCell ref="A689:A693"/>
    <mergeCell ref="B689:C693"/>
    <mergeCell ref="D689:D693"/>
    <mergeCell ref="E689:E693"/>
    <mergeCell ref="F689:F693"/>
    <mergeCell ref="G689:G693"/>
    <mergeCell ref="H689:H693"/>
    <mergeCell ref="L689:L693"/>
    <mergeCell ref="M689:M693"/>
    <mergeCell ref="L677:L681"/>
    <mergeCell ref="M677:M681"/>
    <mergeCell ref="A682:A688"/>
    <mergeCell ref="B682:C688"/>
    <mergeCell ref="D682:D688"/>
    <mergeCell ref="E682:E688"/>
    <mergeCell ref="F682:F688"/>
    <mergeCell ref="G682:G688"/>
    <mergeCell ref="H682:H688"/>
    <mergeCell ref="L682:L688"/>
    <mergeCell ref="H671:H676"/>
    <mergeCell ref="L671:L676"/>
    <mergeCell ref="M671:M676"/>
    <mergeCell ref="A677:A681"/>
    <mergeCell ref="B677:C681"/>
    <mergeCell ref="D677:D681"/>
    <mergeCell ref="E677:E681"/>
    <mergeCell ref="F677:F681"/>
    <mergeCell ref="G677:G681"/>
    <mergeCell ref="H677:H681"/>
    <mergeCell ref="A671:A676"/>
    <mergeCell ref="B671:C676"/>
    <mergeCell ref="D671:D676"/>
    <mergeCell ref="E671:E676"/>
    <mergeCell ref="F671:F676"/>
    <mergeCell ref="G671:G676"/>
    <mergeCell ref="M660:M664"/>
    <mergeCell ref="A665:A670"/>
    <mergeCell ref="B665:C670"/>
    <mergeCell ref="D665:D670"/>
    <mergeCell ref="E665:E670"/>
    <mergeCell ref="F665:F670"/>
    <mergeCell ref="G665:G670"/>
    <mergeCell ref="H665:H670"/>
    <mergeCell ref="L665:L670"/>
    <mergeCell ref="M665:M670"/>
    <mergeCell ref="L655:L659"/>
    <mergeCell ref="M655:M659"/>
    <mergeCell ref="A660:A664"/>
    <mergeCell ref="B660:C664"/>
    <mergeCell ref="D660:D664"/>
    <mergeCell ref="E660:E664"/>
    <mergeCell ref="F660:F664"/>
    <mergeCell ref="G660:G664"/>
    <mergeCell ref="H660:H664"/>
    <mergeCell ref="L660:L664"/>
    <mergeCell ref="H651:H654"/>
    <mergeCell ref="L651:L654"/>
    <mergeCell ref="M651:M654"/>
    <mergeCell ref="A655:A659"/>
    <mergeCell ref="B655:C659"/>
    <mergeCell ref="D655:D659"/>
    <mergeCell ref="E655:E659"/>
    <mergeCell ref="F655:F659"/>
    <mergeCell ref="G655:G659"/>
    <mergeCell ref="H655:H659"/>
    <mergeCell ref="G648:G650"/>
    <mergeCell ref="H648:H650"/>
    <mergeCell ref="L648:L650"/>
    <mergeCell ref="M648:M650"/>
    <mergeCell ref="A651:A654"/>
    <mergeCell ref="B651:C654"/>
    <mergeCell ref="D651:D654"/>
    <mergeCell ref="E651:E654"/>
    <mergeCell ref="F651:F654"/>
    <mergeCell ref="G651:G654"/>
    <mergeCell ref="B647:C647"/>
    <mergeCell ref="A648:A650"/>
    <mergeCell ref="B648:C650"/>
    <mergeCell ref="D648:D650"/>
    <mergeCell ref="E648:E650"/>
    <mergeCell ref="F648:F650"/>
    <mergeCell ref="H641:H643"/>
    <mergeCell ref="L641:L643"/>
    <mergeCell ref="M641:M643"/>
    <mergeCell ref="B644:C644"/>
    <mergeCell ref="B645:C645"/>
    <mergeCell ref="B646:C646"/>
    <mergeCell ref="A641:A643"/>
    <mergeCell ref="B641:C643"/>
    <mergeCell ref="D641:D643"/>
    <mergeCell ref="E641:E643"/>
    <mergeCell ref="F641:F643"/>
    <mergeCell ref="G641:G643"/>
    <mergeCell ref="M626:M635"/>
    <mergeCell ref="A636:A640"/>
    <mergeCell ref="B636:C640"/>
    <mergeCell ref="D636:D640"/>
    <mergeCell ref="E636:E640"/>
    <mergeCell ref="F636:F640"/>
    <mergeCell ref="G636:G640"/>
    <mergeCell ref="H636:H640"/>
    <mergeCell ref="L636:L640"/>
    <mergeCell ref="M636:M640"/>
    <mergeCell ref="L622:L625"/>
    <mergeCell ref="M622:M625"/>
    <mergeCell ref="A626:A635"/>
    <mergeCell ref="B626:C635"/>
    <mergeCell ref="D626:D635"/>
    <mergeCell ref="E626:E635"/>
    <mergeCell ref="F626:F635"/>
    <mergeCell ref="G626:G635"/>
    <mergeCell ref="H626:H635"/>
    <mergeCell ref="L626:L635"/>
    <mergeCell ref="H616:H621"/>
    <mergeCell ref="L616:L621"/>
    <mergeCell ref="M616:M621"/>
    <mergeCell ref="A622:A625"/>
    <mergeCell ref="B622:C625"/>
    <mergeCell ref="D622:D625"/>
    <mergeCell ref="E622:E625"/>
    <mergeCell ref="F622:F625"/>
    <mergeCell ref="G622:G625"/>
    <mergeCell ref="H622:H625"/>
    <mergeCell ref="A616:A621"/>
    <mergeCell ref="B616:C621"/>
    <mergeCell ref="D616:D621"/>
    <mergeCell ref="E616:E621"/>
    <mergeCell ref="F616:F621"/>
    <mergeCell ref="G616:G621"/>
    <mergeCell ref="M602:M607"/>
    <mergeCell ref="A608:A615"/>
    <mergeCell ref="B608:C615"/>
    <mergeCell ref="D608:D615"/>
    <mergeCell ref="E608:E615"/>
    <mergeCell ref="F608:F615"/>
    <mergeCell ref="G608:G615"/>
    <mergeCell ref="H608:H615"/>
    <mergeCell ref="L608:L615"/>
    <mergeCell ref="M608:M615"/>
    <mergeCell ref="L598:L601"/>
    <mergeCell ref="M598:M601"/>
    <mergeCell ref="A602:A607"/>
    <mergeCell ref="B602:C607"/>
    <mergeCell ref="D602:D607"/>
    <mergeCell ref="E602:E607"/>
    <mergeCell ref="F602:F607"/>
    <mergeCell ref="G602:G607"/>
    <mergeCell ref="H602:H607"/>
    <mergeCell ref="L602:L607"/>
    <mergeCell ref="H593:H597"/>
    <mergeCell ref="L593:L597"/>
    <mergeCell ref="M593:M597"/>
    <mergeCell ref="A598:A601"/>
    <mergeCell ref="B598:C601"/>
    <mergeCell ref="D598:D601"/>
    <mergeCell ref="E598:E601"/>
    <mergeCell ref="F598:F601"/>
    <mergeCell ref="G598:G601"/>
    <mergeCell ref="H598:H601"/>
    <mergeCell ref="G588:G592"/>
    <mergeCell ref="H588:H592"/>
    <mergeCell ref="L588:L592"/>
    <mergeCell ref="M588:M592"/>
    <mergeCell ref="A593:A597"/>
    <mergeCell ref="B593:C597"/>
    <mergeCell ref="D593:D597"/>
    <mergeCell ref="E593:E597"/>
    <mergeCell ref="F593:F597"/>
    <mergeCell ref="G593:G597"/>
    <mergeCell ref="F583:F587"/>
    <mergeCell ref="G583:G587"/>
    <mergeCell ref="H583:H587"/>
    <mergeCell ref="L583:L587"/>
    <mergeCell ref="M583:M587"/>
    <mergeCell ref="A588:A592"/>
    <mergeCell ref="B588:C592"/>
    <mergeCell ref="D588:D592"/>
    <mergeCell ref="E588:E592"/>
    <mergeCell ref="F588:F592"/>
    <mergeCell ref="B581:C581"/>
    <mergeCell ref="B582:C582"/>
    <mergeCell ref="A583:A587"/>
    <mergeCell ref="B583:C587"/>
    <mergeCell ref="D583:D587"/>
    <mergeCell ref="E583:E587"/>
    <mergeCell ref="M572:M575"/>
    <mergeCell ref="B576:C576"/>
    <mergeCell ref="B577:C577"/>
    <mergeCell ref="B578:C578"/>
    <mergeCell ref="B579:C579"/>
    <mergeCell ref="B580:C580"/>
    <mergeCell ref="L568:L571"/>
    <mergeCell ref="M568:M571"/>
    <mergeCell ref="A572:A575"/>
    <mergeCell ref="B572:C575"/>
    <mergeCell ref="D572:D575"/>
    <mergeCell ref="E572:E575"/>
    <mergeCell ref="F572:F575"/>
    <mergeCell ref="G572:G575"/>
    <mergeCell ref="H572:H575"/>
    <mergeCell ref="L572:L575"/>
    <mergeCell ref="H565:H567"/>
    <mergeCell ref="L565:L567"/>
    <mergeCell ref="M565:M567"/>
    <mergeCell ref="A568:A571"/>
    <mergeCell ref="B568:C571"/>
    <mergeCell ref="D568:D571"/>
    <mergeCell ref="E568:E571"/>
    <mergeCell ref="F568:F571"/>
    <mergeCell ref="G568:G571"/>
    <mergeCell ref="H568:H571"/>
    <mergeCell ref="G561:G564"/>
    <mergeCell ref="H561:H564"/>
    <mergeCell ref="L561:L564"/>
    <mergeCell ref="M561:M564"/>
    <mergeCell ref="A565:A567"/>
    <mergeCell ref="B565:C567"/>
    <mergeCell ref="D565:D567"/>
    <mergeCell ref="E565:E567"/>
    <mergeCell ref="F565:F567"/>
    <mergeCell ref="G565:G567"/>
    <mergeCell ref="G557:G559"/>
    <mergeCell ref="H557:H559"/>
    <mergeCell ref="L557:L559"/>
    <mergeCell ref="M557:M559"/>
    <mergeCell ref="B560:C560"/>
    <mergeCell ref="A561:A564"/>
    <mergeCell ref="B561:C564"/>
    <mergeCell ref="D561:D564"/>
    <mergeCell ref="E561:E564"/>
    <mergeCell ref="F561:F564"/>
    <mergeCell ref="F554:F556"/>
    <mergeCell ref="G554:G556"/>
    <mergeCell ref="H554:H556"/>
    <mergeCell ref="L554:L556"/>
    <mergeCell ref="M554:M556"/>
    <mergeCell ref="A557:A559"/>
    <mergeCell ref="B557:C559"/>
    <mergeCell ref="D557:D559"/>
    <mergeCell ref="E557:E559"/>
    <mergeCell ref="F557:F559"/>
    <mergeCell ref="B552:C552"/>
    <mergeCell ref="B553:C553"/>
    <mergeCell ref="A554:A556"/>
    <mergeCell ref="B554:C556"/>
    <mergeCell ref="D554:D556"/>
    <mergeCell ref="E554:E556"/>
    <mergeCell ref="H543:H548"/>
    <mergeCell ref="L543:L548"/>
    <mergeCell ref="M543:M548"/>
    <mergeCell ref="B549:C549"/>
    <mergeCell ref="B550:C550"/>
    <mergeCell ref="B551:C551"/>
    <mergeCell ref="L533:L540"/>
    <mergeCell ref="M533:M540"/>
    <mergeCell ref="B541:C541"/>
    <mergeCell ref="B542:C542"/>
    <mergeCell ref="A543:A548"/>
    <mergeCell ref="B543:C548"/>
    <mergeCell ref="D543:D548"/>
    <mergeCell ref="E543:E548"/>
    <mergeCell ref="F543:F548"/>
    <mergeCell ref="G543:G548"/>
    <mergeCell ref="H521:H532"/>
    <mergeCell ref="L521:L532"/>
    <mergeCell ref="M521:M532"/>
    <mergeCell ref="A533:A540"/>
    <mergeCell ref="B533:C540"/>
    <mergeCell ref="D533:D540"/>
    <mergeCell ref="E533:E540"/>
    <mergeCell ref="F533:F540"/>
    <mergeCell ref="G533:G540"/>
    <mergeCell ref="H533:H540"/>
    <mergeCell ref="A521:A532"/>
    <mergeCell ref="B521:C532"/>
    <mergeCell ref="D521:D532"/>
    <mergeCell ref="E521:E532"/>
    <mergeCell ref="F521:F532"/>
    <mergeCell ref="G521:G532"/>
    <mergeCell ref="M511:M514"/>
    <mergeCell ref="A515:A520"/>
    <mergeCell ref="B515:C520"/>
    <mergeCell ref="D515:D520"/>
    <mergeCell ref="E515:E520"/>
    <mergeCell ref="F515:F520"/>
    <mergeCell ref="G515:G520"/>
    <mergeCell ref="H515:H520"/>
    <mergeCell ref="L515:L520"/>
    <mergeCell ref="M515:M520"/>
    <mergeCell ref="L505:L510"/>
    <mergeCell ref="M505:M510"/>
    <mergeCell ref="A511:A514"/>
    <mergeCell ref="B511:C514"/>
    <mergeCell ref="D511:D514"/>
    <mergeCell ref="E511:E514"/>
    <mergeCell ref="F511:F514"/>
    <mergeCell ref="G511:G514"/>
    <mergeCell ref="H511:H514"/>
    <mergeCell ref="L511:L514"/>
    <mergeCell ref="H502:H504"/>
    <mergeCell ref="L502:L504"/>
    <mergeCell ref="M502:M504"/>
    <mergeCell ref="A505:A510"/>
    <mergeCell ref="B505:C510"/>
    <mergeCell ref="D505:D510"/>
    <mergeCell ref="E505:E510"/>
    <mergeCell ref="F505:F510"/>
    <mergeCell ref="G505:G510"/>
    <mergeCell ref="H505:H510"/>
    <mergeCell ref="A502:A504"/>
    <mergeCell ref="B502:C504"/>
    <mergeCell ref="D502:D504"/>
    <mergeCell ref="E502:E504"/>
    <mergeCell ref="F502:F504"/>
    <mergeCell ref="G502:G504"/>
    <mergeCell ref="M495:M498"/>
    <mergeCell ref="A499:A501"/>
    <mergeCell ref="B499:C501"/>
    <mergeCell ref="D499:D501"/>
    <mergeCell ref="E499:E501"/>
    <mergeCell ref="F499:F501"/>
    <mergeCell ref="G499:G501"/>
    <mergeCell ref="H499:H501"/>
    <mergeCell ref="L499:L501"/>
    <mergeCell ref="M499:M501"/>
    <mergeCell ref="L492:L494"/>
    <mergeCell ref="M492:M494"/>
    <mergeCell ref="A495:A498"/>
    <mergeCell ref="B495:C498"/>
    <mergeCell ref="D495:D498"/>
    <mergeCell ref="E495:E498"/>
    <mergeCell ref="F495:F498"/>
    <mergeCell ref="G495:G498"/>
    <mergeCell ref="H495:H498"/>
    <mergeCell ref="L495:L498"/>
    <mergeCell ref="H487:H491"/>
    <mergeCell ref="L487:L491"/>
    <mergeCell ref="M487:M491"/>
    <mergeCell ref="A492:A494"/>
    <mergeCell ref="B492:C494"/>
    <mergeCell ref="D492:D494"/>
    <mergeCell ref="E492:E494"/>
    <mergeCell ref="F492:F494"/>
    <mergeCell ref="G492:G494"/>
    <mergeCell ref="H492:H494"/>
    <mergeCell ref="A487:A491"/>
    <mergeCell ref="B487:C491"/>
    <mergeCell ref="D487:D491"/>
    <mergeCell ref="E487:E491"/>
    <mergeCell ref="F487:F491"/>
    <mergeCell ref="G487:G491"/>
    <mergeCell ref="M477:M481"/>
    <mergeCell ref="A482:A486"/>
    <mergeCell ref="B482:C486"/>
    <mergeCell ref="D482:D486"/>
    <mergeCell ref="E482:E486"/>
    <mergeCell ref="F482:F486"/>
    <mergeCell ref="G482:G486"/>
    <mergeCell ref="H482:H486"/>
    <mergeCell ref="L482:L486"/>
    <mergeCell ref="M482:M486"/>
    <mergeCell ref="L470:L476"/>
    <mergeCell ref="M470:M476"/>
    <mergeCell ref="A477:A481"/>
    <mergeCell ref="B477:C481"/>
    <mergeCell ref="D477:D481"/>
    <mergeCell ref="E477:E481"/>
    <mergeCell ref="F477:F481"/>
    <mergeCell ref="G477:G481"/>
    <mergeCell ref="H477:H481"/>
    <mergeCell ref="L477:L481"/>
    <mergeCell ref="H465:H469"/>
    <mergeCell ref="L465:L469"/>
    <mergeCell ref="M465:M469"/>
    <mergeCell ref="A470:A476"/>
    <mergeCell ref="B470:C476"/>
    <mergeCell ref="D470:D476"/>
    <mergeCell ref="E470:E476"/>
    <mergeCell ref="F470:F476"/>
    <mergeCell ref="G470:G476"/>
    <mergeCell ref="H470:H476"/>
    <mergeCell ref="G459:G464"/>
    <mergeCell ref="H459:H464"/>
    <mergeCell ref="L459:L464"/>
    <mergeCell ref="M459:M464"/>
    <mergeCell ref="A465:A469"/>
    <mergeCell ref="B465:C469"/>
    <mergeCell ref="D465:D469"/>
    <mergeCell ref="E465:E469"/>
    <mergeCell ref="F465:F469"/>
    <mergeCell ref="G465:G469"/>
    <mergeCell ref="B458:C458"/>
    <mergeCell ref="A459:A464"/>
    <mergeCell ref="B459:C464"/>
    <mergeCell ref="D459:D464"/>
    <mergeCell ref="E459:E464"/>
    <mergeCell ref="F459:F464"/>
    <mergeCell ref="M450:M454"/>
    <mergeCell ref="A455:A457"/>
    <mergeCell ref="B455:C457"/>
    <mergeCell ref="D455:D457"/>
    <mergeCell ref="E455:E457"/>
    <mergeCell ref="F455:F457"/>
    <mergeCell ref="G455:G457"/>
    <mergeCell ref="H455:H457"/>
    <mergeCell ref="L455:L457"/>
    <mergeCell ref="M455:M457"/>
    <mergeCell ref="L444:L449"/>
    <mergeCell ref="M444:M449"/>
    <mergeCell ref="A450:A454"/>
    <mergeCell ref="B450:C454"/>
    <mergeCell ref="D450:D454"/>
    <mergeCell ref="E450:E454"/>
    <mergeCell ref="F450:F454"/>
    <mergeCell ref="G450:G454"/>
    <mergeCell ref="H450:H454"/>
    <mergeCell ref="L450:L454"/>
    <mergeCell ref="H439:H443"/>
    <mergeCell ref="L439:L443"/>
    <mergeCell ref="M439:M443"/>
    <mergeCell ref="A444:A449"/>
    <mergeCell ref="B444:C449"/>
    <mergeCell ref="D444:D449"/>
    <mergeCell ref="E444:E449"/>
    <mergeCell ref="F444:F449"/>
    <mergeCell ref="G444:G449"/>
    <mergeCell ref="H444:H449"/>
    <mergeCell ref="A439:A443"/>
    <mergeCell ref="B439:C443"/>
    <mergeCell ref="D439:D443"/>
    <mergeCell ref="E439:E443"/>
    <mergeCell ref="F439:F443"/>
    <mergeCell ref="G439:G443"/>
    <mergeCell ref="M431:M435"/>
    <mergeCell ref="A436:A438"/>
    <mergeCell ref="B436:C438"/>
    <mergeCell ref="D436:D438"/>
    <mergeCell ref="E436:E438"/>
    <mergeCell ref="F436:F438"/>
    <mergeCell ref="G436:G438"/>
    <mergeCell ref="H436:H438"/>
    <mergeCell ref="L436:L438"/>
    <mergeCell ref="M436:M438"/>
    <mergeCell ref="L426:L430"/>
    <mergeCell ref="M426:M430"/>
    <mergeCell ref="A431:A435"/>
    <mergeCell ref="B431:C435"/>
    <mergeCell ref="D431:D435"/>
    <mergeCell ref="E431:E435"/>
    <mergeCell ref="F431:F435"/>
    <mergeCell ref="G431:G435"/>
    <mergeCell ref="H431:H435"/>
    <mergeCell ref="L431:L435"/>
    <mergeCell ref="H421:H425"/>
    <mergeCell ref="L421:L425"/>
    <mergeCell ref="M421:M425"/>
    <mergeCell ref="A426:A430"/>
    <mergeCell ref="B426:C430"/>
    <mergeCell ref="D426:D430"/>
    <mergeCell ref="E426:E430"/>
    <mergeCell ref="F426:F430"/>
    <mergeCell ref="G426:G430"/>
    <mergeCell ref="H426:H430"/>
    <mergeCell ref="A421:A425"/>
    <mergeCell ref="B421:C425"/>
    <mergeCell ref="D421:D425"/>
    <mergeCell ref="E421:E425"/>
    <mergeCell ref="F421:F425"/>
    <mergeCell ref="G421:G425"/>
    <mergeCell ref="M404:M414"/>
    <mergeCell ref="A415:A420"/>
    <mergeCell ref="B415:C420"/>
    <mergeCell ref="D415:D420"/>
    <mergeCell ref="E415:E420"/>
    <mergeCell ref="F415:F420"/>
    <mergeCell ref="G415:G420"/>
    <mergeCell ref="H415:H420"/>
    <mergeCell ref="L415:L420"/>
    <mergeCell ref="M415:M420"/>
    <mergeCell ref="M392:M402"/>
    <mergeCell ref="B403:C403"/>
    <mergeCell ref="A404:A414"/>
    <mergeCell ref="B404:C414"/>
    <mergeCell ref="D404:D414"/>
    <mergeCell ref="E404:E414"/>
    <mergeCell ref="F404:F414"/>
    <mergeCell ref="G404:G414"/>
    <mergeCell ref="H404:H414"/>
    <mergeCell ref="L404:L414"/>
    <mergeCell ref="L387:L391"/>
    <mergeCell ref="M387:M391"/>
    <mergeCell ref="A392:A402"/>
    <mergeCell ref="B392:C402"/>
    <mergeCell ref="D392:D402"/>
    <mergeCell ref="E392:E402"/>
    <mergeCell ref="F392:F402"/>
    <mergeCell ref="G392:G402"/>
    <mergeCell ref="H392:H402"/>
    <mergeCell ref="L392:L402"/>
    <mergeCell ref="H382:H386"/>
    <mergeCell ref="L382:L386"/>
    <mergeCell ref="M382:M386"/>
    <mergeCell ref="A387:A391"/>
    <mergeCell ref="B387:C391"/>
    <mergeCell ref="D387:D391"/>
    <mergeCell ref="E387:E391"/>
    <mergeCell ref="F387:F391"/>
    <mergeCell ref="G387:G391"/>
    <mergeCell ref="H387:H391"/>
    <mergeCell ref="A382:A386"/>
    <mergeCell ref="B382:C386"/>
    <mergeCell ref="D382:D386"/>
    <mergeCell ref="E382:E386"/>
    <mergeCell ref="F382:F386"/>
    <mergeCell ref="G382:G386"/>
    <mergeCell ref="M376:M377"/>
    <mergeCell ref="A378:A381"/>
    <mergeCell ref="B378:C381"/>
    <mergeCell ref="D378:D381"/>
    <mergeCell ref="E378:E381"/>
    <mergeCell ref="F378:F381"/>
    <mergeCell ref="G378:G381"/>
    <mergeCell ref="H378:H381"/>
    <mergeCell ref="L378:L381"/>
    <mergeCell ref="M378:M381"/>
    <mergeCell ref="L373:L375"/>
    <mergeCell ref="M373:M375"/>
    <mergeCell ref="A376:A377"/>
    <mergeCell ref="B376:C377"/>
    <mergeCell ref="D376:D377"/>
    <mergeCell ref="E376:E377"/>
    <mergeCell ref="F376:F377"/>
    <mergeCell ref="G376:G377"/>
    <mergeCell ref="H376:H377"/>
    <mergeCell ref="L376:L377"/>
    <mergeCell ref="H363:H372"/>
    <mergeCell ref="L363:L372"/>
    <mergeCell ref="M363:M372"/>
    <mergeCell ref="A373:A375"/>
    <mergeCell ref="B373:C375"/>
    <mergeCell ref="D373:D375"/>
    <mergeCell ref="E373:E375"/>
    <mergeCell ref="F373:F375"/>
    <mergeCell ref="G373:G375"/>
    <mergeCell ref="H373:H375"/>
    <mergeCell ref="A363:A372"/>
    <mergeCell ref="B363:C372"/>
    <mergeCell ref="D363:D372"/>
    <mergeCell ref="E363:E372"/>
    <mergeCell ref="F363:F372"/>
    <mergeCell ref="G363:G372"/>
    <mergeCell ref="M345:M352"/>
    <mergeCell ref="A353:A362"/>
    <mergeCell ref="B353:C362"/>
    <mergeCell ref="D353:D362"/>
    <mergeCell ref="E353:E362"/>
    <mergeCell ref="F353:F362"/>
    <mergeCell ref="G353:G362"/>
    <mergeCell ref="H353:H362"/>
    <mergeCell ref="L353:L362"/>
    <mergeCell ref="M353:M362"/>
    <mergeCell ref="L339:L344"/>
    <mergeCell ref="M339:M344"/>
    <mergeCell ref="A345:A352"/>
    <mergeCell ref="B345:C352"/>
    <mergeCell ref="D345:D352"/>
    <mergeCell ref="E345:E352"/>
    <mergeCell ref="F345:F352"/>
    <mergeCell ref="G345:G352"/>
    <mergeCell ref="H345:H352"/>
    <mergeCell ref="L345:L352"/>
    <mergeCell ref="H336:H338"/>
    <mergeCell ref="L336:L338"/>
    <mergeCell ref="M336:M338"/>
    <mergeCell ref="A339:A344"/>
    <mergeCell ref="B339:C344"/>
    <mergeCell ref="D339:D344"/>
    <mergeCell ref="E339:E344"/>
    <mergeCell ref="F339:F344"/>
    <mergeCell ref="G339:G344"/>
    <mergeCell ref="H339:H344"/>
    <mergeCell ref="A336:A338"/>
    <mergeCell ref="B336:C338"/>
    <mergeCell ref="D336:D338"/>
    <mergeCell ref="E336:E338"/>
    <mergeCell ref="F336:F338"/>
    <mergeCell ref="G336:G338"/>
    <mergeCell ref="M326:M331"/>
    <mergeCell ref="A332:A335"/>
    <mergeCell ref="B332:C335"/>
    <mergeCell ref="D332:D335"/>
    <mergeCell ref="E332:E335"/>
    <mergeCell ref="F332:F335"/>
    <mergeCell ref="G332:G335"/>
    <mergeCell ref="H332:H335"/>
    <mergeCell ref="L332:L335"/>
    <mergeCell ref="M332:M335"/>
    <mergeCell ref="L318:L325"/>
    <mergeCell ref="M318:M325"/>
    <mergeCell ref="A326:A331"/>
    <mergeCell ref="B326:C331"/>
    <mergeCell ref="D326:D331"/>
    <mergeCell ref="E326:E331"/>
    <mergeCell ref="F326:F331"/>
    <mergeCell ref="G326:G331"/>
    <mergeCell ref="H326:H331"/>
    <mergeCell ref="L326:L331"/>
    <mergeCell ref="H313:H317"/>
    <mergeCell ref="L313:L317"/>
    <mergeCell ref="M313:M317"/>
    <mergeCell ref="A318:A325"/>
    <mergeCell ref="B318:C325"/>
    <mergeCell ref="D318:D325"/>
    <mergeCell ref="E318:E325"/>
    <mergeCell ref="F318:F325"/>
    <mergeCell ref="G318:G325"/>
    <mergeCell ref="H318:H325"/>
    <mergeCell ref="A313:A317"/>
    <mergeCell ref="B313:C317"/>
    <mergeCell ref="D313:D317"/>
    <mergeCell ref="E313:E317"/>
    <mergeCell ref="F313:F317"/>
    <mergeCell ref="G313:G317"/>
    <mergeCell ref="M304:M309"/>
    <mergeCell ref="A310:A312"/>
    <mergeCell ref="B310:C312"/>
    <mergeCell ref="D310:D312"/>
    <mergeCell ref="E310:E312"/>
    <mergeCell ref="F310:F312"/>
    <mergeCell ref="G310:G312"/>
    <mergeCell ref="H310:H312"/>
    <mergeCell ref="L310:L312"/>
    <mergeCell ref="M310:M312"/>
    <mergeCell ref="L298:L303"/>
    <mergeCell ref="M298:M303"/>
    <mergeCell ref="A304:A309"/>
    <mergeCell ref="B304:C309"/>
    <mergeCell ref="D304:D309"/>
    <mergeCell ref="E304:E309"/>
    <mergeCell ref="F304:F309"/>
    <mergeCell ref="G304:G309"/>
    <mergeCell ref="H304:H309"/>
    <mergeCell ref="L304:L309"/>
    <mergeCell ref="M287:M295"/>
    <mergeCell ref="B296:C296"/>
    <mergeCell ref="B297:C297"/>
    <mergeCell ref="A298:A303"/>
    <mergeCell ref="B298:C303"/>
    <mergeCell ref="D298:D303"/>
    <mergeCell ref="E298:E303"/>
    <mergeCell ref="F298:F303"/>
    <mergeCell ref="G298:G303"/>
    <mergeCell ref="H298:H303"/>
    <mergeCell ref="L277:L286"/>
    <mergeCell ref="M277:M286"/>
    <mergeCell ref="A287:A295"/>
    <mergeCell ref="B287:C295"/>
    <mergeCell ref="D287:D295"/>
    <mergeCell ref="E287:E295"/>
    <mergeCell ref="F287:F295"/>
    <mergeCell ref="G287:G295"/>
    <mergeCell ref="H287:H295"/>
    <mergeCell ref="L287:L295"/>
    <mergeCell ref="H269:H276"/>
    <mergeCell ref="L269:L276"/>
    <mergeCell ref="M269:M276"/>
    <mergeCell ref="A277:A286"/>
    <mergeCell ref="B277:C286"/>
    <mergeCell ref="D277:D286"/>
    <mergeCell ref="E277:E286"/>
    <mergeCell ref="F277:F286"/>
    <mergeCell ref="G277:G286"/>
    <mergeCell ref="H277:H286"/>
    <mergeCell ref="A269:A276"/>
    <mergeCell ref="B269:C276"/>
    <mergeCell ref="D269:D276"/>
    <mergeCell ref="E269:E276"/>
    <mergeCell ref="F269:F276"/>
    <mergeCell ref="G269:G276"/>
    <mergeCell ref="M254:M261"/>
    <mergeCell ref="A262:A268"/>
    <mergeCell ref="B262:C268"/>
    <mergeCell ref="D262:D268"/>
    <mergeCell ref="E262:E268"/>
    <mergeCell ref="F262:F268"/>
    <mergeCell ref="G262:G268"/>
    <mergeCell ref="H262:H268"/>
    <mergeCell ref="L262:L268"/>
    <mergeCell ref="M262:M268"/>
    <mergeCell ref="L247:L253"/>
    <mergeCell ref="M247:M253"/>
    <mergeCell ref="A254:A261"/>
    <mergeCell ref="B254:C261"/>
    <mergeCell ref="D254:D261"/>
    <mergeCell ref="E254:E261"/>
    <mergeCell ref="F254:F261"/>
    <mergeCell ref="G254:G261"/>
    <mergeCell ref="H254:H261"/>
    <mergeCell ref="L254:L261"/>
    <mergeCell ref="H242:H246"/>
    <mergeCell ref="L242:L246"/>
    <mergeCell ref="M242:M246"/>
    <mergeCell ref="A247:A253"/>
    <mergeCell ref="B247:C253"/>
    <mergeCell ref="D247:D253"/>
    <mergeCell ref="E247:E253"/>
    <mergeCell ref="F247:F253"/>
    <mergeCell ref="G247:G253"/>
    <mergeCell ref="H247:H253"/>
    <mergeCell ref="H236:H240"/>
    <mergeCell ref="L236:L240"/>
    <mergeCell ref="M236:M240"/>
    <mergeCell ref="B241:C241"/>
    <mergeCell ref="A242:A246"/>
    <mergeCell ref="B242:C246"/>
    <mergeCell ref="D242:D246"/>
    <mergeCell ref="E242:E246"/>
    <mergeCell ref="F242:F246"/>
    <mergeCell ref="G242:G246"/>
    <mergeCell ref="A236:A240"/>
    <mergeCell ref="B236:C240"/>
    <mergeCell ref="D236:D240"/>
    <mergeCell ref="E236:E240"/>
    <mergeCell ref="F236:F240"/>
    <mergeCell ref="G236:G240"/>
    <mergeCell ref="G228:G233"/>
    <mergeCell ref="H228:H233"/>
    <mergeCell ref="L228:L233"/>
    <mergeCell ref="M228:M233"/>
    <mergeCell ref="B234:C234"/>
    <mergeCell ref="B235:C235"/>
    <mergeCell ref="B227:C227"/>
    <mergeCell ref="A228:A233"/>
    <mergeCell ref="B228:C233"/>
    <mergeCell ref="D228:D233"/>
    <mergeCell ref="E228:E233"/>
    <mergeCell ref="F228:F233"/>
    <mergeCell ref="M219:M222"/>
    <mergeCell ref="A223:A226"/>
    <mergeCell ref="B223:C226"/>
    <mergeCell ref="D223:D226"/>
    <mergeCell ref="E223:E226"/>
    <mergeCell ref="F223:F226"/>
    <mergeCell ref="G223:G226"/>
    <mergeCell ref="H223:H226"/>
    <mergeCell ref="L223:L226"/>
    <mergeCell ref="M223:M226"/>
    <mergeCell ref="L216:L218"/>
    <mergeCell ref="M216:M218"/>
    <mergeCell ref="A219:A222"/>
    <mergeCell ref="B219:C222"/>
    <mergeCell ref="D219:D222"/>
    <mergeCell ref="E219:E222"/>
    <mergeCell ref="F219:F222"/>
    <mergeCell ref="G219:G222"/>
    <mergeCell ref="H219:H222"/>
    <mergeCell ref="L219:L222"/>
    <mergeCell ref="L210:L214"/>
    <mergeCell ref="M210:M214"/>
    <mergeCell ref="B215:C215"/>
    <mergeCell ref="A216:A218"/>
    <mergeCell ref="B216:C218"/>
    <mergeCell ref="D216:D218"/>
    <mergeCell ref="E216:E218"/>
    <mergeCell ref="F216:F218"/>
    <mergeCell ref="G216:G218"/>
    <mergeCell ref="H216:H218"/>
    <mergeCell ref="M199:M207"/>
    <mergeCell ref="B208:C208"/>
    <mergeCell ref="B209:C209"/>
    <mergeCell ref="A210:A214"/>
    <mergeCell ref="B210:C214"/>
    <mergeCell ref="D210:D214"/>
    <mergeCell ref="E210:E214"/>
    <mergeCell ref="F210:F214"/>
    <mergeCell ref="G210:G214"/>
    <mergeCell ref="H210:H214"/>
    <mergeCell ref="H194:H198"/>
    <mergeCell ref="L194:L198"/>
    <mergeCell ref="M194:M198"/>
    <mergeCell ref="A199:A207"/>
    <mergeCell ref="B199:C207"/>
    <mergeCell ref="D199:D207"/>
    <mergeCell ref="E199:E207"/>
    <mergeCell ref="F199:F207"/>
    <mergeCell ref="G199:G207"/>
    <mergeCell ref="H199:H207"/>
    <mergeCell ref="G188:G193"/>
    <mergeCell ref="H188:H193"/>
    <mergeCell ref="L188:L193"/>
    <mergeCell ref="M188:M193"/>
    <mergeCell ref="A194:A198"/>
    <mergeCell ref="B194:C198"/>
    <mergeCell ref="D194:D198"/>
    <mergeCell ref="E194:E198"/>
    <mergeCell ref="F194:F198"/>
    <mergeCell ref="G194:G198"/>
    <mergeCell ref="B187:C187"/>
    <mergeCell ref="A188:A193"/>
    <mergeCell ref="B188:C193"/>
    <mergeCell ref="D188:D193"/>
    <mergeCell ref="E188:E193"/>
    <mergeCell ref="F188:F193"/>
    <mergeCell ref="M181:M183"/>
    <mergeCell ref="A184:A186"/>
    <mergeCell ref="B184:C186"/>
    <mergeCell ref="D184:D186"/>
    <mergeCell ref="E184:E186"/>
    <mergeCell ref="F184:F186"/>
    <mergeCell ref="G184:G186"/>
    <mergeCell ref="H184:H186"/>
    <mergeCell ref="L184:L186"/>
    <mergeCell ref="M184:M186"/>
    <mergeCell ref="L176:L180"/>
    <mergeCell ref="M176:M180"/>
    <mergeCell ref="A181:A183"/>
    <mergeCell ref="B181:C183"/>
    <mergeCell ref="D181:D183"/>
    <mergeCell ref="E181:E183"/>
    <mergeCell ref="F181:F183"/>
    <mergeCell ref="G181:G183"/>
    <mergeCell ref="H181:H183"/>
    <mergeCell ref="L181:L183"/>
    <mergeCell ref="H172:H175"/>
    <mergeCell ref="L172:L175"/>
    <mergeCell ref="M172:M175"/>
    <mergeCell ref="A176:A180"/>
    <mergeCell ref="B176:C180"/>
    <mergeCell ref="D176:D180"/>
    <mergeCell ref="E176:E180"/>
    <mergeCell ref="F176:F180"/>
    <mergeCell ref="G176:G180"/>
    <mergeCell ref="H176:H180"/>
    <mergeCell ref="L166:L169"/>
    <mergeCell ref="M166:M169"/>
    <mergeCell ref="B170:C170"/>
    <mergeCell ref="B171:C171"/>
    <mergeCell ref="A172:A175"/>
    <mergeCell ref="B172:C175"/>
    <mergeCell ref="D172:D175"/>
    <mergeCell ref="E172:E175"/>
    <mergeCell ref="F172:F175"/>
    <mergeCell ref="G172:G175"/>
    <mergeCell ref="L161:L164"/>
    <mergeCell ref="M161:M164"/>
    <mergeCell ref="B165:C165"/>
    <mergeCell ref="A166:A169"/>
    <mergeCell ref="B166:C169"/>
    <mergeCell ref="D166:D169"/>
    <mergeCell ref="E166:E169"/>
    <mergeCell ref="F166:F169"/>
    <mergeCell ref="G166:G169"/>
    <mergeCell ref="H166:H169"/>
    <mergeCell ref="H158:H160"/>
    <mergeCell ref="L158:L160"/>
    <mergeCell ref="M158:M160"/>
    <mergeCell ref="A161:A164"/>
    <mergeCell ref="B161:C164"/>
    <mergeCell ref="D161:D164"/>
    <mergeCell ref="E161:E164"/>
    <mergeCell ref="F161:F164"/>
    <mergeCell ref="G161:G164"/>
    <mergeCell ref="H161:H164"/>
    <mergeCell ref="A158:A160"/>
    <mergeCell ref="B158:C160"/>
    <mergeCell ref="D158:D160"/>
    <mergeCell ref="E158:E160"/>
    <mergeCell ref="F158:F160"/>
    <mergeCell ref="G158:G160"/>
    <mergeCell ref="M150:M154"/>
    <mergeCell ref="A155:A157"/>
    <mergeCell ref="B155:C157"/>
    <mergeCell ref="D155:D157"/>
    <mergeCell ref="E155:E157"/>
    <mergeCell ref="F155:F157"/>
    <mergeCell ref="G155:G157"/>
    <mergeCell ref="H155:H157"/>
    <mergeCell ref="L155:L157"/>
    <mergeCell ref="M155:M157"/>
    <mergeCell ref="L145:L149"/>
    <mergeCell ref="M145:M149"/>
    <mergeCell ref="A150:A154"/>
    <mergeCell ref="B150:C154"/>
    <mergeCell ref="D150:D154"/>
    <mergeCell ref="E150:E154"/>
    <mergeCell ref="F150:F154"/>
    <mergeCell ref="G150:G154"/>
    <mergeCell ref="H150:H154"/>
    <mergeCell ref="L150:L154"/>
    <mergeCell ref="L141:L143"/>
    <mergeCell ref="M141:M143"/>
    <mergeCell ref="B144:C144"/>
    <mergeCell ref="A145:A149"/>
    <mergeCell ref="B145:C149"/>
    <mergeCell ref="D145:D149"/>
    <mergeCell ref="E145:E149"/>
    <mergeCell ref="F145:F149"/>
    <mergeCell ref="G145:G149"/>
    <mergeCell ref="H145:H149"/>
    <mergeCell ref="H138:H140"/>
    <mergeCell ref="L138:L140"/>
    <mergeCell ref="M138:M140"/>
    <mergeCell ref="A141:A143"/>
    <mergeCell ref="B141:C143"/>
    <mergeCell ref="D141:D143"/>
    <mergeCell ref="E141:E143"/>
    <mergeCell ref="F141:F143"/>
    <mergeCell ref="G141:G143"/>
    <mergeCell ref="H141:H143"/>
    <mergeCell ref="H134:H136"/>
    <mergeCell ref="L134:L136"/>
    <mergeCell ref="M134:M136"/>
    <mergeCell ref="B137:C137"/>
    <mergeCell ref="A138:A140"/>
    <mergeCell ref="B138:C140"/>
    <mergeCell ref="D138:D140"/>
    <mergeCell ref="E138:E140"/>
    <mergeCell ref="F138:F140"/>
    <mergeCell ref="G138:G140"/>
    <mergeCell ref="A134:A136"/>
    <mergeCell ref="B134:C136"/>
    <mergeCell ref="D134:D136"/>
    <mergeCell ref="E134:E136"/>
    <mergeCell ref="F134:F136"/>
    <mergeCell ref="G134:G136"/>
    <mergeCell ref="M126:M129"/>
    <mergeCell ref="A130:A133"/>
    <mergeCell ref="B130:C133"/>
    <mergeCell ref="D130:D133"/>
    <mergeCell ref="E130:E133"/>
    <mergeCell ref="F130:F133"/>
    <mergeCell ref="G130:G133"/>
    <mergeCell ref="H130:H133"/>
    <mergeCell ref="L130:L133"/>
    <mergeCell ref="M130:M133"/>
    <mergeCell ref="L120:L125"/>
    <mergeCell ref="M120:M125"/>
    <mergeCell ref="A126:A129"/>
    <mergeCell ref="B126:C129"/>
    <mergeCell ref="D126:D129"/>
    <mergeCell ref="E126:E129"/>
    <mergeCell ref="F126:F129"/>
    <mergeCell ref="G126:G129"/>
    <mergeCell ref="H126:H129"/>
    <mergeCell ref="L126:L129"/>
    <mergeCell ref="M115:M117"/>
    <mergeCell ref="B118:C118"/>
    <mergeCell ref="B119:C119"/>
    <mergeCell ref="A120:A125"/>
    <mergeCell ref="B120:C125"/>
    <mergeCell ref="D120:D125"/>
    <mergeCell ref="E120:E125"/>
    <mergeCell ref="F120:F125"/>
    <mergeCell ref="G120:G125"/>
    <mergeCell ref="H120:H125"/>
    <mergeCell ref="L112:L114"/>
    <mergeCell ref="M112:M114"/>
    <mergeCell ref="A115:A117"/>
    <mergeCell ref="B115:C117"/>
    <mergeCell ref="D115:D117"/>
    <mergeCell ref="E115:E117"/>
    <mergeCell ref="F115:F117"/>
    <mergeCell ref="G115:G117"/>
    <mergeCell ref="H115:H117"/>
    <mergeCell ref="L115:L117"/>
    <mergeCell ref="M97:M109"/>
    <mergeCell ref="B110:C110"/>
    <mergeCell ref="B111:C111"/>
    <mergeCell ref="A112:A114"/>
    <mergeCell ref="B112:C114"/>
    <mergeCell ref="D112:D114"/>
    <mergeCell ref="E112:E114"/>
    <mergeCell ref="F112:F114"/>
    <mergeCell ref="G112:G114"/>
    <mergeCell ref="H112:H114"/>
    <mergeCell ref="L91:L96"/>
    <mergeCell ref="M91:M96"/>
    <mergeCell ref="A97:A109"/>
    <mergeCell ref="B97:C109"/>
    <mergeCell ref="D97:D109"/>
    <mergeCell ref="E97:E109"/>
    <mergeCell ref="F97:F109"/>
    <mergeCell ref="G97:G109"/>
    <mergeCell ref="H97:H109"/>
    <mergeCell ref="L97:L109"/>
    <mergeCell ref="H88:H90"/>
    <mergeCell ref="L88:L90"/>
    <mergeCell ref="M88:M90"/>
    <mergeCell ref="A91:A96"/>
    <mergeCell ref="B91:C96"/>
    <mergeCell ref="D91:D96"/>
    <mergeCell ref="E91:E96"/>
    <mergeCell ref="F91:F96"/>
    <mergeCell ref="G91:G96"/>
    <mergeCell ref="H91:H96"/>
    <mergeCell ref="H84:H86"/>
    <mergeCell ref="L84:L86"/>
    <mergeCell ref="M84:M86"/>
    <mergeCell ref="B87:C87"/>
    <mergeCell ref="A88:A90"/>
    <mergeCell ref="B88:C90"/>
    <mergeCell ref="D88:D90"/>
    <mergeCell ref="E88:E90"/>
    <mergeCell ref="F88:F90"/>
    <mergeCell ref="G88:G90"/>
    <mergeCell ref="A84:A86"/>
    <mergeCell ref="B84:C86"/>
    <mergeCell ref="D84:D86"/>
    <mergeCell ref="E84:E86"/>
    <mergeCell ref="F84:F86"/>
    <mergeCell ref="G84:G86"/>
    <mergeCell ref="M71:M76"/>
    <mergeCell ref="A77:A83"/>
    <mergeCell ref="B77:C83"/>
    <mergeCell ref="D77:D83"/>
    <mergeCell ref="E77:E83"/>
    <mergeCell ref="F77:F83"/>
    <mergeCell ref="G77:G83"/>
    <mergeCell ref="H77:H83"/>
    <mergeCell ref="L77:L83"/>
    <mergeCell ref="M77:M83"/>
    <mergeCell ref="L66:L70"/>
    <mergeCell ref="M66:M70"/>
    <mergeCell ref="A71:A76"/>
    <mergeCell ref="B71:C76"/>
    <mergeCell ref="D71:D76"/>
    <mergeCell ref="E71:E76"/>
    <mergeCell ref="F71:F76"/>
    <mergeCell ref="G71:G76"/>
    <mergeCell ref="H71:H76"/>
    <mergeCell ref="L71:L76"/>
    <mergeCell ref="H63:H65"/>
    <mergeCell ref="L63:L65"/>
    <mergeCell ref="M63:M65"/>
    <mergeCell ref="A66:A70"/>
    <mergeCell ref="B66:C70"/>
    <mergeCell ref="D66:D70"/>
    <mergeCell ref="E66:E70"/>
    <mergeCell ref="F66:F70"/>
    <mergeCell ref="G66:G70"/>
    <mergeCell ref="H66:H70"/>
    <mergeCell ref="A63:A65"/>
    <mergeCell ref="B63:C65"/>
    <mergeCell ref="D63:D65"/>
    <mergeCell ref="E63:E65"/>
    <mergeCell ref="F63:F65"/>
    <mergeCell ref="G63:G65"/>
    <mergeCell ref="M48:M50"/>
    <mergeCell ref="A51:A62"/>
    <mergeCell ref="B51:C62"/>
    <mergeCell ref="D51:D62"/>
    <mergeCell ref="E51:E62"/>
    <mergeCell ref="F51:F62"/>
    <mergeCell ref="G51:G62"/>
    <mergeCell ref="H51:H62"/>
    <mergeCell ref="L51:L62"/>
    <mergeCell ref="M51:M62"/>
    <mergeCell ref="L45:L47"/>
    <mergeCell ref="M45:M47"/>
    <mergeCell ref="A48:A50"/>
    <mergeCell ref="B48:C50"/>
    <mergeCell ref="D48:D50"/>
    <mergeCell ref="E48:E50"/>
    <mergeCell ref="F48:F50"/>
    <mergeCell ref="G48:G50"/>
    <mergeCell ref="H48:H50"/>
    <mergeCell ref="L48:L50"/>
    <mergeCell ref="H39:H44"/>
    <mergeCell ref="L39:L44"/>
    <mergeCell ref="M39:M44"/>
    <mergeCell ref="A45:A47"/>
    <mergeCell ref="B45:C47"/>
    <mergeCell ref="D45:D47"/>
    <mergeCell ref="E45:E47"/>
    <mergeCell ref="F45:F47"/>
    <mergeCell ref="G45:G47"/>
    <mergeCell ref="H45:H47"/>
    <mergeCell ref="A39:A44"/>
    <mergeCell ref="B39:C44"/>
    <mergeCell ref="D39:D44"/>
    <mergeCell ref="E39:E44"/>
    <mergeCell ref="F39:F44"/>
    <mergeCell ref="G39:G44"/>
    <mergeCell ref="M30:M33"/>
    <mergeCell ref="A34:A38"/>
    <mergeCell ref="B34:C38"/>
    <mergeCell ref="D34:D38"/>
    <mergeCell ref="E34:E38"/>
    <mergeCell ref="F34:F38"/>
    <mergeCell ref="G34:G38"/>
    <mergeCell ref="H34:H38"/>
    <mergeCell ref="L34:L38"/>
    <mergeCell ref="M34:M38"/>
    <mergeCell ref="L26:L29"/>
    <mergeCell ref="M26:M29"/>
    <mergeCell ref="A30:A33"/>
    <mergeCell ref="B30:C33"/>
    <mergeCell ref="D30:D33"/>
    <mergeCell ref="E30:E33"/>
    <mergeCell ref="F30:F33"/>
    <mergeCell ref="G30:G33"/>
    <mergeCell ref="H30:H33"/>
    <mergeCell ref="L30:L33"/>
    <mergeCell ref="H21:H25"/>
    <mergeCell ref="L21:L25"/>
    <mergeCell ref="M21:M25"/>
    <mergeCell ref="A26:A29"/>
    <mergeCell ref="B26:C29"/>
    <mergeCell ref="D26:D29"/>
    <mergeCell ref="E26:E29"/>
    <mergeCell ref="F26:F29"/>
    <mergeCell ref="G26:G29"/>
    <mergeCell ref="H26:H29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2022-03-09T07:05:39Z</dcterms:created>
  <dcterms:modified xsi:type="dcterms:W3CDTF">2022-03-09T07:05:47Z</dcterms:modified>
</cp:coreProperties>
</file>