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2" l="1"/>
  <c r="E113" i="2"/>
  <c r="F112" i="2"/>
  <c r="G112" i="2" s="1"/>
  <c r="I112" i="2" s="1"/>
  <c r="F111" i="2"/>
  <c r="G111" i="2" s="1"/>
  <c r="G110" i="2"/>
  <c r="I110" i="2" s="1"/>
  <c r="F110" i="2"/>
  <c r="F113" i="2" s="1"/>
  <c r="H108" i="2"/>
  <c r="E108" i="2"/>
  <c r="G107" i="2"/>
  <c r="I107" i="2" s="1"/>
  <c r="F107" i="2"/>
  <c r="F106" i="2"/>
  <c r="G106" i="2" s="1"/>
  <c r="I106" i="2" s="1"/>
  <c r="G105" i="2"/>
  <c r="I105" i="2" s="1"/>
  <c r="F105" i="2"/>
  <c r="I104" i="2"/>
  <c r="G104" i="2"/>
  <c r="F104" i="2"/>
  <c r="F103" i="2"/>
  <c r="F108" i="2" s="1"/>
  <c r="F102" i="2"/>
  <c r="G102" i="2" s="1"/>
  <c r="H100" i="2"/>
  <c r="E100" i="2"/>
  <c r="F99" i="2"/>
  <c r="G99" i="2" s="1"/>
  <c r="I99" i="2" s="1"/>
  <c r="F98" i="2"/>
  <c r="G98" i="2" s="1"/>
  <c r="I98" i="2" s="1"/>
  <c r="F97" i="2"/>
  <c r="F100" i="2" s="1"/>
  <c r="G96" i="2"/>
  <c r="I96" i="2" s="1"/>
  <c r="F96" i="2"/>
  <c r="H94" i="2"/>
  <c r="F94" i="2"/>
  <c r="G94" i="2" s="1"/>
  <c r="E94" i="2"/>
  <c r="G93" i="2"/>
  <c r="I93" i="2" s="1"/>
  <c r="F93" i="2"/>
  <c r="H91" i="2"/>
  <c r="I91" i="2" s="1"/>
  <c r="F91" i="2"/>
  <c r="E91" i="2"/>
  <c r="G90" i="2"/>
  <c r="I90" i="2" s="1"/>
  <c r="F90" i="2"/>
  <c r="F89" i="2"/>
  <c r="G89" i="2" s="1"/>
  <c r="I89" i="2" s="1"/>
  <c r="G88" i="2"/>
  <c r="G91" i="2" s="1"/>
  <c r="F88" i="2"/>
  <c r="H86" i="2"/>
  <c r="G85" i="2"/>
  <c r="I85" i="2" s="1"/>
  <c r="F85" i="2"/>
  <c r="I84" i="2"/>
  <c r="G84" i="2"/>
  <c r="F84" i="2"/>
  <c r="E83" i="2"/>
  <c r="E86" i="2" s="1"/>
  <c r="G82" i="2"/>
  <c r="I82" i="2" s="1"/>
  <c r="F82" i="2"/>
  <c r="H80" i="2"/>
  <c r="I80" i="2" s="1"/>
  <c r="G80" i="2"/>
  <c r="F80" i="2"/>
  <c r="E80" i="2"/>
  <c r="G79" i="2"/>
  <c r="I79" i="2" s="1"/>
  <c r="F79" i="2"/>
  <c r="H77" i="2"/>
  <c r="E77" i="2"/>
  <c r="G76" i="2"/>
  <c r="I76" i="2" s="1"/>
  <c r="F76" i="2"/>
  <c r="F75" i="2"/>
  <c r="G75" i="2" s="1"/>
  <c r="I75" i="2" s="1"/>
  <c r="G74" i="2"/>
  <c r="I74" i="2" s="1"/>
  <c r="F74" i="2"/>
  <c r="F73" i="2"/>
  <c r="G73" i="2" s="1"/>
  <c r="I73" i="2" s="1"/>
  <c r="F72" i="2"/>
  <c r="G72" i="2" s="1"/>
  <c r="F69" i="2"/>
  <c r="G69" i="2" s="1"/>
  <c r="I69" i="2" s="1"/>
  <c r="F68" i="2"/>
  <c r="G68" i="2" s="1"/>
  <c r="I68" i="2" s="1"/>
  <c r="F67" i="2"/>
  <c r="G67" i="2" s="1"/>
  <c r="I67" i="2" s="1"/>
  <c r="F66" i="2"/>
  <c r="G66" i="2" s="1"/>
  <c r="I66" i="2" s="1"/>
  <c r="H65" i="2"/>
  <c r="H70" i="2" s="1"/>
  <c r="F65" i="2"/>
  <c r="G65" i="2" s="1"/>
  <c r="E65" i="2"/>
  <c r="E70" i="2" s="1"/>
  <c r="F64" i="2"/>
  <c r="F70" i="2" s="1"/>
  <c r="H62" i="2"/>
  <c r="E62" i="2"/>
  <c r="F61" i="2"/>
  <c r="G61" i="2" s="1"/>
  <c r="I61" i="2" s="1"/>
  <c r="G60" i="2"/>
  <c r="I60" i="2" s="1"/>
  <c r="F60" i="2"/>
  <c r="F59" i="2"/>
  <c r="G59" i="2" s="1"/>
  <c r="I59" i="2" s="1"/>
  <c r="G58" i="2"/>
  <c r="I58" i="2" s="1"/>
  <c r="F58" i="2"/>
  <c r="I57" i="2"/>
  <c r="G57" i="2"/>
  <c r="F57" i="2"/>
  <c r="F56" i="2"/>
  <c r="G56" i="2" s="1"/>
  <c r="I56" i="2" s="1"/>
  <c r="F55" i="2"/>
  <c r="G55" i="2" s="1"/>
  <c r="I55" i="2" s="1"/>
  <c r="F54" i="2"/>
  <c r="G54" i="2" s="1"/>
  <c r="I54" i="2" s="1"/>
  <c r="F53" i="2"/>
  <c r="G53" i="2" s="1"/>
  <c r="I53" i="2" s="1"/>
  <c r="G52" i="2"/>
  <c r="I52" i="2" s="1"/>
  <c r="F52" i="2"/>
  <c r="F62" i="2" s="1"/>
  <c r="H50" i="2"/>
  <c r="E50" i="2"/>
  <c r="G49" i="2"/>
  <c r="I49" i="2" s="1"/>
  <c r="F49" i="2"/>
  <c r="F48" i="2"/>
  <c r="G48" i="2" s="1"/>
  <c r="I48" i="2" s="1"/>
  <c r="G47" i="2"/>
  <c r="I47" i="2" s="1"/>
  <c r="F47" i="2"/>
  <c r="I46" i="2"/>
  <c r="G46" i="2"/>
  <c r="F46" i="2"/>
  <c r="F45" i="2"/>
  <c r="G45" i="2" s="1"/>
  <c r="I45" i="2" s="1"/>
  <c r="F44" i="2"/>
  <c r="G44" i="2" s="1"/>
  <c r="I44" i="2" s="1"/>
  <c r="F43" i="2"/>
  <c r="G43" i="2" s="1"/>
  <c r="I43" i="2" s="1"/>
  <c r="F42" i="2"/>
  <c r="G42" i="2" s="1"/>
  <c r="G41" i="2"/>
  <c r="I41" i="2" s="1"/>
  <c r="F41" i="2"/>
  <c r="H39" i="2"/>
  <c r="E39" i="2"/>
  <c r="G38" i="2"/>
  <c r="I38" i="2" s="1"/>
  <c r="F38" i="2"/>
  <c r="F37" i="2"/>
  <c r="G37" i="2" s="1"/>
  <c r="I37" i="2" s="1"/>
  <c r="G36" i="2"/>
  <c r="I36" i="2" s="1"/>
  <c r="F36" i="2"/>
  <c r="I35" i="2"/>
  <c r="G35" i="2"/>
  <c r="F35" i="2"/>
  <c r="F34" i="2"/>
  <c r="F39" i="2" s="1"/>
  <c r="F33" i="2"/>
  <c r="G33" i="2" s="1"/>
  <c r="I33" i="2" s="1"/>
  <c r="F32" i="2"/>
  <c r="G32" i="2" s="1"/>
  <c r="H30" i="2"/>
  <c r="E30" i="2"/>
  <c r="E114" i="2" s="1"/>
  <c r="F29" i="2"/>
  <c r="G29" i="2" s="1"/>
  <c r="I29" i="2" s="1"/>
  <c r="F28" i="2"/>
  <c r="G28" i="2" s="1"/>
  <c r="I28" i="2" s="1"/>
  <c r="G27" i="2"/>
  <c r="I27" i="2" s="1"/>
  <c r="F27" i="2"/>
  <c r="F26" i="2"/>
  <c r="G26" i="2" s="1"/>
  <c r="I26" i="2" s="1"/>
  <c r="G25" i="2"/>
  <c r="I25" i="2" s="1"/>
  <c r="F25" i="2"/>
  <c r="I24" i="2"/>
  <c r="G24" i="2"/>
  <c r="F24" i="2"/>
  <c r="F23" i="2"/>
  <c r="G23" i="2" s="1"/>
  <c r="I23" i="2" s="1"/>
  <c r="I22" i="2"/>
  <c r="G22" i="2"/>
  <c r="I21" i="2"/>
  <c r="G21" i="2"/>
  <c r="F21" i="2"/>
  <c r="F20" i="2"/>
  <c r="G20" i="2" s="1"/>
  <c r="I20" i="2" s="1"/>
  <c r="F19" i="2"/>
  <c r="G19" i="2" s="1"/>
  <c r="I19" i="2" s="1"/>
  <c r="I18" i="2"/>
  <c r="G18" i="2"/>
  <c r="F17" i="2"/>
  <c r="G17" i="2" s="1"/>
  <c r="I17" i="2" s="1"/>
  <c r="F16" i="2"/>
  <c r="G16" i="2" s="1"/>
  <c r="I16" i="2" s="1"/>
  <c r="F15" i="2"/>
  <c r="F30" i="2" s="1"/>
  <c r="H13" i="2"/>
  <c r="H114" i="2" s="1"/>
  <c r="I12" i="2"/>
  <c r="G12" i="2"/>
  <c r="F12" i="2"/>
  <c r="F11" i="2"/>
  <c r="G11" i="2" s="1"/>
  <c r="I11" i="2" s="1"/>
  <c r="F10" i="2"/>
  <c r="G10" i="2" s="1"/>
  <c r="I10" i="2" s="1"/>
  <c r="F9" i="2"/>
  <c r="G9" i="2" s="1"/>
  <c r="I9" i="2" s="1"/>
  <c r="F8" i="2"/>
  <c r="G8" i="2" s="1"/>
  <c r="I8" i="2" s="1"/>
  <c r="G7" i="2"/>
  <c r="I7" i="2" s="1"/>
  <c r="F7" i="2"/>
  <c r="F6" i="2"/>
  <c r="F13" i="2" s="1"/>
  <c r="F41" i="1"/>
  <c r="E41" i="1"/>
  <c r="D41" i="1"/>
  <c r="C41" i="1"/>
  <c r="A41" i="1"/>
  <c r="E40" i="1"/>
  <c r="D40" i="1"/>
  <c r="C40" i="1"/>
  <c r="A40" i="1"/>
  <c r="E39" i="1"/>
  <c r="D39" i="1"/>
  <c r="C39" i="1"/>
  <c r="A39" i="1"/>
  <c r="F38" i="1"/>
  <c r="E38" i="1"/>
  <c r="D38" i="1"/>
  <c r="C38" i="1"/>
  <c r="A38" i="1"/>
  <c r="E37" i="1"/>
  <c r="D37" i="1"/>
  <c r="C37" i="1"/>
  <c r="A37" i="1"/>
  <c r="F36" i="1"/>
  <c r="E36" i="1"/>
  <c r="D36" i="1"/>
  <c r="C36" i="1"/>
  <c r="A36" i="1"/>
  <c r="E35" i="1"/>
  <c r="D35" i="1"/>
  <c r="C35" i="1"/>
  <c r="A35" i="1"/>
  <c r="E34" i="1"/>
  <c r="D34" i="1"/>
  <c r="C34" i="1"/>
  <c r="A34" i="1"/>
  <c r="F33" i="1"/>
  <c r="E33" i="1"/>
  <c r="D33" i="1"/>
  <c r="C33" i="1"/>
  <c r="A33" i="1"/>
  <c r="E32" i="1"/>
  <c r="D32" i="1"/>
  <c r="C32" i="1"/>
  <c r="A32" i="1"/>
  <c r="E31" i="1"/>
  <c r="D31" i="1"/>
  <c r="C31" i="1"/>
  <c r="A31" i="1"/>
  <c r="F30" i="1"/>
  <c r="E30" i="1"/>
  <c r="D30" i="1"/>
  <c r="C30" i="1"/>
  <c r="A30" i="1"/>
  <c r="E29" i="1"/>
  <c r="D29" i="1"/>
  <c r="C29" i="1"/>
  <c r="A29" i="1"/>
  <c r="F28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I19" i="1"/>
  <c r="F19" i="1"/>
  <c r="G19" i="1" s="1"/>
  <c r="H19" i="1" s="1"/>
  <c r="E19" i="1"/>
  <c r="F18" i="1"/>
  <c r="F40" i="1" s="1"/>
  <c r="G17" i="1"/>
  <c r="H17" i="1" s="1"/>
  <c r="F17" i="1"/>
  <c r="F39" i="1" s="1"/>
  <c r="H16" i="1"/>
  <c r="G16" i="1"/>
  <c r="F16" i="1"/>
  <c r="F15" i="1"/>
  <c r="F37" i="1" s="1"/>
  <c r="F14" i="1"/>
  <c r="G14" i="1" s="1"/>
  <c r="H14" i="1" s="1"/>
  <c r="F13" i="1"/>
  <c r="G13" i="1" s="1"/>
  <c r="H13" i="1" s="1"/>
  <c r="F12" i="1"/>
  <c r="F34" i="1" s="1"/>
  <c r="G11" i="1"/>
  <c r="H11" i="1" s="1"/>
  <c r="F11" i="1"/>
  <c r="F10" i="1"/>
  <c r="F32" i="1" s="1"/>
  <c r="G9" i="1"/>
  <c r="H9" i="1" s="1"/>
  <c r="F9" i="1"/>
  <c r="F31" i="1" s="1"/>
  <c r="H8" i="1"/>
  <c r="G8" i="1"/>
  <c r="F8" i="1"/>
  <c r="F7" i="1"/>
  <c r="F29" i="1" s="1"/>
  <c r="F6" i="1"/>
  <c r="G6" i="1" s="1"/>
  <c r="H6" i="1" s="1"/>
  <c r="F5" i="1"/>
  <c r="G5" i="1" s="1"/>
  <c r="H5" i="1" s="1"/>
  <c r="G77" i="2" l="1"/>
  <c r="I72" i="2"/>
  <c r="I77" i="2"/>
  <c r="I50" i="2"/>
  <c r="G50" i="2"/>
  <c r="I42" i="2"/>
  <c r="I32" i="2"/>
  <c r="G39" i="2"/>
  <c r="I39" i="2" s="1"/>
  <c r="G113" i="2"/>
  <c r="I111" i="2"/>
  <c r="I94" i="2"/>
  <c r="I102" i="2"/>
  <c r="I113" i="2"/>
  <c r="F50" i="2"/>
  <c r="G64" i="2"/>
  <c r="F77" i="2"/>
  <c r="F83" i="2"/>
  <c r="I88" i="2"/>
  <c r="G97" i="2"/>
  <c r="G15" i="1"/>
  <c r="H15" i="1" s="1"/>
  <c r="G18" i="1"/>
  <c r="H18" i="1" s="1"/>
  <c r="F27" i="1"/>
  <c r="F35" i="1"/>
  <c r="G6" i="2"/>
  <c r="G34" i="2"/>
  <c r="I34" i="2" s="1"/>
  <c r="G103" i="2"/>
  <c r="I103" i="2" s="1"/>
  <c r="G10" i="1"/>
  <c r="H10" i="1" s="1"/>
  <c r="G15" i="2"/>
  <c r="G7" i="1"/>
  <c r="H7" i="1" s="1"/>
  <c r="G62" i="2"/>
  <c r="I62" i="2" s="1"/>
  <c r="G12" i="1"/>
  <c r="H12" i="1" s="1"/>
  <c r="I65" i="2"/>
  <c r="G70" i="2" l="1"/>
  <c r="I70" i="2" s="1"/>
  <c r="I64" i="2"/>
  <c r="G30" i="2"/>
  <c r="I30" i="2" s="1"/>
  <c r="I15" i="2"/>
  <c r="G100" i="2"/>
  <c r="I100" i="2" s="1"/>
  <c r="I97" i="2"/>
  <c r="G108" i="2"/>
  <c r="I108" i="2" s="1"/>
  <c r="G13" i="2"/>
  <c r="I6" i="2"/>
  <c r="G83" i="2"/>
  <c r="F86" i="2"/>
  <c r="F114" i="2" s="1"/>
  <c r="I83" i="2" l="1"/>
  <c r="G86" i="2"/>
  <c r="I86" i="2" s="1"/>
  <c r="G114" i="2"/>
  <c r="I114" i="2" s="1"/>
  <c r="I13" i="2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  <scheme val="minor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<sst xmlns="http://schemas.openxmlformats.org/spreadsheetml/2006/main" count="428" uniqueCount="232">
  <si>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</si>
  <si>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</si>
  <si>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</si>
  <si>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</si>
  <si>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</si>
  <si>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</si>
  <si>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</si>
  <si>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</si>
  <si>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</si>
  <si>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</si>
  <si>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</si>
  <si>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</si>
  <si>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</si>
  <si>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</si>
  <si>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</si>
  <si>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</si>
  <si>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</si>
  <si>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</si>
  <si>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จำนวนผู้สำเร็จการศึกษา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</si>
  <si>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</si>
  <si>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</si>
  <si>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</si>
  <si>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</si>
  <si>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</si>
  <si>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</si>
  <si>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</si>
  <si>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</si>
  <si>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</si>
  <si>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</si>
  <si>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</si>
  <si>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</si>
  <si>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</si>
  <si>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</si>
  <si>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</si>
  <si>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</si>
  <si>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</si>
  <si>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</si>
  <si>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</si>
  <si>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</si>
  <si>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</si>
  <si>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</si>
  <si>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</si>
  <si>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</si>
  <si>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</si>
  <si>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</si>
  <si>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</si>
  <si>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</si>
  <si>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</si>
  <si>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</si>
  <si>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</si>
  <si>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</si>
  <si>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</si>
  <si>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</si>
  <si>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</si>
  <si>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</si>
  <si>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</si>
  <si>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</si>
  <si>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</si>
  <si>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</si>
  <si>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</si>
  <si>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</si>
  <si>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</si>
  <si>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</si>
  <si>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</si>
  <si>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</si>
  <si>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</si>
  <si>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</si>
  <si>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</si>
  <si>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</si>
  <si>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</si>
  <si>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</si>
  <si>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</si>
  <si>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</si>
  <si>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</si>
  <si>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กลุ่มอุตสาหกรรม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</si>
  <si>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</si>
  <si>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</si>
  <si>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</si>
  <si>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</si>
  <si>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อุตสาหกรรมพัฒนาบุคลากรและการศึกษา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</si>
  <si>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</si>
  <si>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</si>
  <si>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</si>
  <si>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</si>
  <si>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</si>
  <si>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</si>
  <si>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</si>
  <si>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</si>
  <si>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</si>
  <si>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</si>
  <si>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</si>
  <si>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</si>
  <si>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อุตสาหกรรมดิจิทัล</t>
  </si>
  <si>
    <t>จุลชีววิทยาอุตสาหกรรม</t>
  </si>
  <si>
    <t>หลักสูตรปรับปรุง พ.ศ.2558</t>
  </si>
  <si>
    <t>อุตสาหกรรมอาหารสำหรับอนาคต</t>
  </si>
  <si>
    <t>เคมี</t>
  </si>
  <si>
    <t>อุตสาหกรรมด้านพลังงาน วัสดุ เชื้อเพลิงชีวภาพและเคมีชีวภาพ</t>
  </si>
  <si>
    <t>คณิตศาสตร์สารสนเทศ</t>
  </si>
  <si>
    <t>เทคโนโลยีชีวภาพ</t>
  </si>
  <si>
    <t>สถิติประยุกต์</t>
  </si>
  <si>
    <t xml:space="preserve">อุตสาหกรรมดิจิทัล 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</si>
  <si>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</si>
  <si>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</si>
  <si>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</si>
  <si>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</si>
  <si>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</si>
  <si>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>สาขาที่ตอบโจทย์ความต้องการของประเทศในอนาคต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</si>
  <si>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</si>
  <si>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</si>
  <si>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</si>
  <si>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</si>
  <si>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</si>
  <si>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</si>
  <si>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 xml:space="preserve">อุตสาหกรรมการแพทย์ครบวงจร 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</si>
  <si>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</si>
  <si>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</si>
  <si>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</si>
  <si>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</si>
  <si>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สาขาด้านมนุษศาสตร์และสังคมศาสตร์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</si>
  <si>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</si>
  <si>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</si>
  <si>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</si>
  <si>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</si>
  <si>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</si>
  <si>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</si>
  <si>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</si>
  <si>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</si>
  <si>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</si>
  <si>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</si>
  <si>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</si>
  <si>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</si>
  <si>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</si>
  <si>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</si>
  <si>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</si>
  <si>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</si>
  <si>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</si>
  <si>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</si>
  <si>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</si>
  <si>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</si>
  <si>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</si>
  <si>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</si>
  <si>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</si>
  <si>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</si>
  <si>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</si>
  <si>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</si>
  <si>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</si>
  <si>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</si>
  <si>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</si>
  <si>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</si>
  <si>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อุตสาหกรรมหุ่นยนต์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</si>
  <si>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</si>
  <si>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</si>
  <si>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</si>
  <si>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>อุตสาหกรรมการบินและโลจิสติกส์</t>
  </si>
  <si>
    <t xml:space="preserve">การออกแบบผลิตภัณฑ์อุตสาหกรรม </t>
  </si>
  <si>
    <t xml:space="preserve">อุตสาหกรรมอิเล็กทรอนิกส์อัจฉริยะ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</si>
  <si>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</si>
  <si>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</si>
  <si>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</si>
  <si>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</si>
  <si>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</si>
  <si>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</si>
  <si>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</si>
  <si>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</si>
  <si>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</si>
  <si>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</si>
  <si>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</si>
  <si>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</si>
  <si>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</si>
  <si>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</si>
  <si>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</si>
  <si>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</si>
  <si>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</si>
  <si>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</si>
  <si>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</si>
  <si>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</si>
  <si>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</si>
  <si>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</si>
  <si>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</si>
  <si>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</si>
  <si>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</si>
  <si>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</si>
  <si>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</si>
  <si>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</si>
  <si>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</si>
  <si>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</si>
  <si>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</si>
  <si>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</si>
  <si>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</si>
  <si>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</si>
  <si>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</si>
  <si>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</si>
  <si>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</si>
  <si>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</si>
  <si>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</si>
  <si>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</si>
  <si>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</si>
  <si>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</si>
  <si>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</si>
  <si>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</si>
  <si>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</si>
  <si>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</si>
  <si>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</si>
  <si>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อุตสาหกรรมการท่องเที่ยวกลุ่มรายได้ดีและท่องเที่ยวเชิงสุขภาพ 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</si>
  <si>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</si>
  <si>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</si>
  <si>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</si>
  <si>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</si>
  <si>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</si>
  <si>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</si>
  <si>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</si>
  <si>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</si>
  <si>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</si>
  <si>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</si>
  <si>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</si>
  <si>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</si>
  <si>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</si>
  <si>
    <t xml:space="preserve">หมายเหตุ ใช้จำนวนนักศึกษาที่คาดว่าจะสำเร็จการศึกษา 70% -ของนักศึกษาแรกเข้าทั้งหมดเป็นตัวหารเพื่อหาร้อยละ </t>
  </si>
  <si>
    <t>จำนวนสาขา</t>
  </si>
  <si>
    <t>จำนวนนักศึกษา (คน)</t>
  </si>
  <si>
    <t>อุตสาหกรรมเชื่อเพลิงชีวภาพและเคมีชีวภาพ</t>
  </si>
  <si>
    <t>อุตสาหกรรมการบินและโลจิสดิกส์</t>
  </si>
  <si>
    <t>อุตสาหกรรมการแพทย์ครบวงจร</t>
  </si>
  <si>
    <t>อุตสาหกรรมยานยนต์แห่งอนาคต</t>
  </si>
  <si>
    <t>อุตสาหกรรมอิเล็กทรอนิกส์อัจฉริยะ</t>
  </si>
  <si>
    <t>อุตสาหกรรมการท่องเที่ยวกลุ่มผู้มีรายได้สูงและการท่องเที่ยวเชิงสุขภาพ</t>
  </si>
  <si>
    <t>อุตสาหกรรมการเกษตรและเทคโนโลยี</t>
  </si>
  <si>
    <t>อุตสาหกรรมอาหารแห่งอนาคต</t>
  </si>
  <si>
    <t>อุตสาหกรรมป้องกันประเทศ</t>
  </si>
  <si>
    <t>สาขาวิชาที่มุ่งเน้นการขับเคลื่อนเศรษฐกิจ</t>
  </si>
  <si>
    <t>สาขาด้านมนุษยศาสตร์และสังคมศาสตร์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</si>
</sst>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00B0F0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theme="7"/>
      </patternFill>
    </fill>
    <fill>
      <patternFill patternType="solid">
        <fgColor rgb="FFF088C6"/>
        <bgColor rgb="FFF088C6"/>
      </patternFill>
    </fill>
    <fill>
      <patternFill patternType="solid">
        <fgColor rgb="FFF4B083"/>
        <bgColor rgb="FFF4B083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rgb="FFAEABAB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9" fillId="0" borderId="0"/>
  </cellStyleXfs>
  <cellXfs count="25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2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0" borderId="13" xfId="0" applyFont="1" applyBorder="1"/>
    <xf numFmtId="187" fontId="11" fillId="4" borderId="14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/>
    </xf>
    <xf numFmtId="2" fontId="1" fillId="4" borderId="13" xfId="0" applyNumberFormat="1" applyFont="1" applyFill="1" applyBorder="1" applyAlignment="1">
      <alignment horizontal="center" vertical="top" wrapText="1"/>
    </xf>
    <xf numFmtId="188" fontId="1" fillId="4" borderId="12" xfId="0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1" fontId="1" fillId="4" borderId="0" xfId="0" applyNumberFormat="1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1" fillId="4" borderId="7" xfId="0" applyFont="1" applyFill="1" applyBorder="1" applyAlignment="1">
      <alignment horizontal="left" vertical="top" wrapText="1"/>
    </xf>
    <xf numFmtId="187" fontId="11" fillId="4" borderId="16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2" fontId="1" fillId="4" borderId="17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top" wrapText="1"/>
    </xf>
    <xf numFmtId="187" fontId="14" fillId="3" borderId="10" xfId="0" applyNumberFormat="1" applyFont="1" applyFill="1" applyBorder="1" applyAlignment="1">
      <alignment horizontal="center" vertical="top" wrapText="1"/>
    </xf>
    <xf numFmtId="1" fontId="14" fillId="3" borderId="12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188" fontId="3" fillId="3" borderId="12" xfId="0" applyNumberFormat="1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2" fillId="4" borderId="0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0" fontId="16" fillId="8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6" fillId="0" borderId="4" xfId="0" applyFont="1" applyBorder="1"/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7" fillId="10" borderId="0" xfId="0" applyFont="1" applyFill="1" applyBorder="1"/>
    <xf numFmtId="0" fontId="4" fillId="10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/>
    </xf>
    <xf numFmtId="0" fontId="1" fillId="4" borderId="0" xfId="1" applyFont="1" applyFill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5" fillId="5" borderId="1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left" vertical="top"/>
    </xf>
    <xf numFmtId="0" fontId="2" fillId="4" borderId="0" xfId="1" applyFont="1" applyFill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3" fontId="22" fillId="11" borderId="7" xfId="0" applyNumberFormat="1" applyFont="1" applyFill="1" applyBorder="1" applyAlignment="1">
      <alignment horizontal="center" vertical="center" wrapText="1"/>
    </xf>
    <xf numFmtId="0" fontId="1" fillId="12" borderId="11" xfId="1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left" vertical="center"/>
    </xf>
    <xf numFmtId="0" fontId="6" fillId="0" borderId="20" xfId="0" applyFont="1" applyBorder="1"/>
    <xf numFmtId="0" fontId="3" fillId="13" borderId="6" xfId="0" applyFont="1" applyFill="1" applyBorder="1" applyAlignment="1">
      <alignment vertical="center"/>
    </xf>
    <xf numFmtId="0" fontId="1" fillId="13" borderId="18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4" borderId="0" xfId="1" applyFont="1" applyFill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1" fillId="14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3" fillId="15" borderId="25" xfId="0" applyFont="1" applyFill="1" applyBorder="1" applyAlignment="1">
      <alignment vertical="center"/>
    </xf>
    <xf numFmtId="0" fontId="3" fillId="15" borderId="26" xfId="0" applyFont="1" applyFill="1" applyBorder="1" applyAlignment="1">
      <alignment vertical="center"/>
    </xf>
    <xf numFmtId="0" fontId="3" fillId="15" borderId="22" xfId="0" applyFont="1" applyFill="1" applyBorder="1" applyAlignment="1">
      <alignment horizontal="center"/>
    </xf>
    <xf numFmtId="1" fontId="3" fillId="15" borderId="22" xfId="0" applyNumberFormat="1" applyFont="1" applyFill="1" applyBorder="1" applyAlignment="1">
      <alignment horizontal="center"/>
    </xf>
    <xf numFmtId="2" fontId="3" fillId="16" borderId="22" xfId="0" applyNumberFormat="1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left" vertical="center"/>
    </xf>
    <xf numFmtId="0" fontId="6" fillId="0" borderId="25" xfId="0" applyFont="1" applyBorder="1"/>
    <xf numFmtId="0" fontId="1" fillId="13" borderId="26" xfId="0" applyFont="1" applyFill="1" applyBorder="1" applyAlignment="1">
      <alignment horizontal="left" vertical="center"/>
    </xf>
    <xf numFmtId="0" fontId="1" fillId="13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21" fillId="17" borderId="22" xfId="1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1" fontId="3" fillId="17" borderId="24" xfId="1" applyNumberFormat="1" applyFont="1" applyFill="1" applyBorder="1" applyAlignment="1">
      <alignment horizontal="center"/>
    </xf>
    <xf numFmtId="1" fontId="21" fillId="17" borderId="24" xfId="1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1" fontId="2" fillId="0" borderId="24" xfId="1" applyNumberFormat="1" applyFont="1" applyBorder="1" applyAlignment="1">
      <alignment horizontal="center"/>
    </xf>
    <xf numFmtId="1" fontId="1" fillId="0" borderId="24" xfId="1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1" fontId="1" fillId="0" borderId="29" xfId="0" applyNumberFormat="1" applyFont="1" applyBorder="1" applyAlignment="1">
      <alignment horizontal="center"/>
    </xf>
    <xf numFmtId="1" fontId="2" fillId="0" borderId="29" xfId="1" applyNumberFormat="1" applyFont="1" applyBorder="1" applyAlignment="1">
      <alignment horizontal="center"/>
    </xf>
    <xf numFmtId="0" fontId="3" fillId="18" borderId="25" xfId="0" applyFont="1" applyFill="1" applyBorder="1" applyAlignment="1">
      <alignment vertical="center"/>
    </xf>
    <xf numFmtId="0" fontId="3" fillId="18" borderId="26" xfId="0" applyFont="1" applyFill="1" applyBorder="1" applyAlignment="1">
      <alignment vertical="center"/>
    </xf>
    <xf numFmtId="0" fontId="3" fillId="18" borderId="22" xfId="0" applyFont="1" applyFill="1" applyBorder="1" applyAlignment="1">
      <alignment horizontal="center"/>
    </xf>
    <xf numFmtId="1" fontId="3" fillId="18" borderId="22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 vertical="center"/>
    </xf>
    <xf numFmtId="1" fontId="1" fillId="4" borderId="24" xfId="0" applyNumberFormat="1" applyFont="1" applyFill="1" applyBorder="1" applyAlignment="1">
      <alignment horizontal="center"/>
    </xf>
    <xf numFmtId="1" fontId="2" fillId="17" borderId="24" xfId="1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vertical="center"/>
    </xf>
    <xf numFmtId="1" fontId="3" fillId="0" borderId="22" xfId="0" applyNumberFormat="1" applyFont="1" applyBorder="1" applyAlignment="1">
      <alignment horizontal="center"/>
    </xf>
    <xf numFmtId="0" fontId="3" fillId="19" borderId="25" xfId="0" applyFont="1" applyFill="1" applyBorder="1" applyAlignment="1">
      <alignment horizontal="left" vertical="center" wrapText="1"/>
    </xf>
    <xf numFmtId="49" fontId="3" fillId="19" borderId="25" xfId="0" applyNumberFormat="1" applyFont="1" applyFill="1" applyBorder="1" applyAlignment="1">
      <alignment vertical="center" wrapText="1"/>
    </xf>
    <xf numFmtId="0" fontId="1" fillId="19" borderId="26" xfId="0" applyFont="1" applyFill="1" applyBorder="1" applyAlignment="1">
      <alignment vertical="center" wrapText="1"/>
    </xf>
    <xf numFmtId="0" fontId="3" fillId="19" borderId="27" xfId="0" applyFont="1" applyFill="1" applyBorder="1" applyAlignment="1">
      <alignment horizontal="center"/>
    </xf>
    <xf numFmtId="1" fontId="3" fillId="19" borderId="27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23" fillId="0" borderId="24" xfId="1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/>
    </xf>
    <xf numFmtId="0" fontId="3" fillId="20" borderId="25" xfId="0" applyFont="1" applyFill="1" applyBorder="1" applyAlignment="1">
      <alignment vertical="center"/>
    </xf>
    <xf numFmtId="0" fontId="3" fillId="20" borderId="26" xfId="0" applyFont="1" applyFill="1" applyBorder="1" applyAlignment="1">
      <alignment vertical="center"/>
    </xf>
    <xf numFmtId="0" fontId="3" fillId="20" borderId="22" xfId="0" applyFont="1" applyFill="1" applyBorder="1" applyAlignment="1">
      <alignment horizontal="center"/>
    </xf>
    <xf numFmtId="1" fontId="3" fillId="20" borderId="22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1" fontId="21" fillId="0" borderId="24" xfId="1" applyNumberFormat="1" applyFont="1" applyBorder="1" applyAlignment="1">
      <alignment horizontal="center"/>
    </xf>
    <xf numFmtId="0" fontId="1" fillId="4" borderId="25" xfId="0" applyFont="1" applyFill="1" applyBorder="1" applyAlignment="1">
      <alignment vertical="center" wrapText="1"/>
    </xf>
    <xf numFmtId="1" fontId="3" fillId="0" borderId="24" xfId="1" applyNumberFormat="1" applyFont="1" applyBorder="1" applyAlignment="1">
      <alignment horizontal="center"/>
    </xf>
    <xf numFmtId="0" fontId="3" fillId="5" borderId="25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/>
    </xf>
    <xf numFmtId="1" fontId="3" fillId="5" borderId="22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left" vertical="center"/>
    </xf>
    <xf numFmtId="1" fontId="24" fillId="0" borderId="24" xfId="1" applyNumberFormat="1" applyFont="1" applyBorder="1" applyAlignment="1">
      <alignment horizontal="center"/>
    </xf>
    <xf numFmtId="0" fontId="3" fillId="21" borderId="25" xfId="0" applyFont="1" applyFill="1" applyBorder="1" applyAlignment="1">
      <alignment vertical="center"/>
    </xf>
    <xf numFmtId="0" fontId="3" fillId="21" borderId="26" xfId="0" applyFont="1" applyFill="1" applyBorder="1" applyAlignment="1">
      <alignment vertical="center"/>
    </xf>
    <xf numFmtId="0" fontId="3" fillId="21" borderId="22" xfId="0" applyFont="1" applyFill="1" applyBorder="1" applyAlignment="1">
      <alignment horizontal="center"/>
    </xf>
    <xf numFmtId="1" fontId="3" fillId="21" borderId="22" xfId="0" applyNumberFormat="1" applyFont="1" applyFill="1" applyBorder="1" applyAlignment="1">
      <alignment horizontal="center"/>
    </xf>
    <xf numFmtId="2" fontId="1" fillId="22" borderId="2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3" fillId="16" borderId="25" xfId="0" applyFont="1" applyFill="1" applyBorder="1" applyAlignment="1">
      <alignment vertical="center"/>
    </xf>
    <xf numFmtId="0" fontId="3" fillId="16" borderId="26" xfId="0" applyFont="1" applyFill="1" applyBorder="1" applyAlignment="1">
      <alignment vertical="center"/>
    </xf>
    <xf numFmtId="0" fontId="3" fillId="16" borderId="22" xfId="0" applyFont="1" applyFill="1" applyBorder="1" applyAlignment="1">
      <alignment horizontal="center"/>
    </xf>
    <xf numFmtId="1" fontId="3" fillId="16" borderId="24" xfId="0" applyNumberFormat="1" applyFont="1" applyFill="1" applyBorder="1" applyAlignment="1">
      <alignment horizontal="center"/>
    </xf>
    <xf numFmtId="0" fontId="3" fillId="11" borderId="25" xfId="0" applyFont="1" applyFill="1" applyBorder="1" applyAlignment="1">
      <alignment vertical="center"/>
    </xf>
    <xf numFmtId="0" fontId="3" fillId="11" borderId="26" xfId="0" applyFont="1" applyFill="1" applyBorder="1" applyAlignment="1">
      <alignment vertical="center"/>
    </xf>
    <xf numFmtId="1" fontId="3" fillId="11" borderId="22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1" fillId="5" borderId="28" xfId="0" applyNumberFormat="1" applyFont="1" applyFill="1" applyBorder="1" applyAlignment="1">
      <alignment horizontal="center"/>
    </xf>
    <xf numFmtId="1" fontId="3" fillId="5" borderId="21" xfId="0" applyNumberFormat="1" applyFont="1" applyFill="1" applyBorder="1" applyAlignment="1">
      <alignment horizontal="center"/>
    </xf>
    <xf numFmtId="0" fontId="25" fillId="4" borderId="0" xfId="0" applyFont="1" applyFill="1" applyBorder="1"/>
    <xf numFmtId="0" fontId="3" fillId="20" borderId="23" xfId="0" applyFont="1" applyFill="1" applyBorder="1" applyAlignment="1">
      <alignment horizontal="center"/>
    </xf>
    <xf numFmtId="1" fontId="3" fillId="20" borderId="23" xfId="0" applyNumberFormat="1" applyFont="1" applyFill="1" applyBorder="1" applyAlignment="1">
      <alignment horizontal="center"/>
    </xf>
    <xf numFmtId="1" fontId="1" fillId="13" borderId="24" xfId="0" applyNumberFormat="1" applyFont="1" applyFill="1" applyBorder="1" applyAlignment="1">
      <alignment horizontal="center"/>
    </xf>
    <xf numFmtId="1" fontId="1" fillId="13" borderId="22" xfId="0" applyNumberFormat="1" applyFont="1" applyFill="1" applyBorder="1" applyAlignment="1">
      <alignment horizontal="center"/>
    </xf>
    <xf numFmtId="0" fontId="3" fillId="23" borderId="25" xfId="0" applyFont="1" applyFill="1" applyBorder="1" applyAlignment="1">
      <alignment vertical="center"/>
    </xf>
    <xf numFmtId="0" fontId="3" fillId="23" borderId="26" xfId="0" applyFont="1" applyFill="1" applyBorder="1" applyAlignment="1">
      <alignment vertical="center"/>
    </xf>
    <xf numFmtId="0" fontId="3" fillId="23" borderId="22" xfId="0" applyFont="1" applyFill="1" applyBorder="1" applyAlignment="1">
      <alignment horizontal="center"/>
    </xf>
    <xf numFmtId="1" fontId="3" fillId="23" borderId="22" xfId="0" applyNumberFormat="1" applyFont="1" applyFill="1" applyBorder="1" applyAlignment="1">
      <alignment horizontal="center"/>
    </xf>
    <xf numFmtId="2" fontId="1" fillId="16" borderId="22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2" fillId="24" borderId="24" xfId="1" applyFont="1" applyFill="1" applyBorder="1" applyAlignment="1">
      <alignment horizontal="center"/>
    </xf>
    <xf numFmtId="0" fontId="1" fillId="24" borderId="24" xfId="1" applyFont="1" applyFill="1" applyBorder="1" applyAlignment="1">
      <alignment horizontal="center"/>
    </xf>
    <xf numFmtId="1" fontId="3" fillId="20" borderId="27" xfId="0" applyNumberFormat="1" applyFont="1" applyFill="1" applyBorder="1" applyAlignment="1">
      <alignment horizontal="center"/>
    </xf>
    <xf numFmtId="1" fontId="3" fillId="20" borderId="31" xfId="0" applyNumberFormat="1" applyFont="1" applyFill="1" applyBorder="1" applyAlignment="1">
      <alignment horizontal="center"/>
    </xf>
    <xf numFmtId="2" fontId="3" fillId="16" borderId="31" xfId="0" applyNumberFormat="1" applyFont="1" applyFill="1" applyBorder="1" applyAlignment="1">
      <alignment horizontal="center"/>
    </xf>
    <xf numFmtId="0" fontId="8" fillId="4" borderId="0" xfId="1" applyFont="1" applyFill="1"/>
    <xf numFmtId="0" fontId="3" fillId="0" borderId="0" xfId="0" applyFont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" fontId="3" fillId="6" borderId="36" xfId="0" applyNumberFormat="1" applyFont="1" applyFill="1" applyBorder="1" applyAlignment="1">
      <alignment horizontal="center"/>
    </xf>
    <xf numFmtId="1" fontId="3" fillId="6" borderId="37" xfId="0" applyNumberFormat="1" applyFont="1" applyFill="1" applyBorder="1" applyAlignment="1">
      <alignment horizontal="center"/>
    </xf>
    <xf numFmtId="2" fontId="3" fillId="6" borderId="3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5" borderId="0" xfId="0" applyFont="1" applyFill="1" applyBorder="1"/>
    <xf numFmtId="0" fontId="25" fillId="15" borderId="0" xfId="0" applyFont="1" applyFill="1" applyBorder="1"/>
    <xf numFmtId="0" fontId="26" fillId="0" borderId="0" xfId="0" applyFont="1"/>
    <xf numFmtId="0" fontId="14" fillId="0" borderId="11" xfId="1" applyFont="1" applyBorder="1" applyAlignment="1">
      <alignment horizontal="right" vertical="center"/>
    </xf>
    <xf numFmtId="0" fontId="14" fillId="0" borderId="11" xfId="1" applyFont="1" applyBorder="1" applyAlignment="1">
      <alignment horizontal="center" vertical="center"/>
    </xf>
    <xf numFmtId="0" fontId="1" fillId="0" borderId="11" xfId="1" applyFont="1" applyBorder="1"/>
    <xf numFmtId="0" fontId="1" fillId="0" borderId="11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vertical="top"/>
    </xf>
    <xf numFmtId="0" fontId="1" fillId="0" borderId="11" xfId="1" applyFont="1" applyBorder="1" applyAlignment="1">
      <alignment vertical="center" wrapText="1"/>
    </xf>
    <xf numFmtId="0" fontId="1" fillId="0" borderId="11" xfId="1" applyFont="1" applyBorder="1" applyAlignment="1">
      <alignment horizontal="center" vertical="top"/>
    </xf>
    <xf numFmtId="2" fontId="1" fillId="0" borderId="11" xfId="1" applyNumberFormat="1" applyFont="1" applyBorder="1"/>
    <xf numFmtId="0" fontId="8" fillId="0" borderId="11" xfId="1" applyFont="1" applyBorder="1"/>
    <xf numFmtId="0" fontId="8" fillId="0" borderId="0" xfId="1" applyFont="1"/>
  </cellXfs>
  <cellStyles count="2">
    <cellStyle name="Normal" xfId="0" builtinId="0"/>
    <cellStyle name="Normal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view="pageBreakPreview" zoomScale="60" zoomScaleNormal="70" workbookViewId="0">
      <pane xSplit="3" ySplit="4" topLeftCell="D5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ColWidth="12.625" defaultRowHeight="15" customHeight="1" x14ac:dyDescent="0.4"/>
  <cols>
    <col min="1" max="1" width="9.75" style="8" customWidth="1"/>
    <col min="2" max="2" width="13.75" style="8" customWidth="1"/>
    <col min="3" max="3" width="22.875" style="8" customWidth="1"/>
    <col min="4" max="4" width="11.5" style="8" customWidth="1"/>
    <col min="5" max="5" width="30.375" style="8" customWidth="1"/>
    <col min="6" max="6" width="16" style="8" customWidth="1"/>
    <col min="7" max="7" width="17.125" style="8" customWidth="1"/>
    <col min="8" max="8" width="16.375" style="8" customWidth="1"/>
    <col min="9" max="9" width="19.125" style="8" customWidth="1"/>
    <col min="10" max="10" width="26.125" style="8" customWidth="1"/>
    <col min="11" max="11" width="45.375" style="8" customWidth="1"/>
    <col min="12" max="12" width="17" style="8" customWidth="1"/>
    <col min="13" max="37" width="9" style="8" customWidth="1"/>
    <col min="38" max="16384" width="12.625" style="8"/>
  </cols>
  <sheetData>
    <row r="1" spans="1:37" ht="26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5" t="s">
        <v>5</v>
      </c>
      <c r="H2" s="16"/>
      <c r="I2" s="7"/>
      <c r="J2" s="17"/>
      <c r="K2" s="1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1"/>
      <c r="I3" s="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48" x14ac:dyDescent="0.55000000000000004">
      <c r="A4" s="22" t="s">
        <v>11</v>
      </c>
      <c r="B4" s="23" t="s">
        <v>12</v>
      </c>
      <c r="C4" s="21"/>
      <c r="D4" s="24" t="s">
        <v>13</v>
      </c>
      <c r="E4" s="24" t="s">
        <v>14</v>
      </c>
      <c r="F4" s="24" t="s">
        <v>15</v>
      </c>
      <c r="G4" s="24" t="s">
        <v>16</v>
      </c>
      <c r="H4" s="25" t="s">
        <v>17</v>
      </c>
      <c r="I4" s="26" t="s">
        <v>18</v>
      </c>
      <c r="J4" s="27" t="s">
        <v>19</v>
      </c>
      <c r="K4" s="28" t="s">
        <v>20</v>
      </c>
      <c r="L4" s="9"/>
      <c r="M4" s="29" t="s">
        <v>21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23.25" customHeight="1" x14ac:dyDescent="0.4">
      <c r="A5" s="30">
        <v>1</v>
      </c>
      <c r="B5" s="31" t="s">
        <v>22</v>
      </c>
      <c r="C5" s="32"/>
      <c r="D5" s="33">
        <v>250</v>
      </c>
      <c r="E5" s="34">
        <v>250</v>
      </c>
      <c r="F5" s="35">
        <f>IFERROR(ROUND((E5/D5)*100,2),0)</f>
        <v>100</v>
      </c>
      <c r="G5" s="36">
        <f t="shared" ref="G5:G19" si="0">IF(F5=0,0,IF(F5="N/A",1,IF(F5&lt;=M$13,1,IF(F5=N$13,2,IF(F5&lt;N$13,(((F5-M$13)/P$11)+1),IF(F5=O$13,3,IF(F5&lt;O$13,(((F5-N$13)/P$11)+2),IF(F5=P$13,4,IF(F5&lt;P$13,(((F5-O$13)/P$11)+3),IF(F5&gt;=Q$13,5,IF(F5&lt;Q$13,(((F5-P$13)/P$11)+4),0)))))))))))</f>
        <v>5</v>
      </c>
      <c r="H5" s="37" t="str">
        <f t="shared" ref="H5:H19" si="1">IF(G5=5,"ü","û")</f>
        <v>ü</v>
      </c>
      <c r="I5" s="34">
        <v>329</v>
      </c>
      <c r="J5" s="38">
        <v>100</v>
      </c>
      <c r="K5" s="39" t="s">
        <v>23</v>
      </c>
      <c r="L5" s="40"/>
      <c r="M5" s="9" t="s">
        <v>24</v>
      </c>
      <c r="N5" s="9"/>
      <c r="O5" s="9"/>
      <c r="P5" s="41">
        <v>100</v>
      </c>
      <c r="Q5" s="9"/>
      <c r="R5" s="9"/>
      <c r="S5" s="4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23.25" customHeight="1" x14ac:dyDescent="0.55000000000000004">
      <c r="A6" s="43">
        <v>2</v>
      </c>
      <c r="B6" s="44" t="s">
        <v>25</v>
      </c>
      <c r="C6" s="21"/>
      <c r="D6" s="45">
        <v>380</v>
      </c>
      <c r="E6" s="46">
        <v>380</v>
      </c>
      <c r="F6" s="35">
        <f t="shared" ref="F6:F18" si="2">IFERROR(ROUND((E6/D6)*100,2),0)</f>
        <v>100</v>
      </c>
      <c r="G6" s="36">
        <f t="shared" si="0"/>
        <v>5</v>
      </c>
      <c r="H6" s="47" t="str">
        <f t="shared" si="1"/>
        <v>ü</v>
      </c>
      <c r="I6" s="46">
        <v>362</v>
      </c>
      <c r="J6" s="48">
        <v>100</v>
      </c>
      <c r="K6" s="46" t="s">
        <v>23</v>
      </c>
      <c r="L6" s="49"/>
      <c r="M6" s="50" t="s">
        <v>26</v>
      </c>
      <c r="N6" s="51" t="s">
        <v>27</v>
      </c>
      <c r="O6" s="51" t="s">
        <v>28</v>
      </c>
      <c r="P6" s="51" t="s">
        <v>29</v>
      </c>
      <c r="Q6" s="51" t="s">
        <v>30</v>
      </c>
      <c r="R6" s="9"/>
      <c r="S6" s="4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4" x14ac:dyDescent="0.4">
      <c r="A7" s="52">
        <v>3</v>
      </c>
      <c r="B7" s="44" t="s">
        <v>31</v>
      </c>
      <c r="C7" s="21"/>
      <c r="D7" s="45">
        <v>420</v>
      </c>
      <c r="E7" s="46">
        <v>420</v>
      </c>
      <c r="F7" s="35">
        <f t="shared" si="2"/>
        <v>100</v>
      </c>
      <c r="G7" s="36">
        <f t="shared" si="0"/>
        <v>5</v>
      </c>
      <c r="H7" s="47" t="str">
        <f t="shared" si="1"/>
        <v>ü</v>
      </c>
      <c r="I7" s="46">
        <v>474</v>
      </c>
      <c r="J7" s="48">
        <v>100</v>
      </c>
      <c r="K7" s="46" t="s">
        <v>23</v>
      </c>
      <c r="L7" s="49"/>
      <c r="M7" s="53">
        <v>3900</v>
      </c>
      <c r="N7" s="54">
        <v>4000</v>
      </c>
      <c r="O7" s="54">
        <v>4100</v>
      </c>
      <c r="P7" s="54">
        <v>4200</v>
      </c>
      <c r="Q7" s="54">
        <v>4300</v>
      </c>
      <c r="R7" s="9"/>
      <c r="S7" s="4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3.25" customHeight="1" x14ac:dyDescent="0.55000000000000004">
      <c r="A8" s="43">
        <v>4</v>
      </c>
      <c r="B8" s="55" t="s">
        <v>32</v>
      </c>
      <c r="C8" s="21"/>
      <c r="D8" s="45">
        <v>733</v>
      </c>
      <c r="E8" s="34">
        <v>733</v>
      </c>
      <c r="F8" s="35">
        <f t="shared" si="2"/>
        <v>100</v>
      </c>
      <c r="G8" s="36">
        <f t="shared" si="0"/>
        <v>5</v>
      </c>
      <c r="H8" s="47" t="str">
        <f t="shared" si="1"/>
        <v>ü</v>
      </c>
      <c r="I8" s="34">
        <v>898</v>
      </c>
      <c r="J8" s="48">
        <v>100</v>
      </c>
      <c r="K8" s="46" t="s">
        <v>23</v>
      </c>
      <c r="L8" s="40"/>
      <c r="M8" s="9"/>
      <c r="N8" s="9"/>
      <c r="O8" s="9"/>
      <c r="P8" s="9"/>
      <c r="Q8" s="9"/>
      <c r="R8" s="9"/>
      <c r="S8" s="4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24" x14ac:dyDescent="0.4">
      <c r="A9" s="52">
        <v>5</v>
      </c>
      <c r="B9" s="55" t="s">
        <v>33</v>
      </c>
      <c r="C9" s="21"/>
      <c r="D9" s="45">
        <v>195</v>
      </c>
      <c r="E9" s="34">
        <v>195</v>
      </c>
      <c r="F9" s="35">
        <f t="shared" si="2"/>
        <v>100</v>
      </c>
      <c r="G9" s="36">
        <f t="shared" si="0"/>
        <v>5</v>
      </c>
      <c r="H9" s="47" t="str">
        <f t="shared" si="1"/>
        <v>ü</v>
      </c>
      <c r="I9" s="34">
        <v>112</v>
      </c>
      <c r="J9" s="48">
        <v>100</v>
      </c>
      <c r="K9" s="46" t="s">
        <v>23</v>
      </c>
      <c r="L9" s="40"/>
      <c r="M9" s="9"/>
      <c r="N9" s="9"/>
      <c r="O9" s="9"/>
      <c r="P9" s="9"/>
      <c r="Q9" s="9"/>
      <c r="R9" s="9"/>
      <c r="S9" s="4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3.25" customHeight="1" x14ac:dyDescent="0.55000000000000004">
      <c r="A10" s="43">
        <v>6</v>
      </c>
      <c r="B10" s="55" t="s">
        <v>34</v>
      </c>
      <c r="C10" s="21"/>
      <c r="D10" s="45">
        <v>210</v>
      </c>
      <c r="E10" s="34">
        <v>210</v>
      </c>
      <c r="F10" s="35">
        <f t="shared" si="2"/>
        <v>100</v>
      </c>
      <c r="G10" s="36">
        <f t="shared" si="0"/>
        <v>5</v>
      </c>
      <c r="H10" s="47" t="str">
        <f t="shared" si="1"/>
        <v>ü</v>
      </c>
      <c r="I10" s="34">
        <v>150</v>
      </c>
      <c r="J10" s="48">
        <v>100</v>
      </c>
      <c r="K10" s="46" t="s">
        <v>23</v>
      </c>
      <c r="L10" s="40"/>
      <c r="M10" s="29" t="s">
        <v>35</v>
      </c>
      <c r="N10" s="9"/>
      <c r="O10" s="9"/>
      <c r="P10" s="9"/>
      <c r="Q10" s="9"/>
      <c r="R10" s="9"/>
      <c r="S10" s="4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24" x14ac:dyDescent="0.4">
      <c r="A11" s="52">
        <v>7</v>
      </c>
      <c r="B11" s="55" t="s">
        <v>36</v>
      </c>
      <c r="C11" s="21"/>
      <c r="D11" s="45">
        <v>123</v>
      </c>
      <c r="E11" s="34">
        <v>123</v>
      </c>
      <c r="F11" s="35">
        <f t="shared" si="2"/>
        <v>100</v>
      </c>
      <c r="G11" s="36">
        <f t="shared" si="0"/>
        <v>5</v>
      </c>
      <c r="H11" s="47" t="str">
        <f t="shared" si="1"/>
        <v>ü</v>
      </c>
      <c r="I11" s="34">
        <v>148</v>
      </c>
      <c r="J11" s="48">
        <v>100</v>
      </c>
      <c r="K11" s="46" t="s">
        <v>23</v>
      </c>
      <c r="L11" s="40"/>
      <c r="M11" s="9" t="s">
        <v>24</v>
      </c>
      <c r="N11" s="9"/>
      <c r="O11" s="9"/>
      <c r="P11" s="42">
        <v>20</v>
      </c>
      <c r="Q11" s="9"/>
      <c r="R11" s="9"/>
      <c r="S11" s="42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23.25" customHeight="1" x14ac:dyDescent="0.55000000000000004">
      <c r="A12" s="43">
        <v>8</v>
      </c>
      <c r="B12" s="55" t="s">
        <v>37</v>
      </c>
      <c r="C12" s="21"/>
      <c r="D12" s="45">
        <v>85</v>
      </c>
      <c r="E12" s="34">
        <v>85</v>
      </c>
      <c r="F12" s="35">
        <f t="shared" si="2"/>
        <v>100</v>
      </c>
      <c r="G12" s="36">
        <f t="shared" si="0"/>
        <v>5</v>
      </c>
      <c r="H12" s="47" t="str">
        <f t="shared" si="1"/>
        <v>ü</v>
      </c>
      <c r="I12" s="34">
        <v>116</v>
      </c>
      <c r="J12" s="48">
        <v>100</v>
      </c>
      <c r="K12" s="46" t="s">
        <v>23</v>
      </c>
      <c r="L12" s="40"/>
      <c r="M12" s="51" t="s">
        <v>26</v>
      </c>
      <c r="N12" s="51" t="s">
        <v>27</v>
      </c>
      <c r="O12" s="51" t="s">
        <v>28</v>
      </c>
      <c r="P12" s="51" t="s">
        <v>29</v>
      </c>
      <c r="Q12" s="51" t="s">
        <v>30</v>
      </c>
      <c r="R12" s="9"/>
      <c r="S12" s="42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23.25" customHeight="1" x14ac:dyDescent="0.4">
      <c r="A13" s="52">
        <v>9</v>
      </c>
      <c r="B13" s="55" t="s">
        <v>38</v>
      </c>
      <c r="C13" s="21"/>
      <c r="D13" s="45">
        <v>105</v>
      </c>
      <c r="E13" s="34">
        <v>105</v>
      </c>
      <c r="F13" s="35">
        <f t="shared" si="2"/>
        <v>100</v>
      </c>
      <c r="G13" s="36">
        <f t="shared" si="0"/>
        <v>5</v>
      </c>
      <c r="H13" s="47" t="str">
        <f t="shared" si="1"/>
        <v>ü</v>
      </c>
      <c r="I13" s="34">
        <v>146</v>
      </c>
      <c r="J13" s="48">
        <v>100</v>
      </c>
      <c r="K13" s="46" t="s">
        <v>23</v>
      </c>
      <c r="L13" s="40"/>
      <c r="M13" s="56">
        <v>20</v>
      </c>
      <c r="N13" s="56">
        <v>40</v>
      </c>
      <c r="O13" s="56">
        <v>60</v>
      </c>
      <c r="P13" s="56">
        <v>80</v>
      </c>
      <c r="Q13" s="56">
        <v>100</v>
      </c>
      <c r="R13" s="9"/>
      <c r="S13" s="4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23.25" customHeight="1" x14ac:dyDescent="0.55000000000000004">
      <c r="A14" s="43">
        <v>10</v>
      </c>
      <c r="B14" s="55" t="s">
        <v>39</v>
      </c>
      <c r="C14" s="21"/>
      <c r="D14" s="45">
        <v>460</v>
      </c>
      <c r="E14" s="34">
        <v>460</v>
      </c>
      <c r="F14" s="35">
        <f t="shared" si="2"/>
        <v>100</v>
      </c>
      <c r="G14" s="36">
        <f t="shared" si="0"/>
        <v>5</v>
      </c>
      <c r="H14" s="47" t="str">
        <f t="shared" si="1"/>
        <v>ü</v>
      </c>
      <c r="I14" s="34">
        <v>621</v>
      </c>
      <c r="J14" s="48">
        <v>100</v>
      </c>
      <c r="K14" s="46" t="s">
        <v>23</v>
      </c>
      <c r="L14" s="40"/>
      <c r="M14" s="9"/>
      <c r="N14" s="9"/>
      <c r="O14" s="9"/>
      <c r="P14" s="9"/>
      <c r="Q14" s="9"/>
      <c r="R14" s="9"/>
      <c r="S14" s="4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23.25" customHeight="1" x14ac:dyDescent="0.4">
      <c r="A15" s="52">
        <v>11</v>
      </c>
      <c r="B15" s="55" t="s">
        <v>40</v>
      </c>
      <c r="C15" s="21"/>
      <c r="D15" s="45">
        <v>39</v>
      </c>
      <c r="E15" s="34">
        <v>39</v>
      </c>
      <c r="F15" s="35">
        <f t="shared" si="2"/>
        <v>100</v>
      </c>
      <c r="G15" s="36">
        <f t="shared" si="0"/>
        <v>5</v>
      </c>
      <c r="H15" s="47" t="str">
        <f t="shared" si="1"/>
        <v>ü</v>
      </c>
      <c r="I15" s="34">
        <v>26</v>
      </c>
      <c r="J15" s="48">
        <v>100</v>
      </c>
      <c r="K15" s="46" t="s">
        <v>23</v>
      </c>
      <c r="L15" s="40"/>
      <c r="M15" s="9"/>
      <c r="N15" s="9"/>
      <c r="O15" s="9"/>
      <c r="P15" s="9"/>
      <c r="Q15" s="9"/>
      <c r="R15" s="9"/>
      <c r="S15" s="42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23.25" customHeight="1" x14ac:dyDescent="0.55000000000000004">
      <c r="A16" s="43">
        <v>12</v>
      </c>
      <c r="B16" s="55" t="s">
        <v>41</v>
      </c>
      <c r="C16" s="21"/>
      <c r="D16" s="45">
        <v>433</v>
      </c>
      <c r="E16" s="34">
        <v>433</v>
      </c>
      <c r="F16" s="35">
        <f t="shared" si="2"/>
        <v>100</v>
      </c>
      <c r="G16" s="36">
        <f t="shared" si="0"/>
        <v>5</v>
      </c>
      <c r="H16" s="47" t="str">
        <f t="shared" si="1"/>
        <v>ü</v>
      </c>
      <c r="I16" s="34">
        <v>562</v>
      </c>
      <c r="J16" s="48">
        <v>100</v>
      </c>
      <c r="K16" s="46" t="s">
        <v>23</v>
      </c>
      <c r="L16" s="40"/>
      <c r="M16" s="9"/>
      <c r="N16" s="9"/>
      <c r="O16" s="9"/>
      <c r="P16" s="9"/>
      <c r="Q16" s="9"/>
      <c r="R16" s="9"/>
      <c r="S16" s="42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23.25" customHeight="1" x14ac:dyDescent="0.4">
      <c r="A17" s="52">
        <v>13</v>
      </c>
      <c r="B17" s="55" t="s">
        <v>42</v>
      </c>
      <c r="C17" s="21"/>
      <c r="D17" s="45">
        <v>427</v>
      </c>
      <c r="E17" s="34">
        <v>427</v>
      </c>
      <c r="F17" s="35">
        <f t="shared" si="2"/>
        <v>100</v>
      </c>
      <c r="G17" s="36">
        <f t="shared" si="0"/>
        <v>5</v>
      </c>
      <c r="H17" s="47" t="str">
        <f t="shared" si="1"/>
        <v>ü</v>
      </c>
      <c r="I17" s="34">
        <v>444</v>
      </c>
      <c r="J17" s="48">
        <v>100</v>
      </c>
      <c r="K17" s="46" t="s">
        <v>23</v>
      </c>
      <c r="L17" s="40"/>
      <c r="M17" s="9"/>
      <c r="N17" s="9"/>
      <c r="O17" s="9"/>
      <c r="P17" s="9"/>
      <c r="Q17" s="9"/>
      <c r="R17" s="9"/>
      <c r="S17" s="42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23.25" customHeight="1" x14ac:dyDescent="0.55000000000000004">
      <c r="A18" s="43">
        <v>14</v>
      </c>
      <c r="B18" s="55" t="s">
        <v>43</v>
      </c>
      <c r="C18" s="21"/>
      <c r="D18" s="45">
        <v>440</v>
      </c>
      <c r="E18" s="34">
        <v>440</v>
      </c>
      <c r="F18" s="35">
        <f t="shared" si="2"/>
        <v>100</v>
      </c>
      <c r="G18" s="36">
        <f t="shared" si="0"/>
        <v>5</v>
      </c>
      <c r="H18" s="47" t="str">
        <f t="shared" si="1"/>
        <v>ü</v>
      </c>
      <c r="I18" s="34">
        <v>488</v>
      </c>
      <c r="J18" s="48">
        <v>102.27</v>
      </c>
      <c r="K18" s="46" t="s">
        <v>23</v>
      </c>
      <c r="L18" s="40"/>
      <c r="M18" s="9"/>
      <c r="N18" s="9"/>
      <c r="O18" s="9"/>
      <c r="P18" s="9"/>
      <c r="Q18" s="9"/>
      <c r="R18" s="9"/>
      <c r="S18" s="4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24" customHeight="1" x14ac:dyDescent="0.4">
      <c r="A19" s="57" t="s">
        <v>21</v>
      </c>
      <c r="B19" s="20"/>
      <c r="C19" s="21"/>
      <c r="D19" s="58">
        <v>4300</v>
      </c>
      <c r="E19" s="59">
        <f>SUM(E5:E18)</f>
        <v>4300</v>
      </c>
      <c r="F19" s="60">
        <f>IFERROR(ROUND((E19/D19)*100,2),0)</f>
        <v>100</v>
      </c>
      <c r="G19" s="61">
        <f t="shared" si="0"/>
        <v>5</v>
      </c>
      <c r="H19" s="62" t="str">
        <f t="shared" si="1"/>
        <v>ü</v>
      </c>
      <c r="I19" s="63">
        <f>SUM(I5:I18)</f>
        <v>4876</v>
      </c>
      <c r="J19" s="64"/>
      <c r="K19" s="65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24" customHeight="1" x14ac:dyDescent="0.55000000000000004">
      <c r="A20" s="66" t="s">
        <v>44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39.75" customHeight="1" x14ac:dyDescent="0.4">
      <c r="A21" s="67" t="s">
        <v>45</v>
      </c>
      <c r="B21" s="6"/>
      <c r="C21" s="68" t="s">
        <v>46</v>
      </c>
      <c r="D21" s="2"/>
      <c r="E21" s="6"/>
      <c r="F21" s="69" t="s">
        <v>2</v>
      </c>
      <c r="G21" s="69" t="s">
        <v>47</v>
      </c>
      <c r="H21" s="69" t="s">
        <v>17</v>
      </c>
      <c r="I21" s="70" t="s">
        <v>19</v>
      </c>
      <c r="J21" s="71"/>
      <c r="K21" s="72" t="s">
        <v>20</v>
      </c>
      <c r="L21" s="7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37.5" customHeight="1" x14ac:dyDescent="0.4">
      <c r="A22" s="74"/>
      <c r="B22" s="32"/>
      <c r="C22" s="74"/>
      <c r="D22" s="11"/>
      <c r="E22" s="32"/>
      <c r="F22" s="75">
        <v>5</v>
      </c>
      <c r="G22" s="76">
        <v>5</v>
      </c>
      <c r="H22" s="77" t="str">
        <f>IF(G22=5,"ü","û")</f>
        <v>ü</v>
      </c>
      <c r="I22" s="78">
        <v>5</v>
      </c>
      <c r="J22" s="79"/>
      <c r="K22" s="34"/>
      <c r="L22" s="7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24" customHeight="1" x14ac:dyDescent="0.4">
      <c r="A23" s="7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24" customHeight="1" x14ac:dyDescent="0.4">
      <c r="A24" s="7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24" customHeight="1" x14ac:dyDescent="0.75">
      <c r="A25" s="80" t="s">
        <v>48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</row>
    <row r="26" spans="1:37" ht="24" customHeight="1" x14ac:dyDescent="0.4">
      <c r="A26" s="73" t="str">
        <f t="shared" ref="A26:B41" si="3">A4</f>
        <v>ลำดับ</v>
      </c>
      <c r="B26" s="9" t="str">
        <f t="shared" si="3"/>
        <v>หน่วยงาน</v>
      </c>
      <c r="C26" s="9" t="e">
        <f>#REF!</f>
        <v>#REF!</v>
      </c>
      <c r="D26" s="9" t="str">
        <f>D4</f>
        <v>เป้าหมาย</v>
      </c>
      <c r="E26" s="82" t="s">
        <v>49</v>
      </c>
      <c r="F26" s="9" t="s">
        <v>50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24" customHeight="1" x14ac:dyDescent="0.4">
      <c r="A27" s="73">
        <f t="shared" si="3"/>
        <v>1</v>
      </c>
      <c r="B27" s="9" t="s">
        <v>51</v>
      </c>
      <c r="C27" s="9">
        <f t="shared" ref="C27:F41" si="4">C5</f>
        <v>0</v>
      </c>
      <c r="D27" s="83">
        <f t="shared" si="4"/>
        <v>250</v>
      </c>
      <c r="E27" s="9">
        <f t="shared" si="4"/>
        <v>250</v>
      </c>
      <c r="F27" s="42">
        <f t="shared" si="4"/>
        <v>100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24" customHeight="1" x14ac:dyDescent="0.4">
      <c r="A28" s="73">
        <f t="shared" si="3"/>
        <v>2</v>
      </c>
      <c r="B28" s="9" t="s">
        <v>52</v>
      </c>
      <c r="C28" s="9">
        <f t="shared" si="4"/>
        <v>0</v>
      </c>
      <c r="D28" s="83">
        <f t="shared" si="4"/>
        <v>380</v>
      </c>
      <c r="E28" s="9">
        <f t="shared" si="4"/>
        <v>380</v>
      </c>
      <c r="F28" s="42">
        <f t="shared" si="4"/>
        <v>100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4" customHeight="1" x14ac:dyDescent="0.4">
      <c r="A29" s="73">
        <f t="shared" si="3"/>
        <v>3</v>
      </c>
      <c r="B29" s="9" t="s">
        <v>53</v>
      </c>
      <c r="C29" s="9">
        <f t="shared" si="4"/>
        <v>0</v>
      </c>
      <c r="D29" s="83">
        <f t="shared" si="4"/>
        <v>420</v>
      </c>
      <c r="E29" s="9">
        <f t="shared" si="4"/>
        <v>420</v>
      </c>
      <c r="F29" s="42">
        <f t="shared" si="4"/>
        <v>100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24" customHeight="1" x14ac:dyDescent="0.4">
      <c r="A30" s="73">
        <f t="shared" si="3"/>
        <v>4</v>
      </c>
      <c r="B30" s="9" t="s">
        <v>54</v>
      </c>
      <c r="C30" s="9">
        <f t="shared" si="4"/>
        <v>0</v>
      </c>
      <c r="D30" s="83">
        <f t="shared" si="4"/>
        <v>733</v>
      </c>
      <c r="E30" s="9">
        <f t="shared" si="4"/>
        <v>733</v>
      </c>
      <c r="F30" s="42">
        <f t="shared" si="4"/>
        <v>100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24" customHeight="1" x14ac:dyDescent="0.4">
      <c r="A31" s="73">
        <f t="shared" si="3"/>
        <v>5</v>
      </c>
      <c r="B31" s="9" t="s">
        <v>55</v>
      </c>
      <c r="C31" s="9">
        <f t="shared" si="4"/>
        <v>0</v>
      </c>
      <c r="D31" s="83">
        <f t="shared" si="4"/>
        <v>195</v>
      </c>
      <c r="E31" s="9">
        <f t="shared" si="4"/>
        <v>195</v>
      </c>
      <c r="F31" s="42">
        <f t="shared" si="4"/>
        <v>100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4" customHeight="1" x14ac:dyDescent="0.4">
      <c r="A32" s="73">
        <f t="shared" si="3"/>
        <v>6</v>
      </c>
      <c r="B32" s="9" t="s">
        <v>56</v>
      </c>
      <c r="C32" s="9">
        <f t="shared" si="4"/>
        <v>0</v>
      </c>
      <c r="D32" s="83">
        <f t="shared" si="4"/>
        <v>210</v>
      </c>
      <c r="E32" s="9">
        <f t="shared" si="4"/>
        <v>210</v>
      </c>
      <c r="F32" s="42">
        <f t="shared" si="4"/>
        <v>100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24" customHeight="1" x14ac:dyDescent="0.4">
      <c r="A33" s="73">
        <f t="shared" si="3"/>
        <v>7</v>
      </c>
      <c r="B33" s="9" t="s">
        <v>57</v>
      </c>
      <c r="C33" s="9">
        <f t="shared" si="4"/>
        <v>0</v>
      </c>
      <c r="D33" s="83">
        <f t="shared" si="4"/>
        <v>123</v>
      </c>
      <c r="E33" s="9">
        <f t="shared" si="4"/>
        <v>123</v>
      </c>
      <c r="F33" s="42">
        <f t="shared" si="4"/>
        <v>100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24" customHeight="1" x14ac:dyDescent="0.4">
      <c r="A34" s="73">
        <f t="shared" si="3"/>
        <v>8</v>
      </c>
      <c r="B34" s="9" t="s">
        <v>58</v>
      </c>
      <c r="C34" s="9">
        <f t="shared" si="4"/>
        <v>0</v>
      </c>
      <c r="D34" s="83">
        <f t="shared" si="4"/>
        <v>85</v>
      </c>
      <c r="E34" s="9">
        <f t="shared" si="4"/>
        <v>85</v>
      </c>
      <c r="F34" s="42">
        <f t="shared" si="4"/>
        <v>100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24" customHeight="1" x14ac:dyDescent="0.4">
      <c r="A35" s="73">
        <f t="shared" si="3"/>
        <v>9</v>
      </c>
      <c r="B35" s="9" t="s">
        <v>59</v>
      </c>
      <c r="C35" s="9">
        <f t="shared" si="4"/>
        <v>0</v>
      </c>
      <c r="D35" s="83">
        <f t="shared" si="4"/>
        <v>105</v>
      </c>
      <c r="E35" s="9">
        <f t="shared" si="4"/>
        <v>105</v>
      </c>
      <c r="F35" s="42">
        <f t="shared" si="4"/>
        <v>100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24" customHeight="1" x14ac:dyDescent="0.4">
      <c r="A36" s="73">
        <f t="shared" si="3"/>
        <v>10</v>
      </c>
      <c r="B36" s="9" t="s">
        <v>60</v>
      </c>
      <c r="C36" s="9">
        <f t="shared" si="4"/>
        <v>0</v>
      </c>
      <c r="D36" s="83">
        <f t="shared" si="4"/>
        <v>460</v>
      </c>
      <c r="E36" s="9">
        <f t="shared" si="4"/>
        <v>460</v>
      </c>
      <c r="F36" s="42">
        <f t="shared" si="4"/>
        <v>100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24" customHeight="1" x14ac:dyDescent="0.4">
      <c r="A37" s="73">
        <f t="shared" si="3"/>
        <v>11</v>
      </c>
      <c r="B37" s="9" t="s">
        <v>61</v>
      </c>
      <c r="C37" s="9">
        <f t="shared" si="4"/>
        <v>0</v>
      </c>
      <c r="D37" s="83">
        <f t="shared" si="4"/>
        <v>39</v>
      </c>
      <c r="E37" s="9">
        <f t="shared" si="4"/>
        <v>39</v>
      </c>
      <c r="F37" s="42">
        <f t="shared" si="4"/>
        <v>100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24" customHeight="1" x14ac:dyDescent="0.4">
      <c r="A38" s="73">
        <f t="shared" si="3"/>
        <v>12</v>
      </c>
      <c r="B38" s="9" t="s">
        <v>62</v>
      </c>
      <c r="C38" s="9">
        <f t="shared" si="4"/>
        <v>0</v>
      </c>
      <c r="D38" s="83">
        <f t="shared" si="4"/>
        <v>433</v>
      </c>
      <c r="E38" s="9">
        <f t="shared" si="4"/>
        <v>433</v>
      </c>
      <c r="F38" s="42">
        <f t="shared" si="4"/>
        <v>100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24" customHeight="1" x14ac:dyDescent="0.4">
      <c r="A39" s="73">
        <f t="shared" si="3"/>
        <v>13</v>
      </c>
      <c r="B39" s="9" t="s">
        <v>63</v>
      </c>
      <c r="C39" s="9">
        <f t="shared" si="4"/>
        <v>0</v>
      </c>
      <c r="D39" s="83">
        <f t="shared" si="4"/>
        <v>427</v>
      </c>
      <c r="E39" s="9">
        <f t="shared" si="4"/>
        <v>427</v>
      </c>
      <c r="F39" s="42">
        <f t="shared" si="4"/>
        <v>100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24" customHeight="1" x14ac:dyDescent="0.4">
      <c r="A40" s="73">
        <f t="shared" si="3"/>
        <v>14</v>
      </c>
      <c r="B40" s="9" t="s">
        <v>64</v>
      </c>
      <c r="C40" s="9">
        <f t="shared" si="4"/>
        <v>0</v>
      </c>
      <c r="D40" s="83">
        <f t="shared" si="4"/>
        <v>440</v>
      </c>
      <c r="E40" s="9">
        <f t="shared" si="4"/>
        <v>440</v>
      </c>
      <c r="F40" s="42">
        <f t="shared" si="4"/>
        <v>100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24" customHeight="1" x14ac:dyDescent="0.4">
      <c r="A41" s="73" t="str">
        <f t="shared" si="3"/>
        <v>ระดับมหาวิทยาลัย</v>
      </c>
      <c r="B41" s="9" t="s">
        <v>65</v>
      </c>
      <c r="C41" s="9">
        <f t="shared" si="4"/>
        <v>0</v>
      </c>
      <c r="D41" s="83">
        <f t="shared" si="4"/>
        <v>4300</v>
      </c>
      <c r="E41" s="41">
        <f t="shared" si="4"/>
        <v>4300</v>
      </c>
      <c r="F41" s="42">
        <f t="shared" si="4"/>
        <v>100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24" customHeight="1" x14ac:dyDescent="0.4">
      <c r="A42" s="7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24" customHeight="1" x14ac:dyDescent="0.4">
      <c r="A43" s="7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24" customHeight="1" x14ac:dyDescent="0.4">
      <c r="A44" s="7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24" customHeight="1" x14ac:dyDescent="0.4">
      <c r="A45" s="7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24" customHeight="1" x14ac:dyDescent="0.4">
      <c r="A46" s="7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24" customHeight="1" x14ac:dyDescent="0.4">
      <c r="A47" s="7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24" customHeight="1" x14ac:dyDescent="0.4">
      <c r="A48" s="7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24" customHeight="1" x14ac:dyDescent="0.4">
      <c r="A49" s="7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24" customHeight="1" x14ac:dyDescent="0.4">
      <c r="A50" s="7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24" customHeight="1" x14ac:dyDescent="0.4">
      <c r="A51" s="7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24" customHeight="1" x14ac:dyDescent="0.4">
      <c r="A52" s="7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24" customHeight="1" x14ac:dyDescent="0.4">
      <c r="A53" s="7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24" customHeight="1" x14ac:dyDescent="0.4">
      <c r="A54" s="7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24" customHeight="1" x14ac:dyDescent="0.4">
      <c r="A55" s="7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24" customHeight="1" x14ac:dyDescent="0.4">
      <c r="A56" s="7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24" customHeight="1" x14ac:dyDescent="0.4">
      <c r="A57" s="7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24" customHeight="1" x14ac:dyDescent="0.4">
      <c r="A58" s="7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24" customHeight="1" x14ac:dyDescent="0.4">
      <c r="A59" s="7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24" customHeight="1" x14ac:dyDescent="0.4">
      <c r="A60" s="7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24" customHeight="1" x14ac:dyDescent="0.4">
      <c r="A61" s="7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24" customHeight="1" x14ac:dyDescent="0.4">
      <c r="A62" s="7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24" customHeight="1" x14ac:dyDescent="0.4">
      <c r="A63" s="7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24" customHeight="1" x14ac:dyDescent="0.4">
      <c r="A64" s="7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24" customHeight="1" x14ac:dyDescent="0.4">
      <c r="A65" s="7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24" customHeight="1" x14ac:dyDescent="0.4">
      <c r="A66" s="7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24" customHeight="1" x14ac:dyDescent="0.4">
      <c r="A67" s="7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24" customHeight="1" x14ac:dyDescent="0.4">
      <c r="A68" s="7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24" customHeight="1" x14ac:dyDescent="0.4">
      <c r="A69" s="7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24" customHeight="1" x14ac:dyDescent="0.4">
      <c r="A70" s="7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24" customHeight="1" x14ac:dyDescent="0.4">
      <c r="A71" s="7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24" customHeight="1" x14ac:dyDescent="0.4">
      <c r="A72" s="7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24" customHeight="1" x14ac:dyDescent="0.4">
      <c r="A73" s="7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24" customHeight="1" x14ac:dyDescent="0.4">
      <c r="A74" s="7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24" customHeight="1" x14ac:dyDescent="0.4">
      <c r="A75" s="7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24" customHeight="1" x14ac:dyDescent="0.4">
      <c r="A76" s="7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24" customHeight="1" x14ac:dyDescent="0.4">
      <c r="A77" s="7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24" customHeight="1" x14ac:dyDescent="0.4">
      <c r="A78" s="7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24" customHeight="1" x14ac:dyDescent="0.4">
      <c r="A79" s="7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24" customHeight="1" x14ac:dyDescent="0.4">
      <c r="A80" s="7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24" customHeight="1" x14ac:dyDescent="0.4">
      <c r="A81" s="7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24" customHeight="1" x14ac:dyDescent="0.4">
      <c r="A82" s="7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24" customHeight="1" x14ac:dyDescent="0.4">
      <c r="A83" s="7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ht="24" customHeight="1" x14ac:dyDescent="0.4">
      <c r="A84" s="7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24" customHeight="1" x14ac:dyDescent="0.4">
      <c r="A85" s="7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24" customHeight="1" x14ac:dyDescent="0.4">
      <c r="A86" s="7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24" customHeight="1" x14ac:dyDescent="0.4">
      <c r="A87" s="7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24" customHeight="1" x14ac:dyDescent="0.4">
      <c r="A88" s="7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24" customHeight="1" x14ac:dyDescent="0.4">
      <c r="A89" s="7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24" customHeight="1" x14ac:dyDescent="0.4">
      <c r="A90" s="7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24" customHeight="1" x14ac:dyDescent="0.4">
      <c r="A91" s="7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24" customHeight="1" x14ac:dyDescent="0.4">
      <c r="A92" s="7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24" customHeight="1" x14ac:dyDescent="0.4">
      <c r="A93" s="7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24" customHeight="1" x14ac:dyDescent="0.4">
      <c r="A94" s="7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24" customHeight="1" x14ac:dyDescent="0.4">
      <c r="A95" s="7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24" customHeight="1" x14ac:dyDescent="0.4">
      <c r="A96" s="7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24" customHeight="1" x14ac:dyDescent="0.4">
      <c r="A97" s="7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24" customHeight="1" x14ac:dyDescent="0.4">
      <c r="A98" s="7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24" customHeight="1" x14ac:dyDescent="0.4">
      <c r="A99" s="7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24" customHeight="1" x14ac:dyDescent="0.4">
      <c r="A100" s="7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24" customHeight="1" x14ac:dyDescent="0.4">
      <c r="A101" s="7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24" customHeight="1" x14ac:dyDescent="0.4">
      <c r="A102" s="7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24" customHeight="1" x14ac:dyDescent="0.4">
      <c r="A103" s="7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24" customHeight="1" x14ac:dyDescent="0.4">
      <c r="A104" s="7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24" customHeight="1" x14ac:dyDescent="0.4">
      <c r="A105" s="7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24" customHeight="1" x14ac:dyDescent="0.4">
      <c r="A106" s="7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24" customHeight="1" x14ac:dyDescent="0.4">
      <c r="A107" s="7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24" customHeight="1" x14ac:dyDescent="0.4">
      <c r="A108" s="7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24" customHeight="1" x14ac:dyDescent="0.4">
      <c r="A109" s="7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24" customHeight="1" x14ac:dyDescent="0.4">
      <c r="A110" s="7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24" customHeight="1" x14ac:dyDescent="0.4">
      <c r="A111" s="7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24" customHeight="1" x14ac:dyDescent="0.4">
      <c r="A112" s="7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24" customHeight="1" x14ac:dyDescent="0.4">
      <c r="A113" s="7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24" customHeight="1" x14ac:dyDescent="0.4">
      <c r="A114" s="7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24" customHeight="1" x14ac:dyDescent="0.4">
      <c r="A115" s="7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24" customHeight="1" x14ac:dyDescent="0.4">
      <c r="A116" s="7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24" customHeight="1" x14ac:dyDescent="0.4">
      <c r="A117" s="7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24" customHeight="1" x14ac:dyDescent="0.4">
      <c r="A118" s="7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24" customHeight="1" x14ac:dyDescent="0.4">
      <c r="A119" s="7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24" customHeight="1" x14ac:dyDescent="0.4">
      <c r="A120" s="7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24" customHeight="1" x14ac:dyDescent="0.4">
      <c r="A121" s="7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24" customHeight="1" x14ac:dyDescent="0.4">
      <c r="A122" s="7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24" customHeight="1" x14ac:dyDescent="0.4">
      <c r="A123" s="7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24" customHeight="1" x14ac:dyDescent="0.4">
      <c r="A124" s="7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24" customHeight="1" x14ac:dyDescent="0.4">
      <c r="A125" s="7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ht="24" customHeight="1" x14ac:dyDescent="0.4">
      <c r="A126" s="7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24" customHeight="1" x14ac:dyDescent="0.4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24" customHeight="1" x14ac:dyDescent="0.4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2:37" ht="24" customHeight="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2:37" ht="24" customHeight="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2:37" ht="24" customHeight="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2:37" ht="24" customHeight="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2:37" ht="24" customHeight="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2:37" ht="24" customHeight="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2:37" ht="24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2:37" ht="24" customHeight="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2:37" ht="24" customHeight="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2:37" ht="24" customHeight="1" x14ac:dyDescent="0.2"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2:37" ht="24" customHeight="1" x14ac:dyDescent="0.2"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2:37" ht="24" customHeight="1" x14ac:dyDescent="0.2"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2:37" ht="24" customHeight="1" x14ac:dyDescent="0.2"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2:37" ht="24" customHeight="1" x14ac:dyDescent="0.2"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2:37" ht="24" customHeight="1" x14ac:dyDescent="0.2"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2:37" ht="24" customHeight="1" x14ac:dyDescent="0.2"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2:37" ht="24" customHeight="1" x14ac:dyDescent="0.2"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2:37" ht="24" customHeight="1" x14ac:dyDescent="0.2"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2:37" ht="24" customHeight="1" x14ac:dyDescent="0.2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2:37" ht="24" customHeight="1" x14ac:dyDescent="0.2"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2:37" ht="24" customHeight="1" x14ac:dyDescent="0.2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2:37" ht="24" customHeight="1" x14ac:dyDescent="0.2"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2:37" ht="24" customHeight="1" x14ac:dyDescent="0.2"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2:37" ht="24" customHeight="1" x14ac:dyDescent="0.2"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2:37" ht="24" customHeight="1" x14ac:dyDescent="0.2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2:37" ht="24" customHeight="1" x14ac:dyDescent="0.2"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2:37" ht="24" customHeight="1" x14ac:dyDescent="0.2"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2:37" ht="24" customHeight="1" x14ac:dyDescent="0.2"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2:37" ht="24" customHeight="1" x14ac:dyDescent="0.2"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2:37" ht="24" customHeight="1" x14ac:dyDescent="0.2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2:37" ht="24" customHeight="1" x14ac:dyDescent="0.2"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2:37" ht="24" customHeight="1" x14ac:dyDescent="0.2"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2:37" ht="24" customHeight="1" x14ac:dyDescent="0.2"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2:37" ht="24" customHeight="1" x14ac:dyDescent="0.2"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2:37" ht="24" customHeight="1" x14ac:dyDescent="0.2"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2:37" ht="24" customHeight="1" x14ac:dyDescent="0.2"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2:37" ht="24" customHeight="1" x14ac:dyDescent="0.2"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2:37" ht="24" customHeight="1" x14ac:dyDescent="0.2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2:37" ht="24" customHeight="1" x14ac:dyDescent="0.2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2:37" ht="24" customHeight="1" x14ac:dyDescent="0.2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2:37" ht="24" customHeight="1" x14ac:dyDescent="0.2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2:37" ht="24" customHeight="1" x14ac:dyDescent="0.2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2:37" ht="24" customHeight="1" x14ac:dyDescent="0.2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2:37" ht="24" customHeight="1" x14ac:dyDescent="0.2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2:37" ht="24" customHeight="1" x14ac:dyDescent="0.2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2:37" ht="24" customHeight="1" x14ac:dyDescent="0.2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2:37" ht="24" customHeight="1" x14ac:dyDescent="0.2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2:37" ht="24" customHeight="1" x14ac:dyDescent="0.2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2:37" ht="24" customHeight="1" x14ac:dyDescent="0.2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2:37" ht="24" customHeight="1" x14ac:dyDescent="0.2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2:37" ht="24" customHeight="1" x14ac:dyDescent="0.2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2:37" ht="24" customHeight="1" x14ac:dyDescent="0.2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2:37" ht="24" customHeight="1" x14ac:dyDescent="0.2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2:37" ht="24" customHeight="1" x14ac:dyDescent="0.2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2:37" ht="24" customHeight="1" x14ac:dyDescent="0.2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2:37" ht="24" customHeight="1" x14ac:dyDescent="0.2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2:37" ht="24" customHeight="1" x14ac:dyDescent="0.2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2:37" ht="24" customHeight="1" x14ac:dyDescent="0.2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2:37" ht="24" customHeight="1" x14ac:dyDescent="0.2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2:37" ht="24" customHeight="1" x14ac:dyDescent="0.2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2:37" ht="24" customHeight="1" x14ac:dyDescent="0.2"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2:37" ht="24" customHeight="1" x14ac:dyDescent="0.2"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2:37" ht="24" customHeight="1" x14ac:dyDescent="0.2"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2:37" ht="24" customHeight="1" x14ac:dyDescent="0.2"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2:37" ht="24" customHeight="1" x14ac:dyDescent="0.2"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2:37" ht="24" customHeight="1" x14ac:dyDescent="0.2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2:37" ht="24" customHeight="1" x14ac:dyDescent="0.2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2:37" ht="24" customHeight="1" x14ac:dyDescent="0.2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2:37" ht="24" customHeight="1" x14ac:dyDescent="0.2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2:37" ht="24" customHeight="1" x14ac:dyDescent="0.2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2:37" ht="24" customHeight="1" x14ac:dyDescent="0.2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2:37" ht="24" customHeight="1" x14ac:dyDescent="0.2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2:37" ht="24" customHeight="1" x14ac:dyDescent="0.2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2:37" ht="24" customHeight="1" x14ac:dyDescent="0.2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2:37" ht="24" customHeight="1" x14ac:dyDescent="0.2"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2:37" ht="24" customHeight="1" x14ac:dyDescent="0.2"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2:37" ht="24" customHeight="1" x14ac:dyDescent="0.2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2:37" ht="24" customHeight="1" x14ac:dyDescent="0.2"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2:37" ht="24" customHeight="1" x14ac:dyDescent="0.2"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2:37" ht="24" customHeight="1" x14ac:dyDescent="0.2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2:37" ht="24" customHeight="1" x14ac:dyDescent="0.2"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2:37" ht="24" customHeight="1" x14ac:dyDescent="0.2"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2:37" ht="24" customHeight="1" x14ac:dyDescent="0.2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2:37" ht="24" customHeight="1" x14ac:dyDescent="0.2"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2:37" ht="24" customHeight="1" x14ac:dyDescent="0.2"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2:37" ht="24" customHeight="1" x14ac:dyDescent="0.2"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2:37" ht="24" customHeight="1" x14ac:dyDescent="0.2"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2:37" ht="24" customHeight="1" x14ac:dyDescent="0.2"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2:37" ht="24" customHeight="1" x14ac:dyDescent="0.2"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2:37" ht="24" customHeight="1" x14ac:dyDescent="0.2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2:37" ht="24" customHeight="1" x14ac:dyDescent="0.2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2:37" ht="24" customHeight="1" x14ac:dyDescent="0.2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2:37" ht="24" customHeight="1" x14ac:dyDescent="0.2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2:37" ht="24" customHeight="1" x14ac:dyDescent="0.2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2:37" ht="24" customHeight="1" x14ac:dyDescent="0.2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2:37" ht="24" customHeight="1" x14ac:dyDescent="0.2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2:37" ht="24" customHeight="1" x14ac:dyDescent="0.2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2:37" ht="24" customHeight="1" x14ac:dyDescent="0.2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2:37" ht="24" customHeight="1" x14ac:dyDescent="0.2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2:37" ht="24" customHeight="1" x14ac:dyDescent="0.2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2:37" ht="24" customHeight="1" x14ac:dyDescent="0.2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2:37" ht="24" customHeight="1" x14ac:dyDescent="0.2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2:37" ht="24" customHeight="1" x14ac:dyDescent="0.2"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2:37" ht="24" customHeight="1" x14ac:dyDescent="0.2"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2:37" ht="24" customHeight="1" x14ac:dyDescent="0.2"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2:37" ht="24" customHeight="1" x14ac:dyDescent="0.2"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2:37" ht="24" customHeight="1" x14ac:dyDescent="0.2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2:37" ht="24" customHeight="1" x14ac:dyDescent="0.2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2:37" ht="24" customHeight="1" x14ac:dyDescent="0.2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2:37" ht="24" customHeight="1" x14ac:dyDescent="0.2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2:37" ht="24" customHeight="1" x14ac:dyDescent="0.2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2:37" ht="24" customHeight="1" x14ac:dyDescent="0.2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2:37" ht="24" customHeight="1" x14ac:dyDescent="0.2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2:37" ht="15.75" customHeight="1" x14ac:dyDescent="0.4"/>
    <row r="243" spans="2:37" ht="15.75" customHeight="1" x14ac:dyDescent="0.4"/>
    <row r="244" spans="2:37" ht="15.75" customHeight="1" x14ac:dyDescent="0.4"/>
    <row r="245" spans="2:37" ht="15.75" customHeight="1" x14ac:dyDescent="0.4"/>
    <row r="246" spans="2:37" ht="15.75" customHeight="1" x14ac:dyDescent="0.4"/>
    <row r="247" spans="2:37" ht="15.75" customHeight="1" x14ac:dyDescent="0.4"/>
    <row r="248" spans="2:37" ht="15.75" customHeight="1" x14ac:dyDescent="0.4"/>
    <row r="249" spans="2:37" ht="15.75" customHeight="1" x14ac:dyDescent="0.4"/>
    <row r="250" spans="2:37" ht="15.75" customHeight="1" x14ac:dyDescent="0.4"/>
    <row r="251" spans="2:37" ht="15.75" customHeight="1" x14ac:dyDescent="0.4"/>
    <row r="252" spans="2:37" ht="15.75" customHeight="1" x14ac:dyDescent="0.4"/>
    <row r="253" spans="2:37" ht="15.75" customHeight="1" x14ac:dyDescent="0.4"/>
    <row r="254" spans="2:37" ht="15.75" customHeight="1" x14ac:dyDescent="0.4"/>
    <row r="255" spans="2:37" ht="15.75" customHeight="1" x14ac:dyDescent="0.4"/>
    <row r="256" spans="2:37" ht="15.75" customHeight="1" x14ac:dyDescent="0.4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6">
    <mergeCell ref="I21:J21"/>
    <mergeCell ref="I22:J22"/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scale="58" orientation="landscape" r:id="rId1"/>
  <rowBreaks count="1" manualBreakCount="1">
    <brk id="22" man="1"/>
  </rowBreaks>
  <colBreaks count="1" manualBreakCount="1">
    <brk id="11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view="pageBreakPreview" zoomScale="60" zoomScaleNormal="70" workbookViewId="0">
      <pane ySplit="4" topLeftCell="A76" activePane="bottomLeft" state="frozen"/>
      <selection activeCell="I23" sqref="I23"/>
      <selection pane="bottomLeft" activeCell="I23" sqref="I23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customWidth="1"/>
    <col min="5" max="5" width="20.875" style="8" customWidth="1"/>
    <col min="6" max="7" width="25.625" style="8" customWidth="1"/>
    <col min="8" max="8" width="20.875" style="8" customWidth="1"/>
    <col min="9" max="9" width="19" style="8" customWidth="1"/>
    <col min="10" max="10" width="46.375" style="257" customWidth="1"/>
    <col min="11" max="11" width="15.875" style="8" customWidth="1"/>
    <col min="12" max="29" width="9" style="8" customWidth="1"/>
    <col min="30" max="16384" width="12.625" style="8"/>
  </cols>
  <sheetData>
    <row r="1" spans="1:29" ht="24" customHeight="1" x14ac:dyDescent="0.4">
      <c r="A1" s="9"/>
      <c r="B1" s="85" t="s">
        <v>0</v>
      </c>
      <c r="C1" s="86" t="s">
        <v>1</v>
      </c>
      <c r="D1" s="87"/>
      <c r="E1" s="87"/>
      <c r="F1" s="4"/>
      <c r="G1" s="4"/>
      <c r="H1" s="4"/>
      <c r="I1" s="88" t="s">
        <v>2</v>
      </c>
      <c r="J1" s="8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4" customHeight="1" x14ac:dyDescent="0.4">
      <c r="A2" s="9"/>
      <c r="B2" s="90" t="s">
        <v>3</v>
      </c>
      <c r="C2" s="91"/>
      <c r="D2" s="91"/>
      <c r="E2" s="91"/>
      <c r="F2" s="13"/>
      <c r="G2" s="13"/>
      <c r="H2" s="13"/>
      <c r="I2" s="92" t="s">
        <v>5</v>
      </c>
      <c r="J2" s="8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4" customHeight="1" x14ac:dyDescent="0.4">
      <c r="A3" s="93"/>
      <c r="B3" s="94"/>
      <c r="C3" s="95"/>
      <c r="D3" s="95"/>
      <c r="E3" s="95"/>
      <c r="F3" s="96"/>
      <c r="G3" s="96"/>
      <c r="H3" s="96"/>
      <c r="I3" s="97"/>
      <c r="J3" s="98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29" ht="84.75" customHeight="1" x14ac:dyDescent="0.4">
      <c r="A4" s="99" t="s">
        <v>11</v>
      </c>
      <c r="B4" s="99" t="s">
        <v>66</v>
      </c>
      <c r="C4" s="99" t="s">
        <v>67</v>
      </c>
      <c r="D4" s="99" t="s">
        <v>68</v>
      </c>
      <c r="E4" s="100" t="s">
        <v>69</v>
      </c>
      <c r="F4" s="100" t="s">
        <v>70</v>
      </c>
      <c r="G4" s="101" t="s">
        <v>71</v>
      </c>
      <c r="H4" s="101" t="s">
        <v>72</v>
      </c>
      <c r="I4" s="102" t="s">
        <v>73</v>
      </c>
      <c r="J4" s="103" t="s">
        <v>74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21" customHeight="1" x14ac:dyDescent="0.55000000000000004">
      <c r="A5" s="104"/>
      <c r="B5" s="105" t="s">
        <v>75</v>
      </c>
      <c r="C5" s="106"/>
      <c r="D5" s="107"/>
      <c r="E5" s="108"/>
      <c r="F5" s="109"/>
      <c r="G5" s="110"/>
      <c r="H5" s="110"/>
      <c r="I5" s="111"/>
      <c r="J5" s="112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21" customHeight="1" x14ac:dyDescent="0.55000000000000004">
      <c r="A6" s="113">
        <v>1</v>
      </c>
      <c r="B6" s="114" t="s">
        <v>76</v>
      </c>
      <c r="C6" s="115" t="s">
        <v>77</v>
      </c>
      <c r="D6" s="116" t="s">
        <v>78</v>
      </c>
      <c r="E6" s="117">
        <v>62</v>
      </c>
      <c r="F6" s="118">
        <f>E6-4-4</f>
        <v>54</v>
      </c>
      <c r="G6" s="118">
        <f t="shared" ref="G6:G9" si="0">(F6*70/100)+1</f>
        <v>38.799999999999997</v>
      </c>
      <c r="H6" s="119">
        <v>54</v>
      </c>
      <c r="I6" s="120">
        <f t="shared" ref="I6:I28" si="1">H6*100/G6</f>
        <v>139.17525773195877</v>
      </c>
      <c r="J6" s="112" t="s">
        <v>79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29" ht="21" customHeight="1" x14ac:dyDescent="0.55000000000000004">
      <c r="A7" s="121">
        <v>2</v>
      </c>
      <c r="B7" s="115"/>
      <c r="C7" s="115" t="s">
        <v>80</v>
      </c>
      <c r="D7" s="116" t="s">
        <v>78</v>
      </c>
      <c r="E7" s="117">
        <v>61</v>
      </c>
      <c r="F7" s="118">
        <f>E7-5</f>
        <v>56</v>
      </c>
      <c r="G7" s="118">
        <f t="shared" si="0"/>
        <v>40.200000000000003</v>
      </c>
      <c r="H7" s="119">
        <v>55</v>
      </c>
      <c r="I7" s="120">
        <f t="shared" si="1"/>
        <v>136.81592039800995</v>
      </c>
      <c r="J7" s="112" t="s">
        <v>79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21" customHeight="1" x14ac:dyDescent="0.55000000000000004">
      <c r="A8" s="121">
        <v>3</v>
      </c>
      <c r="B8" s="115"/>
      <c r="C8" s="115" t="s">
        <v>81</v>
      </c>
      <c r="D8" s="116" t="s">
        <v>78</v>
      </c>
      <c r="E8" s="117">
        <v>55</v>
      </c>
      <c r="F8" s="118">
        <f>E8-4-6-1</f>
        <v>44</v>
      </c>
      <c r="G8" s="118">
        <f t="shared" si="0"/>
        <v>31.8</v>
      </c>
      <c r="H8" s="119">
        <v>44</v>
      </c>
      <c r="I8" s="120">
        <f t="shared" si="1"/>
        <v>138.36477987421384</v>
      </c>
      <c r="J8" s="112" t="s">
        <v>79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ht="21" customHeight="1" x14ac:dyDescent="0.55000000000000004">
      <c r="A9" s="121">
        <v>4</v>
      </c>
      <c r="B9" s="115"/>
      <c r="C9" s="115" t="s">
        <v>82</v>
      </c>
      <c r="D9" s="116" t="s">
        <v>78</v>
      </c>
      <c r="E9" s="117">
        <v>50</v>
      </c>
      <c r="F9" s="118">
        <f>E9-7-2-3</f>
        <v>38</v>
      </c>
      <c r="G9" s="118">
        <f t="shared" si="0"/>
        <v>27.6</v>
      </c>
      <c r="H9" s="119">
        <v>38</v>
      </c>
      <c r="I9" s="120">
        <f t="shared" si="1"/>
        <v>137.68115942028984</v>
      </c>
      <c r="J9" s="112" t="s">
        <v>79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ht="21" customHeight="1" x14ac:dyDescent="0.55000000000000004">
      <c r="A10" s="121">
        <v>5</v>
      </c>
      <c r="B10" s="115"/>
      <c r="C10" s="115" t="s">
        <v>83</v>
      </c>
      <c r="D10" s="116" t="s">
        <v>78</v>
      </c>
      <c r="E10" s="117">
        <v>66</v>
      </c>
      <c r="F10" s="118">
        <f>E10-2-1-2</f>
        <v>61</v>
      </c>
      <c r="G10" s="118">
        <f>(F10*70/100)+5</f>
        <v>47.7</v>
      </c>
      <c r="H10" s="119">
        <v>58</v>
      </c>
      <c r="I10" s="120">
        <f t="shared" si="1"/>
        <v>121.59329140461215</v>
      </c>
      <c r="J10" s="112" t="s">
        <v>79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ht="21" customHeight="1" x14ac:dyDescent="0.55000000000000004">
      <c r="A11" s="121">
        <v>6</v>
      </c>
      <c r="B11" s="115"/>
      <c r="C11" s="122" t="s">
        <v>84</v>
      </c>
      <c r="D11" s="116" t="s">
        <v>78</v>
      </c>
      <c r="E11" s="117">
        <v>43</v>
      </c>
      <c r="F11" s="118">
        <f>E11-4-5-2</f>
        <v>32</v>
      </c>
      <c r="G11" s="118">
        <f>(F11*70/100)+1</f>
        <v>23.4</v>
      </c>
      <c r="H11" s="119">
        <v>26</v>
      </c>
      <c r="I11" s="120">
        <f t="shared" si="1"/>
        <v>111.11111111111111</v>
      </c>
      <c r="J11" s="112" t="s">
        <v>79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</row>
    <row r="12" spans="1:29" ht="21" customHeight="1" x14ac:dyDescent="0.55000000000000004">
      <c r="A12" s="121">
        <v>7</v>
      </c>
      <c r="B12" s="115"/>
      <c r="C12" s="115" t="s">
        <v>85</v>
      </c>
      <c r="D12" s="116" t="s">
        <v>86</v>
      </c>
      <c r="E12" s="117">
        <v>61</v>
      </c>
      <c r="F12" s="118">
        <f>E12-6</f>
        <v>55</v>
      </c>
      <c r="G12" s="118">
        <f>(F12*70/100)+2</f>
        <v>40.5</v>
      </c>
      <c r="H12" s="119">
        <v>54</v>
      </c>
      <c r="I12" s="120">
        <f t="shared" si="1"/>
        <v>133.33333333333334</v>
      </c>
      <c r="J12" s="112" t="s">
        <v>79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ht="21" customHeight="1" x14ac:dyDescent="0.55000000000000004">
      <c r="A13" s="121"/>
      <c r="B13" s="123" t="s">
        <v>87</v>
      </c>
      <c r="C13" s="123"/>
      <c r="D13" s="124"/>
      <c r="E13" s="125">
        <v>398</v>
      </c>
      <c r="F13" s="126">
        <f t="shared" ref="F13:H13" si="2">SUM(F6:F12)</f>
        <v>340</v>
      </c>
      <c r="G13" s="126">
        <f t="shared" si="2"/>
        <v>250.00000000000003</v>
      </c>
      <c r="H13" s="126">
        <f t="shared" si="2"/>
        <v>329</v>
      </c>
      <c r="I13" s="127">
        <f>H13*100/G13</f>
        <v>131.6</v>
      </c>
      <c r="J13" s="11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ht="21" customHeight="1" x14ac:dyDescent="0.55000000000000004">
      <c r="A14" s="128"/>
      <c r="B14" s="129" t="s">
        <v>88</v>
      </c>
      <c r="C14" s="130"/>
      <c r="D14" s="131"/>
      <c r="E14" s="111"/>
      <c r="F14" s="132"/>
      <c r="G14" s="132"/>
      <c r="H14" s="132"/>
      <c r="I14" s="111"/>
      <c r="J14" s="11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</row>
    <row r="15" spans="1:29" ht="21" customHeight="1" x14ac:dyDescent="0.55000000000000004">
      <c r="A15" s="121">
        <v>8</v>
      </c>
      <c r="B15" s="122" t="s">
        <v>89</v>
      </c>
      <c r="C15" s="133" t="s">
        <v>90</v>
      </c>
      <c r="D15" s="134" t="s">
        <v>91</v>
      </c>
      <c r="E15" s="135">
        <v>39</v>
      </c>
      <c r="F15" s="136">
        <f>E15-1-1-2</f>
        <v>35</v>
      </c>
      <c r="G15" s="136">
        <f t="shared" ref="G15:G28" si="3">F15*70/100</f>
        <v>24.5</v>
      </c>
      <c r="H15" s="137">
        <v>32</v>
      </c>
      <c r="I15" s="120">
        <f t="shared" si="1"/>
        <v>130.61224489795919</v>
      </c>
      <c r="J15" s="112" t="s">
        <v>92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ht="21" customHeight="1" x14ac:dyDescent="0.55000000000000004">
      <c r="A16" s="121">
        <v>9</v>
      </c>
      <c r="B16" s="122"/>
      <c r="C16" s="138" t="s">
        <v>93</v>
      </c>
      <c r="D16" s="134" t="s">
        <v>94</v>
      </c>
      <c r="E16" s="135">
        <v>17</v>
      </c>
      <c r="F16" s="136">
        <f t="shared" ref="F16:F17" si="4">E16-2-2</f>
        <v>13</v>
      </c>
      <c r="G16" s="136">
        <f t="shared" si="3"/>
        <v>9.1</v>
      </c>
      <c r="H16" s="137">
        <v>7</v>
      </c>
      <c r="I16" s="120">
        <f t="shared" si="1"/>
        <v>76.92307692307692</v>
      </c>
      <c r="J16" s="112" t="s">
        <v>95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ht="21" customHeight="1" x14ac:dyDescent="0.55000000000000004">
      <c r="A17" s="121">
        <v>10</v>
      </c>
      <c r="B17" s="122"/>
      <c r="C17" s="138" t="s">
        <v>96</v>
      </c>
      <c r="D17" s="134" t="s">
        <v>91</v>
      </c>
      <c r="E17" s="139">
        <v>19</v>
      </c>
      <c r="F17" s="140">
        <f t="shared" si="4"/>
        <v>15</v>
      </c>
      <c r="G17" s="136">
        <f t="shared" si="3"/>
        <v>10.5</v>
      </c>
      <c r="H17" s="141">
        <v>14</v>
      </c>
      <c r="I17" s="120">
        <f t="shared" si="1"/>
        <v>133.33333333333334</v>
      </c>
      <c r="J17" s="112" t="s">
        <v>97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</row>
    <row r="18" spans="1:29" ht="21" customHeight="1" x14ac:dyDescent="0.55000000000000004">
      <c r="A18" s="121">
        <v>11</v>
      </c>
      <c r="B18" s="122"/>
      <c r="C18" s="138" t="s">
        <v>98</v>
      </c>
      <c r="D18" s="134" t="s">
        <v>91</v>
      </c>
      <c r="E18" s="139">
        <v>9</v>
      </c>
      <c r="F18" s="140">
        <v>9</v>
      </c>
      <c r="G18" s="136">
        <f t="shared" si="3"/>
        <v>6.3</v>
      </c>
      <c r="H18" s="141"/>
      <c r="I18" s="120">
        <f t="shared" si="1"/>
        <v>0</v>
      </c>
      <c r="J18" s="112" t="s">
        <v>97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</row>
    <row r="19" spans="1:29" ht="21" customHeight="1" x14ac:dyDescent="0.55000000000000004">
      <c r="A19" s="121">
        <v>12</v>
      </c>
      <c r="B19" s="122"/>
      <c r="C19" s="138" t="s">
        <v>99</v>
      </c>
      <c r="D19" s="134" t="s">
        <v>91</v>
      </c>
      <c r="E19" s="139">
        <v>8</v>
      </c>
      <c r="F19" s="140">
        <f>E19-1-3</f>
        <v>4</v>
      </c>
      <c r="G19" s="136">
        <f t="shared" si="3"/>
        <v>2.8</v>
      </c>
      <c r="H19" s="141">
        <v>3</v>
      </c>
      <c r="I19" s="120">
        <f t="shared" si="1"/>
        <v>107.14285714285715</v>
      </c>
      <c r="J19" s="112" t="s">
        <v>95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ht="21" customHeight="1" x14ac:dyDescent="0.55000000000000004">
      <c r="A20" s="121">
        <v>13</v>
      </c>
      <c r="B20" s="122"/>
      <c r="C20" s="138" t="s">
        <v>100</v>
      </c>
      <c r="D20" s="134" t="s">
        <v>91</v>
      </c>
      <c r="E20" s="139">
        <v>13</v>
      </c>
      <c r="F20" s="140">
        <f>E20-5-1</f>
        <v>7</v>
      </c>
      <c r="G20" s="136">
        <f t="shared" si="3"/>
        <v>4.9000000000000004</v>
      </c>
      <c r="H20" s="141">
        <v>7</v>
      </c>
      <c r="I20" s="120">
        <f t="shared" si="1"/>
        <v>142.85714285714283</v>
      </c>
      <c r="J20" s="112" t="s">
        <v>101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ht="21" customHeight="1" x14ac:dyDescent="0.55000000000000004">
      <c r="A21" s="121">
        <v>14</v>
      </c>
      <c r="B21" s="122"/>
      <c r="C21" s="138" t="s">
        <v>102</v>
      </c>
      <c r="D21" s="134" t="s">
        <v>94</v>
      </c>
      <c r="E21" s="139">
        <v>27</v>
      </c>
      <c r="F21" s="140">
        <f>E21-3-4-1</f>
        <v>19</v>
      </c>
      <c r="G21" s="136">
        <f t="shared" si="3"/>
        <v>13.3</v>
      </c>
      <c r="H21" s="141">
        <v>3</v>
      </c>
      <c r="I21" s="120">
        <f t="shared" si="1"/>
        <v>22.556390977443609</v>
      </c>
      <c r="J21" s="112" t="s">
        <v>95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ht="21" customHeight="1" x14ac:dyDescent="0.55000000000000004">
      <c r="A22" s="121">
        <v>15</v>
      </c>
      <c r="B22" s="122"/>
      <c r="C22" s="138" t="s">
        <v>103</v>
      </c>
      <c r="D22" s="134" t="s">
        <v>94</v>
      </c>
      <c r="E22" s="139">
        <v>7</v>
      </c>
      <c r="F22" s="140">
        <v>7</v>
      </c>
      <c r="G22" s="136">
        <f t="shared" si="3"/>
        <v>4.9000000000000004</v>
      </c>
      <c r="H22" s="142">
        <v>7</v>
      </c>
      <c r="I22" s="120">
        <f t="shared" si="1"/>
        <v>142.85714285714283</v>
      </c>
      <c r="J22" s="112" t="s">
        <v>97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ht="21" customHeight="1" x14ac:dyDescent="0.55000000000000004">
      <c r="A23" s="121">
        <v>16</v>
      </c>
      <c r="B23" s="115"/>
      <c r="C23" s="143" t="s">
        <v>104</v>
      </c>
      <c r="D23" s="134" t="s">
        <v>91</v>
      </c>
      <c r="E23" s="144">
        <v>85</v>
      </c>
      <c r="F23" s="118">
        <f>E23-11-6-5</f>
        <v>63</v>
      </c>
      <c r="G23" s="136">
        <f t="shared" si="3"/>
        <v>44.1</v>
      </c>
      <c r="H23" s="145">
        <v>54</v>
      </c>
      <c r="I23" s="120">
        <f t="shared" si="1"/>
        <v>122.44897959183673</v>
      </c>
      <c r="J23" s="112" t="s">
        <v>101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ht="21" customHeight="1" x14ac:dyDescent="0.55000000000000004">
      <c r="A24" s="121">
        <v>17</v>
      </c>
      <c r="B24" s="115"/>
      <c r="C24" s="143" t="s">
        <v>105</v>
      </c>
      <c r="D24" s="134" t="s">
        <v>106</v>
      </c>
      <c r="E24" s="144">
        <v>82</v>
      </c>
      <c r="F24" s="118">
        <f>E24-15-8-7</f>
        <v>52</v>
      </c>
      <c r="G24" s="136">
        <f t="shared" si="3"/>
        <v>36.4</v>
      </c>
      <c r="H24" s="146">
        <v>19</v>
      </c>
      <c r="I24" s="120">
        <f t="shared" si="1"/>
        <v>52.197802197802197</v>
      </c>
      <c r="J24" s="112" t="s">
        <v>107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1:29" ht="21" customHeight="1" x14ac:dyDescent="0.55000000000000004">
      <c r="A25" s="121">
        <v>18</v>
      </c>
      <c r="B25" s="115"/>
      <c r="C25" s="143" t="s">
        <v>108</v>
      </c>
      <c r="D25" s="134" t="s">
        <v>91</v>
      </c>
      <c r="E25" s="117">
        <v>77</v>
      </c>
      <c r="F25" s="118">
        <f>E25-10-2-6</f>
        <v>59</v>
      </c>
      <c r="G25" s="136">
        <f t="shared" si="3"/>
        <v>41.3</v>
      </c>
      <c r="H25" s="145">
        <v>43</v>
      </c>
      <c r="I25" s="120">
        <f t="shared" si="1"/>
        <v>104.11622276029057</v>
      </c>
      <c r="J25" s="112" t="s">
        <v>101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ht="21" customHeight="1" x14ac:dyDescent="0.55000000000000004">
      <c r="A26" s="121">
        <v>19</v>
      </c>
      <c r="B26" s="115"/>
      <c r="C26" s="143" t="s">
        <v>109</v>
      </c>
      <c r="D26" s="134" t="s">
        <v>91</v>
      </c>
      <c r="E26" s="117">
        <v>44</v>
      </c>
      <c r="F26" s="118">
        <f>E26-4-4-1</f>
        <v>35</v>
      </c>
      <c r="G26" s="136">
        <f t="shared" si="3"/>
        <v>24.5</v>
      </c>
      <c r="H26" s="145">
        <v>33</v>
      </c>
      <c r="I26" s="120">
        <f t="shared" si="1"/>
        <v>134.69387755102042</v>
      </c>
      <c r="J26" s="112" t="s">
        <v>95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ht="21" customHeight="1" x14ac:dyDescent="0.55000000000000004">
      <c r="A27" s="121">
        <v>20</v>
      </c>
      <c r="B27" s="115"/>
      <c r="C27" s="143" t="s">
        <v>110</v>
      </c>
      <c r="D27" s="134" t="s">
        <v>91</v>
      </c>
      <c r="E27" s="147">
        <v>101</v>
      </c>
      <c r="F27" s="148">
        <f>E27-9-3-2</f>
        <v>87</v>
      </c>
      <c r="G27" s="136">
        <f t="shared" si="3"/>
        <v>60.9</v>
      </c>
      <c r="H27" s="149">
        <v>40</v>
      </c>
      <c r="I27" s="120">
        <f t="shared" si="1"/>
        <v>65.681444991789817</v>
      </c>
      <c r="J27" s="112" t="s">
        <v>95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ht="21" customHeight="1" x14ac:dyDescent="0.55000000000000004">
      <c r="A28" s="121">
        <v>21</v>
      </c>
      <c r="B28" s="115"/>
      <c r="C28" s="115" t="s">
        <v>111</v>
      </c>
      <c r="D28" s="150" t="s">
        <v>112</v>
      </c>
      <c r="E28" s="121">
        <v>35</v>
      </c>
      <c r="F28" s="148">
        <f>E28-1</f>
        <v>34</v>
      </c>
      <c r="G28" s="136">
        <f t="shared" si="3"/>
        <v>23.8</v>
      </c>
      <c r="H28" s="149">
        <v>33</v>
      </c>
      <c r="I28" s="120">
        <f t="shared" si="1"/>
        <v>138.65546218487395</v>
      </c>
      <c r="J28" s="112" t="s">
        <v>107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ht="21" customHeight="1" x14ac:dyDescent="0.55000000000000004">
      <c r="A29" s="121">
        <v>22</v>
      </c>
      <c r="B29" s="115"/>
      <c r="C29" s="143" t="s">
        <v>113</v>
      </c>
      <c r="D29" s="150" t="s">
        <v>78</v>
      </c>
      <c r="E29" s="144">
        <v>133</v>
      </c>
      <c r="F29" s="151">
        <f>E29-26-2-3</f>
        <v>102</v>
      </c>
      <c r="G29" s="136">
        <f>(F29*70/100)+1</f>
        <v>72.400000000000006</v>
      </c>
      <c r="H29" s="152">
        <v>67</v>
      </c>
      <c r="I29" s="120">
        <f>H29*100/G29</f>
        <v>92.541436464088392</v>
      </c>
      <c r="J29" s="112" t="s">
        <v>114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ht="21" customHeight="1" x14ac:dyDescent="0.55000000000000004">
      <c r="A30" s="121"/>
      <c r="B30" s="153" t="s">
        <v>115</v>
      </c>
      <c r="C30" s="153"/>
      <c r="D30" s="154"/>
      <c r="E30" s="155">
        <f t="shared" ref="E30:H30" si="5">SUM(E15:E29)</f>
        <v>696</v>
      </c>
      <c r="F30" s="156">
        <f t="shared" si="5"/>
        <v>541</v>
      </c>
      <c r="G30" s="156">
        <f t="shared" si="5"/>
        <v>379.70000000000005</v>
      </c>
      <c r="H30" s="156">
        <f t="shared" si="5"/>
        <v>362</v>
      </c>
      <c r="I30" s="127">
        <f>H30*100/G30</f>
        <v>95.338425072425593</v>
      </c>
      <c r="J30" s="112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ht="21" customHeight="1" x14ac:dyDescent="0.55000000000000004">
      <c r="A31" s="128"/>
      <c r="B31" s="129" t="s">
        <v>116</v>
      </c>
      <c r="C31" s="130"/>
      <c r="D31" s="157"/>
      <c r="E31" s="111"/>
      <c r="F31" s="132"/>
      <c r="G31" s="132"/>
      <c r="H31" s="132"/>
      <c r="I31" s="111"/>
      <c r="J31" s="11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ht="21" customHeight="1" x14ac:dyDescent="0.55000000000000004">
      <c r="A32" s="121">
        <v>23</v>
      </c>
      <c r="B32" s="122" t="s">
        <v>117</v>
      </c>
      <c r="C32" s="143" t="s">
        <v>118</v>
      </c>
      <c r="D32" s="150" t="s">
        <v>86</v>
      </c>
      <c r="E32" s="117">
        <v>17</v>
      </c>
      <c r="F32" s="158">
        <f>E32-6-2-3</f>
        <v>6</v>
      </c>
      <c r="G32" s="158">
        <f t="shared" ref="G32:G33" si="6">F32*70/100</f>
        <v>4.2</v>
      </c>
      <c r="H32" s="159">
        <v>6</v>
      </c>
      <c r="I32" s="120">
        <f>H32*100/G32</f>
        <v>142.85714285714286</v>
      </c>
      <c r="J32" s="112" t="s">
        <v>119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29" ht="21" customHeight="1" x14ac:dyDescent="0.55000000000000004">
      <c r="A33" s="121">
        <v>24</v>
      </c>
      <c r="B33" s="143" t="s">
        <v>120</v>
      </c>
      <c r="C33" s="143" t="s">
        <v>121</v>
      </c>
      <c r="D33" s="150" t="s">
        <v>86</v>
      </c>
      <c r="E33" s="117">
        <v>81</v>
      </c>
      <c r="F33" s="118">
        <f>E33-5-4-1</f>
        <v>71</v>
      </c>
      <c r="G33" s="158">
        <f t="shared" si="6"/>
        <v>49.7</v>
      </c>
      <c r="H33" s="145">
        <v>67</v>
      </c>
      <c r="I33" s="120">
        <f t="shared" ref="I33:I37" si="7">H33*100/G33</f>
        <v>134.80885311871228</v>
      </c>
      <c r="J33" s="112" t="s">
        <v>119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4" spans="1:29" ht="21" customHeight="1" x14ac:dyDescent="0.55000000000000004">
      <c r="A34" s="121">
        <v>25</v>
      </c>
      <c r="B34" s="122"/>
      <c r="C34" s="122" t="s">
        <v>122</v>
      </c>
      <c r="D34" s="150" t="s">
        <v>86</v>
      </c>
      <c r="E34" s="117">
        <v>119</v>
      </c>
      <c r="F34" s="118">
        <f>E34-4-4-2</f>
        <v>109</v>
      </c>
      <c r="G34" s="158">
        <f>(F34*70/100)+3</f>
        <v>79.3</v>
      </c>
      <c r="H34" s="145">
        <v>93</v>
      </c>
      <c r="I34" s="120">
        <f t="shared" si="7"/>
        <v>117.27616645649432</v>
      </c>
      <c r="J34" s="112" t="s">
        <v>119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spans="1:29" ht="21" customHeight="1" x14ac:dyDescent="0.55000000000000004">
      <c r="A35" s="121">
        <v>26</v>
      </c>
      <c r="B35" s="115"/>
      <c r="C35" s="143" t="s">
        <v>123</v>
      </c>
      <c r="D35" s="150" t="s">
        <v>86</v>
      </c>
      <c r="E35" s="117">
        <v>169</v>
      </c>
      <c r="F35" s="118">
        <f>E35-12-11-23</f>
        <v>123</v>
      </c>
      <c r="G35" s="158">
        <f>(F35*70/100)+7</f>
        <v>93.1</v>
      </c>
      <c r="H35" s="145">
        <v>92</v>
      </c>
      <c r="I35" s="120">
        <f t="shared" si="7"/>
        <v>98.818474758324385</v>
      </c>
      <c r="J35" s="112" t="s">
        <v>119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</row>
    <row r="36" spans="1:29" ht="21" customHeight="1" x14ac:dyDescent="0.55000000000000004">
      <c r="A36" s="121">
        <v>27</v>
      </c>
      <c r="B36" s="115"/>
      <c r="C36" s="122" t="s">
        <v>124</v>
      </c>
      <c r="D36" s="150" t="s">
        <v>86</v>
      </c>
      <c r="E36" s="117">
        <v>54</v>
      </c>
      <c r="F36" s="118">
        <f>E36-1-3-2</f>
        <v>48</v>
      </c>
      <c r="G36" s="158">
        <f>F36*70/100</f>
        <v>33.6</v>
      </c>
      <c r="H36" s="145">
        <v>34</v>
      </c>
      <c r="I36" s="120">
        <f t="shared" si="7"/>
        <v>101.19047619047619</v>
      </c>
      <c r="J36" s="112" t="s">
        <v>119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ht="21" customHeight="1" x14ac:dyDescent="0.55000000000000004">
      <c r="A37" s="121">
        <v>28</v>
      </c>
      <c r="B37" s="115"/>
      <c r="C37" s="122" t="s">
        <v>125</v>
      </c>
      <c r="D37" s="150" t="s">
        <v>86</v>
      </c>
      <c r="E37" s="117">
        <v>129</v>
      </c>
      <c r="F37" s="118">
        <f>E37-7-7-3</f>
        <v>112</v>
      </c>
      <c r="G37" s="158">
        <f t="shared" ref="G37:G38" si="8">(F37*70/100)+5</f>
        <v>83.4</v>
      </c>
      <c r="H37" s="145">
        <v>87</v>
      </c>
      <c r="I37" s="120">
        <f t="shared" si="7"/>
        <v>104.31654676258992</v>
      </c>
      <c r="J37" s="112" t="s">
        <v>119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ht="21" customHeight="1" x14ac:dyDescent="0.55000000000000004">
      <c r="A38" s="121">
        <v>29</v>
      </c>
      <c r="B38" s="115"/>
      <c r="C38" s="160" t="s">
        <v>126</v>
      </c>
      <c r="D38" s="150" t="s">
        <v>86</v>
      </c>
      <c r="E38" s="135">
        <v>130</v>
      </c>
      <c r="F38" s="161">
        <f>E38-15-10-2</f>
        <v>103</v>
      </c>
      <c r="G38" s="158">
        <f t="shared" si="8"/>
        <v>77.099999999999994</v>
      </c>
      <c r="H38" s="145">
        <v>95</v>
      </c>
      <c r="I38" s="120">
        <f>H38*100/G38</f>
        <v>123.21660181582361</v>
      </c>
      <c r="J38" s="112" t="s">
        <v>119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ht="21" customHeight="1" x14ac:dyDescent="0.55000000000000004">
      <c r="A39" s="121"/>
      <c r="B39" s="162" t="s">
        <v>115</v>
      </c>
      <c r="C39" s="163"/>
      <c r="D39" s="164"/>
      <c r="E39" s="165">
        <f t="shared" ref="E39:H39" si="9">SUM(E32:E38)</f>
        <v>699</v>
      </c>
      <c r="F39" s="166">
        <f t="shared" si="9"/>
        <v>572</v>
      </c>
      <c r="G39" s="166">
        <f t="shared" si="9"/>
        <v>420.4</v>
      </c>
      <c r="H39" s="166">
        <f t="shared" si="9"/>
        <v>474</v>
      </c>
      <c r="I39" s="127">
        <f>H39*100/G39</f>
        <v>112.74976213130353</v>
      </c>
      <c r="J39" s="112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ht="21" customHeight="1" x14ac:dyDescent="0.55000000000000004">
      <c r="A40" s="128"/>
      <c r="B40" s="129" t="s">
        <v>127</v>
      </c>
      <c r="C40" s="130"/>
      <c r="D40" s="167"/>
      <c r="E40" s="111"/>
      <c r="F40" s="132"/>
      <c r="G40" s="132"/>
      <c r="H40" s="132"/>
      <c r="I40" s="111"/>
      <c r="J40" s="112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ht="21" customHeight="1" x14ac:dyDescent="0.55000000000000004">
      <c r="A41" s="121">
        <v>30</v>
      </c>
      <c r="B41" s="115" t="s">
        <v>128</v>
      </c>
      <c r="C41" s="122" t="s">
        <v>129</v>
      </c>
      <c r="D41" s="150" t="s">
        <v>86</v>
      </c>
      <c r="E41" s="168">
        <v>57</v>
      </c>
      <c r="F41" s="169">
        <f>E41-6-1-1</f>
        <v>49</v>
      </c>
      <c r="G41" s="169">
        <f t="shared" ref="G41:G49" si="10">F41*70/100</f>
        <v>34.299999999999997</v>
      </c>
      <c r="H41" s="170">
        <v>42</v>
      </c>
      <c r="I41" s="120">
        <f>H41*100/G41</f>
        <v>122.44897959183675</v>
      </c>
      <c r="J41" s="112" t="s">
        <v>92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</row>
    <row r="42" spans="1:29" ht="21" customHeight="1" x14ac:dyDescent="0.55000000000000004">
      <c r="A42" s="121">
        <v>31</v>
      </c>
      <c r="B42" s="143" t="s">
        <v>130</v>
      </c>
      <c r="C42" s="115" t="s">
        <v>131</v>
      </c>
      <c r="D42" s="150" t="s">
        <v>86</v>
      </c>
      <c r="E42" s="168">
        <v>358</v>
      </c>
      <c r="F42" s="169">
        <f>E42-35-25-26</f>
        <v>272</v>
      </c>
      <c r="G42" s="169">
        <f t="shared" si="10"/>
        <v>190.4</v>
      </c>
      <c r="H42" s="170">
        <v>252</v>
      </c>
      <c r="I42" s="120">
        <f t="shared" ref="I42:I49" si="11">H42*100/G42</f>
        <v>132.35294117647058</v>
      </c>
      <c r="J42" s="112" t="s">
        <v>92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</row>
    <row r="43" spans="1:29" ht="21" customHeight="1" x14ac:dyDescent="0.55000000000000004">
      <c r="A43" s="121">
        <v>32</v>
      </c>
      <c r="B43" s="143" t="s">
        <v>132</v>
      </c>
      <c r="C43" s="115" t="s">
        <v>133</v>
      </c>
      <c r="D43" s="150" t="s">
        <v>86</v>
      </c>
      <c r="E43" s="168">
        <v>55</v>
      </c>
      <c r="F43" s="169">
        <f>55-12-11-4-2</f>
        <v>26</v>
      </c>
      <c r="G43" s="169">
        <f t="shared" si="10"/>
        <v>18.2</v>
      </c>
      <c r="H43" s="170">
        <v>34</v>
      </c>
      <c r="I43" s="120">
        <f t="shared" si="11"/>
        <v>186.81318681318683</v>
      </c>
      <c r="J43" s="112" t="s">
        <v>92</v>
      </c>
      <c r="K43" s="73" t="s">
        <v>134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29" ht="24" customHeight="1" x14ac:dyDescent="0.55000000000000004">
      <c r="A44" s="121">
        <v>33</v>
      </c>
      <c r="B44" s="171"/>
      <c r="C44" s="160" t="s">
        <v>135</v>
      </c>
      <c r="D44" s="150" t="s">
        <v>86</v>
      </c>
      <c r="E44" s="172">
        <v>108</v>
      </c>
      <c r="F44" s="118">
        <f>E44-13-2-4</f>
        <v>89</v>
      </c>
      <c r="G44" s="169">
        <f t="shared" si="10"/>
        <v>62.3</v>
      </c>
      <c r="H44" s="170">
        <v>72</v>
      </c>
      <c r="I44" s="120">
        <f t="shared" si="11"/>
        <v>115.56982343499197</v>
      </c>
      <c r="J44" s="112" t="s">
        <v>92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  <row r="45" spans="1:29" ht="24" customHeight="1" x14ac:dyDescent="0.55000000000000004">
      <c r="A45" s="121">
        <v>34</v>
      </c>
      <c r="B45" s="143"/>
      <c r="C45" s="160" t="s">
        <v>136</v>
      </c>
      <c r="D45" s="150" t="s">
        <v>86</v>
      </c>
      <c r="E45" s="172">
        <v>100</v>
      </c>
      <c r="F45" s="118">
        <f>E45-10-1-9</f>
        <v>80</v>
      </c>
      <c r="G45" s="169">
        <f t="shared" si="10"/>
        <v>56</v>
      </c>
      <c r="H45" s="170">
        <v>74</v>
      </c>
      <c r="I45" s="120">
        <f>H45*100/G45</f>
        <v>132.14285714285714</v>
      </c>
      <c r="J45" s="112" t="s">
        <v>92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1:29" ht="24" customHeight="1" x14ac:dyDescent="0.55000000000000004">
      <c r="A46" s="121">
        <v>35</v>
      </c>
      <c r="B46" s="143"/>
      <c r="C46" s="160" t="s">
        <v>137</v>
      </c>
      <c r="D46" s="150" t="s">
        <v>86</v>
      </c>
      <c r="E46" s="172">
        <v>216</v>
      </c>
      <c r="F46" s="118">
        <f>E46-19-10-11</f>
        <v>176</v>
      </c>
      <c r="G46" s="169">
        <f t="shared" si="10"/>
        <v>123.2</v>
      </c>
      <c r="H46" s="170">
        <v>150</v>
      </c>
      <c r="I46" s="120">
        <f t="shared" si="11"/>
        <v>121.75324675324676</v>
      </c>
      <c r="J46" s="112" t="s">
        <v>92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ht="24" customHeight="1" x14ac:dyDescent="0.55000000000000004">
      <c r="A47" s="121">
        <v>36</v>
      </c>
      <c r="B47" s="143"/>
      <c r="C47" s="160" t="s">
        <v>138</v>
      </c>
      <c r="D47" s="150" t="s">
        <v>86</v>
      </c>
      <c r="E47" s="172">
        <v>94</v>
      </c>
      <c r="F47" s="118">
        <f>E47-9-3-12</f>
        <v>70</v>
      </c>
      <c r="G47" s="169">
        <f t="shared" si="10"/>
        <v>49</v>
      </c>
      <c r="H47" s="170">
        <v>57</v>
      </c>
      <c r="I47" s="120">
        <f t="shared" si="11"/>
        <v>116.32653061224489</v>
      </c>
      <c r="J47" s="112" t="s">
        <v>92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</row>
    <row r="48" spans="1:29" ht="24" customHeight="1" x14ac:dyDescent="0.55000000000000004">
      <c r="A48" s="121">
        <v>37</v>
      </c>
      <c r="B48" s="143"/>
      <c r="C48" s="160" t="s">
        <v>139</v>
      </c>
      <c r="D48" s="150" t="s">
        <v>86</v>
      </c>
      <c r="E48" s="172">
        <v>137</v>
      </c>
      <c r="F48" s="118">
        <f>E48-24-10-6</f>
        <v>97</v>
      </c>
      <c r="G48" s="169">
        <f t="shared" si="10"/>
        <v>67.900000000000006</v>
      </c>
      <c r="H48" s="170">
        <v>76</v>
      </c>
      <c r="I48" s="120">
        <f t="shared" si="11"/>
        <v>111.92930780559645</v>
      </c>
      <c r="J48" s="112" t="s">
        <v>92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</row>
    <row r="49" spans="1:29" ht="24" customHeight="1" x14ac:dyDescent="0.55000000000000004">
      <c r="A49" s="121">
        <v>38</v>
      </c>
      <c r="B49" s="143"/>
      <c r="C49" s="160" t="s">
        <v>140</v>
      </c>
      <c r="D49" s="150" t="s">
        <v>86</v>
      </c>
      <c r="E49" s="172">
        <v>240</v>
      </c>
      <c r="F49" s="118">
        <f>E49-26-8-18</f>
        <v>188</v>
      </c>
      <c r="G49" s="169">
        <f t="shared" si="10"/>
        <v>131.6</v>
      </c>
      <c r="H49" s="170">
        <v>141</v>
      </c>
      <c r="I49" s="120">
        <f t="shared" si="11"/>
        <v>107.14285714285715</v>
      </c>
      <c r="J49" s="112" t="s">
        <v>92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</row>
    <row r="50" spans="1:29" ht="24" customHeight="1" x14ac:dyDescent="0.55000000000000004">
      <c r="A50" s="121"/>
      <c r="B50" s="173" t="s">
        <v>115</v>
      </c>
      <c r="C50" s="173"/>
      <c r="D50" s="174"/>
      <c r="E50" s="175">
        <f t="shared" ref="E50:H50" si="12">SUM(E41:E49)</f>
        <v>1365</v>
      </c>
      <c r="F50" s="176">
        <f t="shared" si="12"/>
        <v>1047</v>
      </c>
      <c r="G50" s="176">
        <f t="shared" si="12"/>
        <v>732.9</v>
      </c>
      <c r="H50" s="176">
        <f t="shared" si="12"/>
        <v>898</v>
      </c>
      <c r="I50" s="127">
        <f>H50*100/G50</f>
        <v>122.52694774184747</v>
      </c>
      <c r="J50" s="11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</row>
    <row r="51" spans="1:29" ht="24" customHeight="1" x14ac:dyDescent="0.55000000000000004">
      <c r="A51" s="128"/>
      <c r="B51" s="177" t="s">
        <v>141</v>
      </c>
      <c r="C51" s="130"/>
      <c r="D51" s="157"/>
      <c r="E51" s="111"/>
      <c r="F51" s="132"/>
      <c r="G51" s="132"/>
      <c r="H51" s="132"/>
      <c r="I51" s="111"/>
      <c r="J51" s="112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</row>
    <row r="52" spans="1:29" ht="24" customHeight="1" x14ac:dyDescent="0.55000000000000004">
      <c r="A52" s="121">
        <v>39</v>
      </c>
      <c r="B52" s="122" t="s">
        <v>89</v>
      </c>
      <c r="C52" s="122" t="s">
        <v>142</v>
      </c>
      <c r="D52" s="150" t="s">
        <v>143</v>
      </c>
      <c r="E52" s="117">
        <v>30</v>
      </c>
      <c r="F52" s="118">
        <f>30-7-4-4</f>
        <v>15</v>
      </c>
      <c r="G52" s="118">
        <f>F52*70/100</f>
        <v>10.5</v>
      </c>
      <c r="H52" s="146"/>
      <c r="I52" s="120">
        <f t="shared" ref="I52:I60" si="13">H52*100/G52</f>
        <v>0</v>
      </c>
      <c r="J52" s="112" t="s">
        <v>101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</row>
    <row r="53" spans="1:29" ht="24" customHeight="1" x14ac:dyDescent="0.55000000000000004">
      <c r="A53" s="121">
        <v>40</v>
      </c>
      <c r="B53" s="122"/>
      <c r="C53" s="122" t="s">
        <v>144</v>
      </c>
      <c r="D53" s="150" t="s">
        <v>143</v>
      </c>
      <c r="E53" s="117">
        <v>56</v>
      </c>
      <c r="F53" s="118">
        <f>56-17-2-6</f>
        <v>31</v>
      </c>
      <c r="G53" s="118">
        <f>(F53*70/100)+1</f>
        <v>22.7</v>
      </c>
      <c r="H53" s="145">
        <v>6</v>
      </c>
      <c r="I53" s="120">
        <f t="shared" si="13"/>
        <v>26.431718061674008</v>
      </c>
      <c r="J53" s="112" t="s">
        <v>101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</row>
    <row r="54" spans="1:29" ht="39.75" customHeight="1" x14ac:dyDescent="0.55000000000000004">
      <c r="A54" s="121">
        <v>41</v>
      </c>
      <c r="B54" s="122"/>
      <c r="C54" s="122" t="s">
        <v>145</v>
      </c>
      <c r="D54" s="150" t="s">
        <v>78</v>
      </c>
      <c r="E54" s="117">
        <v>25</v>
      </c>
      <c r="F54" s="118">
        <f>25-6-1-2</f>
        <v>16</v>
      </c>
      <c r="G54" s="118">
        <f t="shared" ref="G54:G59" si="14">F54*70/100</f>
        <v>11.2</v>
      </c>
      <c r="H54" s="145">
        <v>9</v>
      </c>
      <c r="I54" s="120">
        <f t="shared" si="13"/>
        <v>80.357142857142861</v>
      </c>
      <c r="J54" s="112" t="s">
        <v>101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</row>
    <row r="55" spans="1:29" ht="24.75" customHeight="1" x14ac:dyDescent="0.55000000000000004">
      <c r="A55" s="121">
        <v>42</v>
      </c>
      <c r="B55" s="122"/>
      <c r="C55" s="122" t="s">
        <v>146</v>
      </c>
      <c r="D55" s="150" t="s">
        <v>86</v>
      </c>
      <c r="E55" s="117">
        <v>7</v>
      </c>
      <c r="F55" s="118">
        <f>7-6</f>
        <v>1</v>
      </c>
      <c r="G55" s="118">
        <f t="shared" si="14"/>
        <v>0.7</v>
      </c>
      <c r="H55" s="146"/>
      <c r="I55" s="120">
        <f t="shared" si="13"/>
        <v>0</v>
      </c>
      <c r="J55" s="112" t="s">
        <v>101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ht="24.75" customHeight="1" x14ac:dyDescent="0.55000000000000004">
      <c r="A56" s="121">
        <v>43</v>
      </c>
      <c r="B56" s="122"/>
      <c r="C56" s="122" t="s">
        <v>147</v>
      </c>
      <c r="D56" s="150" t="s">
        <v>86</v>
      </c>
      <c r="E56" s="117">
        <v>24</v>
      </c>
      <c r="F56" s="118">
        <f>24-9</f>
        <v>15</v>
      </c>
      <c r="G56" s="118">
        <f t="shared" si="14"/>
        <v>10.5</v>
      </c>
      <c r="H56" s="145">
        <v>6</v>
      </c>
      <c r="I56" s="120">
        <f t="shared" si="13"/>
        <v>57.142857142857146</v>
      </c>
      <c r="J56" s="112" t="s">
        <v>101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</row>
    <row r="57" spans="1:29" ht="24" customHeight="1" x14ac:dyDescent="0.55000000000000004">
      <c r="A57" s="121">
        <v>44</v>
      </c>
      <c r="B57" s="122" t="s">
        <v>148</v>
      </c>
      <c r="C57" s="122" t="s">
        <v>149</v>
      </c>
      <c r="D57" s="150" t="s">
        <v>143</v>
      </c>
      <c r="E57" s="117">
        <v>46</v>
      </c>
      <c r="F57" s="118">
        <f>46-9-2</f>
        <v>35</v>
      </c>
      <c r="G57" s="118">
        <f t="shared" si="14"/>
        <v>24.5</v>
      </c>
      <c r="H57" s="146">
        <v>6</v>
      </c>
      <c r="I57" s="120">
        <f t="shared" si="13"/>
        <v>24.489795918367346</v>
      </c>
      <c r="J57" s="112" t="s">
        <v>150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29" ht="24" customHeight="1" x14ac:dyDescent="0.55000000000000004">
      <c r="A58" s="121">
        <v>45</v>
      </c>
      <c r="B58" s="122" t="s">
        <v>89</v>
      </c>
      <c r="C58" s="143" t="s">
        <v>151</v>
      </c>
      <c r="D58" s="150" t="s">
        <v>86</v>
      </c>
      <c r="E58" s="117">
        <v>64</v>
      </c>
      <c r="F58" s="118">
        <f>64-10-3-7</f>
        <v>44</v>
      </c>
      <c r="G58" s="118">
        <f t="shared" si="14"/>
        <v>30.8</v>
      </c>
      <c r="H58" s="145">
        <v>27</v>
      </c>
      <c r="I58" s="120">
        <f t="shared" si="13"/>
        <v>87.662337662337663</v>
      </c>
      <c r="J58" s="112" t="s">
        <v>101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ht="24" customHeight="1" x14ac:dyDescent="0.55000000000000004">
      <c r="A59" s="121">
        <v>46</v>
      </c>
      <c r="B59" s="178"/>
      <c r="C59" s="160" t="s">
        <v>152</v>
      </c>
      <c r="D59" s="150" t="s">
        <v>86</v>
      </c>
      <c r="E59" s="135">
        <v>100</v>
      </c>
      <c r="F59" s="169">
        <f>100-44</f>
        <v>56</v>
      </c>
      <c r="G59" s="118">
        <f t="shared" si="14"/>
        <v>39.200000000000003</v>
      </c>
      <c r="H59" s="179">
        <v>9</v>
      </c>
      <c r="I59" s="120">
        <f t="shared" si="13"/>
        <v>22.959183673469386</v>
      </c>
      <c r="J59" s="112" t="s">
        <v>97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24" customHeight="1" x14ac:dyDescent="0.55000000000000004">
      <c r="A60" s="121">
        <v>47</v>
      </c>
      <c r="B60" s="115"/>
      <c r="C60" s="143" t="s">
        <v>153</v>
      </c>
      <c r="D60" s="150" t="s">
        <v>86</v>
      </c>
      <c r="E60" s="117">
        <v>47</v>
      </c>
      <c r="F60" s="118">
        <f>47-2</f>
        <v>45</v>
      </c>
      <c r="G60" s="118">
        <f>(F60*70/100)+1</f>
        <v>32.5</v>
      </c>
      <c r="H60" s="145">
        <v>43</v>
      </c>
      <c r="I60" s="120">
        <f t="shared" si="13"/>
        <v>132.30769230769232</v>
      </c>
      <c r="J60" s="112" t="s">
        <v>154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</row>
    <row r="61" spans="1:29" ht="24" customHeight="1" x14ac:dyDescent="0.55000000000000004">
      <c r="A61" s="121">
        <v>48</v>
      </c>
      <c r="B61" s="178"/>
      <c r="C61" s="180" t="s">
        <v>155</v>
      </c>
      <c r="D61" s="150" t="s">
        <v>78</v>
      </c>
      <c r="E61" s="135">
        <v>29</v>
      </c>
      <c r="F61" s="169">
        <f>29-6-6</f>
        <v>17</v>
      </c>
      <c r="G61" s="118">
        <f>F61*70/100</f>
        <v>11.9</v>
      </c>
      <c r="H61" s="181">
        <v>6</v>
      </c>
      <c r="I61" s="120">
        <f>H61*100/G61</f>
        <v>50.420168067226889</v>
      </c>
      <c r="J61" s="112" t="s">
        <v>156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ht="24" customHeight="1" x14ac:dyDescent="0.55000000000000004">
      <c r="A62" s="121"/>
      <c r="B62" s="182" t="s">
        <v>115</v>
      </c>
      <c r="C62" s="182"/>
      <c r="D62" s="183"/>
      <c r="E62" s="184">
        <f t="shared" ref="E62:H62" si="15">SUM(E52:E61)</f>
        <v>428</v>
      </c>
      <c r="F62" s="185">
        <f t="shared" si="15"/>
        <v>275</v>
      </c>
      <c r="G62" s="185">
        <f t="shared" si="15"/>
        <v>194.50000000000003</v>
      </c>
      <c r="H62" s="185">
        <f t="shared" si="15"/>
        <v>112</v>
      </c>
      <c r="I62" s="127">
        <f>H62*100/G62</f>
        <v>57.58354755784061</v>
      </c>
      <c r="J62" s="112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  <row r="63" spans="1:29" ht="24" customHeight="1" x14ac:dyDescent="0.55000000000000004">
      <c r="A63" s="128"/>
      <c r="B63" s="129" t="s">
        <v>157</v>
      </c>
      <c r="C63" s="130"/>
      <c r="D63" s="167"/>
      <c r="E63" s="111"/>
      <c r="F63" s="132"/>
      <c r="G63" s="132"/>
      <c r="H63" s="132"/>
      <c r="I63" s="111"/>
      <c r="J63" s="112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</row>
    <row r="64" spans="1:29" ht="24" customHeight="1" x14ac:dyDescent="0.55000000000000004">
      <c r="A64" s="121">
        <v>49</v>
      </c>
      <c r="B64" s="143" t="s">
        <v>158</v>
      </c>
      <c r="C64" s="186" t="s">
        <v>159</v>
      </c>
      <c r="D64" s="150" t="s">
        <v>86</v>
      </c>
      <c r="E64" s="135">
        <v>102</v>
      </c>
      <c r="F64" s="169">
        <f>E64-25-2-10</f>
        <v>65</v>
      </c>
      <c r="G64" s="169">
        <f>F64*70/100</f>
        <v>45.5</v>
      </c>
      <c r="H64" s="187">
        <v>22</v>
      </c>
      <c r="I64" s="120">
        <f>H64*100/G64</f>
        <v>48.35164835164835</v>
      </c>
      <c r="J64" s="112" t="s">
        <v>119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</row>
    <row r="65" spans="1:29" ht="24" customHeight="1" x14ac:dyDescent="0.55000000000000004">
      <c r="A65" s="121">
        <v>50</v>
      </c>
      <c r="B65" s="178"/>
      <c r="C65" s="186" t="s">
        <v>160</v>
      </c>
      <c r="D65" s="150" t="s">
        <v>86</v>
      </c>
      <c r="E65" s="135">
        <f>75+58</f>
        <v>133</v>
      </c>
      <c r="F65" s="169">
        <f>133-28</f>
        <v>105</v>
      </c>
      <c r="G65" s="169">
        <f>(F65*70/100)+1</f>
        <v>74.5</v>
      </c>
      <c r="H65" s="187">
        <f>33+46</f>
        <v>79</v>
      </c>
      <c r="I65" s="120">
        <f t="shared" ref="I65:I69" si="16">H65*100/G65</f>
        <v>106.04026845637584</v>
      </c>
      <c r="J65" s="112" t="s">
        <v>119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</row>
    <row r="66" spans="1:29" ht="24" customHeight="1" x14ac:dyDescent="0.55000000000000004">
      <c r="A66" s="121">
        <v>51</v>
      </c>
      <c r="B66" s="115"/>
      <c r="C66" s="115" t="s">
        <v>161</v>
      </c>
      <c r="D66" s="150" t="s">
        <v>78</v>
      </c>
      <c r="E66" s="117">
        <v>67</v>
      </c>
      <c r="F66" s="169">
        <f>67-3-3-11</f>
        <v>50</v>
      </c>
      <c r="G66" s="169">
        <f t="shared" ref="G66:G69" si="17">F66*70/100</f>
        <v>35</v>
      </c>
      <c r="H66" s="170">
        <v>20</v>
      </c>
      <c r="I66" s="120">
        <f t="shared" si="16"/>
        <v>57.142857142857146</v>
      </c>
      <c r="J66" s="112" t="s">
        <v>101</v>
      </c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</row>
    <row r="67" spans="1:29" ht="24" customHeight="1" x14ac:dyDescent="0.55000000000000004">
      <c r="A67" s="121">
        <v>52</v>
      </c>
      <c r="B67" s="115"/>
      <c r="C67" s="115" t="s">
        <v>162</v>
      </c>
      <c r="D67" s="150" t="s">
        <v>78</v>
      </c>
      <c r="E67" s="117">
        <v>52</v>
      </c>
      <c r="F67" s="169">
        <f>52-10-4</f>
        <v>38</v>
      </c>
      <c r="G67" s="169">
        <f t="shared" si="17"/>
        <v>26.6</v>
      </c>
      <c r="H67" s="170">
        <v>15</v>
      </c>
      <c r="I67" s="120">
        <f t="shared" si="16"/>
        <v>56.390977443609017</v>
      </c>
      <c r="J67" s="112" t="s">
        <v>101</v>
      </c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  <row r="68" spans="1:29" ht="24" customHeight="1" x14ac:dyDescent="0.55000000000000004">
      <c r="A68" s="121">
        <v>53</v>
      </c>
      <c r="B68" s="115"/>
      <c r="C68" s="143" t="s">
        <v>163</v>
      </c>
      <c r="D68" s="150" t="s">
        <v>78</v>
      </c>
      <c r="E68" s="117">
        <v>25</v>
      </c>
      <c r="F68" s="169">
        <f>25-6-4</f>
        <v>15</v>
      </c>
      <c r="G68" s="169">
        <f t="shared" si="17"/>
        <v>10.5</v>
      </c>
      <c r="H68" s="170">
        <v>5</v>
      </c>
      <c r="I68" s="120">
        <f t="shared" si="16"/>
        <v>47.61904761904762</v>
      </c>
      <c r="J68" s="112" t="s">
        <v>101</v>
      </c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ht="24" customHeight="1" x14ac:dyDescent="0.55000000000000004">
      <c r="A69" s="121">
        <v>54</v>
      </c>
      <c r="B69" s="115"/>
      <c r="C69" s="115" t="s">
        <v>164</v>
      </c>
      <c r="D69" s="150" t="s">
        <v>78</v>
      </c>
      <c r="E69" s="117">
        <v>41</v>
      </c>
      <c r="F69" s="169">
        <f>41-9-5-1</f>
        <v>26</v>
      </c>
      <c r="G69" s="169">
        <f t="shared" si="17"/>
        <v>18.2</v>
      </c>
      <c r="H69" s="170">
        <v>9</v>
      </c>
      <c r="I69" s="120">
        <f t="shared" si="16"/>
        <v>49.450549450549453</v>
      </c>
      <c r="J69" s="112" t="s">
        <v>119</v>
      </c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ht="24" customHeight="1" x14ac:dyDescent="0.55000000000000004">
      <c r="A70" s="121"/>
      <c r="B70" s="188" t="s">
        <v>115</v>
      </c>
      <c r="C70" s="188"/>
      <c r="D70" s="189"/>
      <c r="E70" s="190">
        <f t="shared" ref="E70:F70" si="18">SUM(E64,E65,E66:E69)</f>
        <v>420</v>
      </c>
      <c r="F70" s="191">
        <f t="shared" si="18"/>
        <v>299</v>
      </c>
      <c r="G70" s="191">
        <f t="shared" ref="G70:H70" si="19">SUM(G64:G69)</f>
        <v>210.29999999999998</v>
      </c>
      <c r="H70" s="191">
        <f t="shared" si="19"/>
        <v>150</v>
      </c>
      <c r="I70" s="192">
        <f>H70*100/G70</f>
        <v>71.32667617689016</v>
      </c>
      <c r="J70" s="11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ht="24" customHeight="1" x14ac:dyDescent="0.55000000000000004">
      <c r="A71" s="128"/>
      <c r="B71" s="177" t="s">
        <v>165</v>
      </c>
      <c r="C71" s="130"/>
      <c r="D71" s="157"/>
      <c r="E71" s="111"/>
      <c r="F71" s="132"/>
      <c r="G71" s="132"/>
      <c r="H71" s="132"/>
      <c r="I71" s="111"/>
      <c r="J71" s="112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ht="24" customHeight="1" x14ac:dyDescent="0.55000000000000004">
      <c r="A72" s="121">
        <v>55</v>
      </c>
      <c r="B72" s="115" t="s">
        <v>166</v>
      </c>
      <c r="C72" s="115" t="s">
        <v>167</v>
      </c>
      <c r="D72" s="150" t="s">
        <v>78</v>
      </c>
      <c r="E72" s="117">
        <v>34</v>
      </c>
      <c r="F72" s="118">
        <f>34-14-2-1</f>
        <v>17</v>
      </c>
      <c r="G72" s="118">
        <f t="shared" ref="G72:G73" si="20">F72*70/100</f>
        <v>11.9</v>
      </c>
      <c r="H72" s="145">
        <v>22</v>
      </c>
      <c r="I72" s="120">
        <f t="shared" ref="I72:I76" si="21">H72*100/G72</f>
        <v>184.87394957983193</v>
      </c>
      <c r="J72" s="112" t="s">
        <v>101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29" ht="24" customHeight="1" x14ac:dyDescent="0.55000000000000004">
      <c r="A73" s="121">
        <v>56</v>
      </c>
      <c r="B73" s="115"/>
      <c r="C73" s="193" t="s">
        <v>168</v>
      </c>
      <c r="D73" s="150" t="s">
        <v>78</v>
      </c>
      <c r="E73" s="117">
        <v>32</v>
      </c>
      <c r="F73" s="118">
        <f>E73-13-10-1-2</f>
        <v>6</v>
      </c>
      <c r="G73" s="118">
        <f t="shared" si="20"/>
        <v>4.2</v>
      </c>
      <c r="H73" s="145">
        <v>18</v>
      </c>
      <c r="I73" s="120">
        <f t="shared" si="21"/>
        <v>428.57142857142856</v>
      </c>
      <c r="J73" s="112" t="s">
        <v>101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</row>
    <row r="74" spans="1:29" ht="24" customHeight="1" x14ac:dyDescent="0.55000000000000004">
      <c r="A74" s="121">
        <v>57</v>
      </c>
      <c r="B74" s="115" t="s">
        <v>89</v>
      </c>
      <c r="C74" s="143" t="s">
        <v>169</v>
      </c>
      <c r="D74" s="150" t="s">
        <v>78</v>
      </c>
      <c r="E74" s="117">
        <v>74</v>
      </c>
      <c r="F74" s="118">
        <f>74-12-18-4-3</f>
        <v>37</v>
      </c>
      <c r="G74" s="118">
        <f t="shared" ref="G74:G75" si="22">(F74*70/100)+1</f>
        <v>26.9</v>
      </c>
      <c r="H74" s="145">
        <v>23</v>
      </c>
      <c r="I74" s="120">
        <f t="shared" si="21"/>
        <v>85.501858736059489</v>
      </c>
      <c r="J74" s="112" t="s">
        <v>101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</row>
    <row r="75" spans="1:29" ht="37.5" customHeight="1" x14ac:dyDescent="0.55000000000000004">
      <c r="A75" s="121">
        <v>58</v>
      </c>
      <c r="B75" s="115" t="s">
        <v>166</v>
      </c>
      <c r="C75" s="143" t="s">
        <v>170</v>
      </c>
      <c r="D75" s="115" t="s">
        <v>171</v>
      </c>
      <c r="E75" s="117">
        <v>36</v>
      </c>
      <c r="F75" s="118">
        <f>36-1</f>
        <v>35</v>
      </c>
      <c r="G75" s="118">
        <f t="shared" si="22"/>
        <v>25.5</v>
      </c>
      <c r="H75" s="145">
        <v>34</v>
      </c>
      <c r="I75" s="120">
        <f t="shared" si="21"/>
        <v>133.33333333333334</v>
      </c>
      <c r="J75" s="112" t="s">
        <v>101</v>
      </c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</row>
    <row r="76" spans="1:29" ht="24" customHeight="1" x14ac:dyDescent="0.55000000000000004">
      <c r="A76" s="121">
        <v>59</v>
      </c>
      <c r="B76" s="115" t="s">
        <v>166</v>
      </c>
      <c r="C76" s="143" t="s">
        <v>172</v>
      </c>
      <c r="D76" s="115" t="s">
        <v>91</v>
      </c>
      <c r="E76" s="117">
        <v>101</v>
      </c>
      <c r="F76" s="118">
        <f>101-14-6-10</f>
        <v>71</v>
      </c>
      <c r="G76" s="118">
        <f>(F76*70/100)+3+2</f>
        <v>54.7</v>
      </c>
      <c r="H76" s="145">
        <v>51</v>
      </c>
      <c r="I76" s="120">
        <f t="shared" si="21"/>
        <v>93.235831809872025</v>
      </c>
      <c r="J76" s="112" t="s">
        <v>150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ht="24" customHeight="1" x14ac:dyDescent="0.55000000000000004">
      <c r="A77" s="121"/>
      <c r="B77" s="173" t="s">
        <v>115</v>
      </c>
      <c r="C77" s="173"/>
      <c r="D77" s="174"/>
      <c r="E77" s="175">
        <f t="shared" ref="E77:H77" si="23">SUM(E72:E76)</f>
        <v>277</v>
      </c>
      <c r="F77" s="176">
        <f t="shared" si="23"/>
        <v>166</v>
      </c>
      <c r="G77" s="176">
        <f t="shared" si="23"/>
        <v>123.2</v>
      </c>
      <c r="H77" s="176">
        <f t="shared" si="23"/>
        <v>148</v>
      </c>
      <c r="I77" s="127">
        <f>H77*100/G77</f>
        <v>120.12987012987013</v>
      </c>
      <c r="J77" s="112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</row>
    <row r="78" spans="1:29" ht="24" customHeight="1" x14ac:dyDescent="0.55000000000000004">
      <c r="A78" s="128"/>
      <c r="B78" s="129" t="s">
        <v>173</v>
      </c>
      <c r="C78" s="130"/>
      <c r="D78" s="157"/>
      <c r="E78" s="111"/>
      <c r="F78" s="132"/>
      <c r="G78" s="132"/>
      <c r="H78" s="132"/>
      <c r="I78" s="111"/>
      <c r="J78" s="112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</row>
    <row r="79" spans="1:29" ht="24" customHeight="1" x14ac:dyDescent="0.55000000000000004">
      <c r="A79" s="121">
        <v>60</v>
      </c>
      <c r="B79" s="122" t="s">
        <v>174</v>
      </c>
      <c r="C79" s="115" t="s">
        <v>175</v>
      </c>
      <c r="D79" s="116" t="s">
        <v>176</v>
      </c>
      <c r="E79" s="117">
        <v>130</v>
      </c>
      <c r="F79" s="118">
        <f>130-5-5</f>
        <v>120</v>
      </c>
      <c r="G79" s="118">
        <f>(F79*70/100)+1</f>
        <v>85</v>
      </c>
      <c r="H79" s="118">
        <v>116</v>
      </c>
      <c r="I79" s="120">
        <f>H79*100/G79</f>
        <v>136.47058823529412</v>
      </c>
      <c r="J79" s="112" t="s">
        <v>114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</row>
    <row r="80" spans="1:29" ht="24" customHeight="1" x14ac:dyDescent="0.55000000000000004">
      <c r="A80" s="121"/>
      <c r="B80" s="194" t="s">
        <v>115</v>
      </c>
      <c r="C80" s="194"/>
      <c r="D80" s="195"/>
      <c r="E80" s="196">
        <f t="shared" ref="E80:F80" si="24">E79</f>
        <v>130</v>
      </c>
      <c r="F80" s="197">
        <f t="shared" si="24"/>
        <v>120</v>
      </c>
      <c r="G80" s="197">
        <f t="shared" ref="G80:H80" si="25">SUM(G79)</f>
        <v>85</v>
      </c>
      <c r="H80" s="197">
        <f t="shared" si="25"/>
        <v>116</v>
      </c>
      <c r="I80" s="127">
        <f>H80*100/G80</f>
        <v>136.47058823529412</v>
      </c>
      <c r="J80" s="112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</row>
    <row r="81" spans="1:29" ht="24" customHeight="1" x14ac:dyDescent="0.55000000000000004">
      <c r="A81" s="128"/>
      <c r="B81" s="129" t="s">
        <v>177</v>
      </c>
      <c r="C81" s="130"/>
      <c r="D81" s="157"/>
      <c r="E81" s="111"/>
      <c r="F81" s="132"/>
      <c r="G81" s="132"/>
      <c r="H81" s="132"/>
      <c r="I81" s="111"/>
      <c r="J81" s="112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</row>
    <row r="82" spans="1:29" ht="24" customHeight="1" x14ac:dyDescent="0.55000000000000004">
      <c r="A82" s="121">
        <v>61</v>
      </c>
      <c r="B82" s="122" t="s">
        <v>178</v>
      </c>
      <c r="C82" s="143" t="s">
        <v>179</v>
      </c>
      <c r="D82" s="150" t="s">
        <v>78</v>
      </c>
      <c r="E82" s="117">
        <v>83</v>
      </c>
      <c r="F82" s="118">
        <f>83-11-8-3</f>
        <v>61</v>
      </c>
      <c r="G82" s="118">
        <f>(F82*70/100)-1</f>
        <v>41.7</v>
      </c>
      <c r="H82" s="145">
        <v>59</v>
      </c>
      <c r="I82" s="120">
        <f>H82*100/G82</f>
        <v>141.48681055155873</v>
      </c>
      <c r="J82" s="112" t="s">
        <v>114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</row>
    <row r="83" spans="1:29" ht="24" customHeight="1" x14ac:dyDescent="0.55000000000000004">
      <c r="A83" s="121">
        <v>62</v>
      </c>
      <c r="B83" s="115" t="s">
        <v>89</v>
      </c>
      <c r="C83" s="143" t="s">
        <v>180</v>
      </c>
      <c r="D83" s="115" t="s">
        <v>91</v>
      </c>
      <c r="E83" s="117">
        <f>12+8+18</f>
        <v>38</v>
      </c>
      <c r="F83" s="118">
        <f>E83-5</f>
        <v>33</v>
      </c>
      <c r="G83" s="118">
        <f t="shared" ref="G83:G85" si="26">F83*70/100</f>
        <v>23.1</v>
      </c>
      <c r="H83" s="145">
        <v>30</v>
      </c>
      <c r="I83" s="120">
        <f t="shared" ref="I83:I85" si="27">H83*100/G83</f>
        <v>129.87012987012986</v>
      </c>
      <c r="J83" s="112" t="s">
        <v>114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</row>
    <row r="84" spans="1:29" ht="24" customHeight="1" x14ac:dyDescent="0.55000000000000004">
      <c r="A84" s="121">
        <v>63</v>
      </c>
      <c r="B84" s="115" t="s">
        <v>89</v>
      </c>
      <c r="C84" s="115" t="s">
        <v>181</v>
      </c>
      <c r="D84" s="150" t="s">
        <v>112</v>
      </c>
      <c r="E84" s="121">
        <v>13</v>
      </c>
      <c r="F84" s="118">
        <f>E84-2</f>
        <v>11</v>
      </c>
      <c r="G84" s="118">
        <f t="shared" si="26"/>
        <v>7.7</v>
      </c>
      <c r="H84" s="145">
        <v>11</v>
      </c>
      <c r="I84" s="120">
        <f t="shared" si="27"/>
        <v>142.85714285714286</v>
      </c>
      <c r="J84" s="112" t="s">
        <v>114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</row>
    <row r="85" spans="1:29" ht="24" customHeight="1" x14ac:dyDescent="0.55000000000000004">
      <c r="A85" s="121">
        <v>64</v>
      </c>
      <c r="B85" s="122" t="s">
        <v>182</v>
      </c>
      <c r="C85" s="143" t="s">
        <v>183</v>
      </c>
      <c r="D85" s="150" t="s">
        <v>78</v>
      </c>
      <c r="E85" s="117">
        <v>55</v>
      </c>
      <c r="F85" s="118">
        <f>55-1-8</f>
        <v>46</v>
      </c>
      <c r="G85" s="118">
        <f t="shared" si="26"/>
        <v>32.200000000000003</v>
      </c>
      <c r="H85" s="145">
        <v>46</v>
      </c>
      <c r="I85" s="120">
        <f t="shared" si="27"/>
        <v>142.85714285714283</v>
      </c>
      <c r="J85" s="112" t="s">
        <v>114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</row>
    <row r="86" spans="1:29" ht="24" customHeight="1" x14ac:dyDescent="0.55000000000000004">
      <c r="A86" s="121"/>
      <c r="B86" s="198" t="s">
        <v>115</v>
      </c>
      <c r="C86" s="198"/>
      <c r="D86" s="199"/>
      <c r="E86" s="200">
        <f t="shared" ref="E86:H86" si="28">SUM(E82:E85)</f>
        <v>189</v>
      </c>
      <c r="F86" s="200">
        <f t="shared" si="28"/>
        <v>151</v>
      </c>
      <c r="G86" s="200">
        <f t="shared" si="28"/>
        <v>104.70000000000002</v>
      </c>
      <c r="H86" s="200">
        <f t="shared" si="28"/>
        <v>146</v>
      </c>
      <c r="I86" s="127">
        <f>H86*100/G86</f>
        <v>139.44603629417381</v>
      </c>
      <c r="J86" s="112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</row>
    <row r="87" spans="1:29" ht="24" customHeight="1" x14ac:dyDescent="0.55000000000000004">
      <c r="A87" s="128"/>
      <c r="B87" s="129" t="s">
        <v>184</v>
      </c>
      <c r="C87" s="130"/>
      <c r="D87" s="157"/>
      <c r="E87" s="111"/>
      <c r="F87" s="132"/>
      <c r="G87" s="132"/>
      <c r="H87" s="132"/>
      <c r="I87" s="111"/>
      <c r="J87" s="112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  <row r="88" spans="1:29" ht="24" customHeight="1" x14ac:dyDescent="0.55000000000000004">
      <c r="A88" s="121">
        <v>65</v>
      </c>
      <c r="B88" s="115" t="s">
        <v>166</v>
      </c>
      <c r="C88" s="193" t="s">
        <v>185</v>
      </c>
      <c r="D88" s="115" t="s">
        <v>91</v>
      </c>
      <c r="E88" s="117">
        <v>338</v>
      </c>
      <c r="F88" s="118">
        <f>E88-59</f>
        <v>279</v>
      </c>
      <c r="G88" s="118">
        <f>F88*70/100</f>
        <v>195.3</v>
      </c>
      <c r="H88" s="145">
        <v>266</v>
      </c>
      <c r="I88" s="120">
        <f t="shared" ref="I88:I89" si="29">H88*100/G88</f>
        <v>136.20071684587813</v>
      </c>
      <c r="J88" s="112" t="s">
        <v>154</v>
      </c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</row>
    <row r="89" spans="1:29" ht="24" customHeight="1" x14ac:dyDescent="0.55000000000000004">
      <c r="A89" s="121">
        <v>66</v>
      </c>
      <c r="B89" s="115"/>
      <c r="C89" s="193" t="s">
        <v>186</v>
      </c>
      <c r="D89" s="115" t="s">
        <v>91</v>
      </c>
      <c r="E89" s="117">
        <v>449</v>
      </c>
      <c r="F89" s="118">
        <f>E89-72</f>
        <v>377</v>
      </c>
      <c r="G89" s="118">
        <f>(F89*70/100)+1</f>
        <v>264.89999999999998</v>
      </c>
      <c r="H89" s="145">
        <v>355</v>
      </c>
      <c r="I89" s="120">
        <f t="shared" si="29"/>
        <v>134.01283503208759</v>
      </c>
      <c r="J89" s="112" t="s">
        <v>154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</row>
    <row r="90" spans="1:29" ht="24" customHeight="1" x14ac:dyDescent="0.55000000000000004">
      <c r="A90" s="121">
        <v>67</v>
      </c>
      <c r="B90" s="115"/>
      <c r="C90" s="193" t="s">
        <v>187</v>
      </c>
      <c r="D90" s="115" t="s">
        <v>91</v>
      </c>
      <c r="E90" s="117">
        <v>2</v>
      </c>
      <c r="F90" s="118">
        <f>E90-1-1</f>
        <v>0</v>
      </c>
      <c r="G90" s="118">
        <f>F90*70/100</f>
        <v>0</v>
      </c>
      <c r="H90" s="146"/>
      <c r="I90" s="120" t="e">
        <f>H90*100/G90</f>
        <v>#DIV/0!</v>
      </c>
      <c r="J90" s="112" t="s">
        <v>154</v>
      </c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</row>
    <row r="91" spans="1:29" ht="24" customHeight="1" x14ac:dyDescent="0.55000000000000004">
      <c r="A91" s="121"/>
      <c r="B91" s="201" t="s">
        <v>115</v>
      </c>
      <c r="C91" s="201"/>
      <c r="D91" s="202"/>
      <c r="E91" s="203">
        <f t="shared" ref="E91:H91" si="30">SUM(E88:E90)</f>
        <v>789</v>
      </c>
      <c r="F91" s="204">
        <f t="shared" si="30"/>
        <v>656</v>
      </c>
      <c r="G91" s="204">
        <f t="shared" si="30"/>
        <v>460.2</v>
      </c>
      <c r="H91" s="204">
        <f t="shared" si="30"/>
        <v>621</v>
      </c>
      <c r="I91" s="127">
        <f>H91*100/G91</f>
        <v>134.9413298565841</v>
      </c>
      <c r="J91" s="112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ht="24" customHeight="1" x14ac:dyDescent="0.55000000000000004">
      <c r="A92" s="128"/>
      <c r="B92" s="129" t="s">
        <v>188</v>
      </c>
      <c r="C92" s="130"/>
      <c r="D92" s="157"/>
      <c r="E92" s="205"/>
      <c r="F92" s="206"/>
      <c r="G92" s="206"/>
      <c r="H92" s="206"/>
      <c r="I92" s="111"/>
      <c r="J92" s="112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ht="24" customHeight="1" x14ac:dyDescent="0.55000000000000004">
      <c r="A93" s="207">
        <v>68</v>
      </c>
      <c r="B93" s="122" t="s">
        <v>189</v>
      </c>
      <c r="C93" s="122" t="s">
        <v>190</v>
      </c>
      <c r="D93" s="208" t="s">
        <v>191</v>
      </c>
      <c r="E93" s="209">
        <v>77</v>
      </c>
      <c r="F93" s="210">
        <f>E93-12-4-5</f>
        <v>56</v>
      </c>
      <c r="G93" s="148">
        <f t="shared" ref="G93:G94" si="31">F93*70/100</f>
        <v>39.200000000000003</v>
      </c>
      <c r="H93" s="148">
        <v>26</v>
      </c>
      <c r="I93" s="120">
        <f>H93*100/G93</f>
        <v>66.326530612244895</v>
      </c>
      <c r="J93" s="112" t="s">
        <v>101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29" ht="24" customHeight="1" x14ac:dyDescent="0.55000000000000004">
      <c r="A94" s="211"/>
      <c r="B94" s="212" t="s">
        <v>115</v>
      </c>
      <c r="C94" s="20"/>
      <c r="D94" s="21"/>
      <c r="E94" s="213">
        <f t="shared" ref="E94:F94" si="32">SUM(E93)</f>
        <v>77</v>
      </c>
      <c r="F94" s="214">
        <f t="shared" si="32"/>
        <v>56</v>
      </c>
      <c r="G94" s="215">
        <f t="shared" si="31"/>
        <v>39.200000000000003</v>
      </c>
      <c r="H94" s="216">
        <f>SUM(H93)</f>
        <v>26</v>
      </c>
      <c r="I94" s="127">
        <f>H94*100/G94</f>
        <v>66.326530612244895</v>
      </c>
      <c r="J94" s="112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  <row r="95" spans="1:29" ht="24" customHeight="1" x14ac:dyDescent="0.55000000000000004">
      <c r="A95" s="128"/>
      <c r="B95" s="129" t="s">
        <v>192</v>
      </c>
      <c r="C95" s="130"/>
      <c r="D95" s="157"/>
      <c r="E95" s="111"/>
      <c r="F95" s="132"/>
      <c r="G95" s="132"/>
      <c r="H95" s="132"/>
      <c r="I95" s="111"/>
      <c r="J95" s="11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</row>
    <row r="96" spans="1:29" ht="24" customHeight="1" x14ac:dyDescent="0.55000000000000004">
      <c r="A96" s="121">
        <v>69</v>
      </c>
      <c r="B96" s="115" t="s">
        <v>193</v>
      </c>
      <c r="C96" s="115" t="s">
        <v>194</v>
      </c>
      <c r="D96" s="115" t="s">
        <v>91</v>
      </c>
      <c r="E96" s="117">
        <v>150</v>
      </c>
      <c r="F96" s="118">
        <f>E96-19-8-27</f>
        <v>96</v>
      </c>
      <c r="G96" s="118">
        <f t="shared" ref="G96:G99" si="33">F96*70/100</f>
        <v>67.2</v>
      </c>
      <c r="H96" s="145">
        <v>71</v>
      </c>
      <c r="I96" s="120">
        <f>H96*100/G96</f>
        <v>105.6547619047619</v>
      </c>
      <c r="J96" s="112" t="s">
        <v>119</v>
      </c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</row>
    <row r="97" spans="1:29" ht="24" customHeight="1" x14ac:dyDescent="0.55000000000000004">
      <c r="A97" s="121">
        <v>70</v>
      </c>
      <c r="B97" s="115" t="s">
        <v>195</v>
      </c>
      <c r="C97" s="160" t="s">
        <v>196</v>
      </c>
      <c r="D97" s="115" t="s">
        <v>91</v>
      </c>
      <c r="E97" s="135">
        <v>277</v>
      </c>
      <c r="F97" s="169">
        <f>E97-45</f>
        <v>232</v>
      </c>
      <c r="G97" s="118">
        <f t="shared" si="33"/>
        <v>162.4</v>
      </c>
      <c r="H97" s="145">
        <v>224</v>
      </c>
      <c r="I97" s="120">
        <f t="shared" ref="I97:I99" si="34">H97*100/G97</f>
        <v>137.93103448275861</v>
      </c>
      <c r="J97" s="112" t="s">
        <v>119</v>
      </c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</row>
    <row r="98" spans="1:29" ht="24" customHeight="1" x14ac:dyDescent="0.55000000000000004">
      <c r="A98" s="121">
        <v>71</v>
      </c>
      <c r="B98" s="178"/>
      <c r="C98" s="180" t="s">
        <v>197</v>
      </c>
      <c r="D98" s="208" t="s">
        <v>191</v>
      </c>
      <c r="E98" s="135">
        <v>101</v>
      </c>
      <c r="F98" s="169">
        <f>E98-20-5-6</f>
        <v>70</v>
      </c>
      <c r="G98" s="118">
        <f t="shared" si="33"/>
        <v>49</v>
      </c>
      <c r="H98" s="179">
        <v>56</v>
      </c>
      <c r="I98" s="120">
        <f t="shared" si="34"/>
        <v>114.28571428571429</v>
      </c>
      <c r="J98" s="112" t="s">
        <v>119</v>
      </c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</row>
    <row r="99" spans="1:29" ht="25.5" customHeight="1" x14ac:dyDescent="0.55000000000000004">
      <c r="A99" s="121">
        <v>72</v>
      </c>
      <c r="B99" s="115" t="s">
        <v>198</v>
      </c>
      <c r="C99" s="143" t="s">
        <v>199</v>
      </c>
      <c r="D99" s="115" t="s">
        <v>200</v>
      </c>
      <c r="E99" s="117">
        <v>266</v>
      </c>
      <c r="F99" s="118">
        <f>266-45</f>
        <v>221</v>
      </c>
      <c r="G99" s="118">
        <f t="shared" si="33"/>
        <v>154.69999999999999</v>
      </c>
      <c r="H99" s="145">
        <v>211</v>
      </c>
      <c r="I99" s="120">
        <f t="shared" si="34"/>
        <v>136.39301874595992</v>
      </c>
      <c r="J99" s="112" t="s">
        <v>119</v>
      </c>
      <c r="K99" s="217" t="s">
        <v>201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</row>
    <row r="100" spans="1:29" ht="24" customHeight="1" x14ac:dyDescent="0.55000000000000004">
      <c r="A100" s="121"/>
      <c r="B100" s="173" t="s">
        <v>115</v>
      </c>
      <c r="C100" s="173"/>
      <c r="D100" s="174"/>
      <c r="E100" s="218">
        <f t="shared" ref="E100:H100" si="35">SUM(E96:E99)</f>
        <v>794</v>
      </c>
      <c r="F100" s="219">
        <f t="shared" si="35"/>
        <v>619</v>
      </c>
      <c r="G100" s="219">
        <f t="shared" si="35"/>
        <v>433.3</v>
      </c>
      <c r="H100" s="219">
        <f t="shared" si="35"/>
        <v>562</v>
      </c>
      <c r="I100" s="127">
        <f>H100*100/G100</f>
        <v>129.70228479113777</v>
      </c>
      <c r="J100" s="112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</row>
    <row r="101" spans="1:29" ht="24" customHeight="1" x14ac:dyDescent="0.55000000000000004">
      <c r="A101" s="128"/>
      <c r="B101" s="177" t="s">
        <v>202</v>
      </c>
      <c r="C101" s="130"/>
      <c r="D101" s="157"/>
      <c r="E101" s="111"/>
      <c r="F101" s="220"/>
      <c r="G101" s="220"/>
      <c r="H101" s="220"/>
      <c r="I101" s="221"/>
      <c r="J101" s="112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</row>
    <row r="102" spans="1:29" ht="24" customHeight="1" x14ac:dyDescent="0.55000000000000004">
      <c r="A102" s="121">
        <v>73</v>
      </c>
      <c r="B102" s="115" t="s">
        <v>120</v>
      </c>
      <c r="C102" s="143" t="s">
        <v>203</v>
      </c>
      <c r="D102" s="115" t="s">
        <v>91</v>
      </c>
      <c r="E102" s="117">
        <v>178</v>
      </c>
      <c r="F102" s="118">
        <f>E102-10-8-4</f>
        <v>156</v>
      </c>
      <c r="G102" s="118">
        <f>(F102*70/100)+7</f>
        <v>116.2</v>
      </c>
      <c r="H102" s="145">
        <v>140</v>
      </c>
      <c r="I102" s="120">
        <f t="shared" ref="I102:I107" si="36">H102*100/G102</f>
        <v>120.48192771084337</v>
      </c>
      <c r="J102" s="112" t="s">
        <v>204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</row>
    <row r="103" spans="1:29" ht="24" customHeight="1" x14ac:dyDescent="0.55000000000000004">
      <c r="A103" s="121">
        <v>74</v>
      </c>
      <c r="B103" s="115"/>
      <c r="C103" s="122" t="s">
        <v>205</v>
      </c>
      <c r="D103" s="115" t="s">
        <v>91</v>
      </c>
      <c r="E103" s="117">
        <v>289</v>
      </c>
      <c r="F103" s="118">
        <f>E103-36</f>
        <v>253</v>
      </c>
      <c r="G103" s="118">
        <f>(F103*70/100)+9</f>
        <v>186.1</v>
      </c>
      <c r="H103" s="145">
        <v>204</v>
      </c>
      <c r="I103" s="120">
        <f t="shared" si="36"/>
        <v>109.61848468565287</v>
      </c>
      <c r="J103" s="112" t="s">
        <v>204</v>
      </c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</row>
    <row r="104" spans="1:29" ht="24" customHeight="1" x14ac:dyDescent="0.55000000000000004">
      <c r="A104" s="121">
        <v>75</v>
      </c>
      <c r="B104" s="115"/>
      <c r="C104" s="122" t="s">
        <v>206</v>
      </c>
      <c r="D104" s="150" t="s">
        <v>78</v>
      </c>
      <c r="E104" s="117">
        <v>175</v>
      </c>
      <c r="F104" s="118">
        <f>E104-44-4</f>
        <v>127</v>
      </c>
      <c r="G104" s="118">
        <f>(F104*70/100)+7</f>
        <v>95.9</v>
      </c>
      <c r="H104" s="145">
        <v>81</v>
      </c>
      <c r="I104" s="120">
        <f t="shared" si="36"/>
        <v>84.462982273201249</v>
      </c>
      <c r="J104" s="112" t="s">
        <v>154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</row>
    <row r="105" spans="1:29" ht="24" customHeight="1" x14ac:dyDescent="0.55000000000000004">
      <c r="A105" s="121">
        <v>76</v>
      </c>
      <c r="B105" s="115"/>
      <c r="C105" s="122" t="s">
        <v>207</v>
      </c>
      <c r="D105" s="150" t="s">
        <v>78</v>
      </c>
      <c r="E105" s="117">
        <v>19</v>
      </c>
      <c r="F105" s="118">
        <f>E105-2</f>
        <v>17</v>
      </c>
      <c r="G105" s="118">
        <f t="shared" ref="G105:G107" si="37">F105*70/100</f>
        <v>11.9</v>
      </c>
      <c r="H105" s="145">
        <v>13</v>
      </c>
      <c r="I105" s="120">
        <f t="shared" si="36"/>
        <v>109.24369747899159</v>
      </c>
      <c r="J105" s="112" t="s">
        <v>204</v>
      </c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</row>
    <row r="106" spans="1:29" ht="24" customHeight="1" x14ac:dyDescent="0.55000000000000004">
      <c r="A106" s="121">
        <v>77</v>
      </c>
      <c r="B106" s="115"/>
      <c r="C106" s="122" t="s">
        <v>208</v>
      </c>
      <c r="D106" s="150" t="s">
        <v>143</v>
      </c>
      <c r="E106" s="117">
        <v>25</v>
      </c>
      <c r="F106" s="118">
        <f>E106-13</f>
        <v>12</v>
      </c>
      <c r="G106" s="118">
        <f t="shared" si="37"/>
        <v>8.4</v>
      </c>
      <c r="H106" s="145">
        <v>4</v>
      </c>
      <c r="I106" s="120">
        <f t="shared" si="36"/>
        <v>47.61904761904762</v>
      </c>
      <c r="J106" s="112" t="s">
        <v>204</v>
      </c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</row>
    <row r="107" spans="1:29" ht="24" customHeight="1" x14ac:dyDescent="0.55000000000000004">
      <c r="A107" s="121">
        <v>78</v>
      </c>
      <c r="B107" s="115"/>
      <c r="C107" s="122" t="s">
        <v>209</v>
      </c>
      <c r="D107" s="150" t="s">
        <v>86</v>
      </c>
      <c r="E107" s="117">
        <v>21</v>
      </c>
      <c r="F107" s="118">
        <f>E107-1-4-2-2</f>
        <v>12</v>
      </c>
      <c r="G107" s="118">
        <f t="shared" si="37"/>
        <v>8.4</v>
      </c>
      <c r="H107" s="145">
        <v>2</v>
      </c>
      <c r="I107" s="120">
        <f t="shared" si="36"/>
        <v>23.80952380952381</v>
      </c>
      <c r="J107" s="112" t="s">
        <v>92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</row>
    <row r="108" spans="1:29" ht="24" customHeight="1" x14ac:dyDescent="0.55000000000000004">
      <c r="A108" s="121"/>
      <c r="B108" s="222" t="s">
        <v>115</v>
      </c>
      <c r="C108" s="222"/>
      <c r="D108" s="223"/>
      <c r="E108" s="224">
        <f t="shared" ref="E108:H108" si="38">SUM(E102:E107)</f>
        <v>707</v>
      </c>
      <c r="F108" s="225">
        <f t="shared" si="38"/>
        <v>577</v>
      </c>
      <c r="G108" s="225">
        <f t="shared" si="38"/>
        <v>426.9</v>
      </c>
      <c r="H108" s="225">
        <f t="shared" si="38"/>
        <v>444</v>
      </c>
      <c r="I108" s="226">
        <f>H108*100/G108</f>
        <v>104.00562192550949</v>
      </c>
      <c r="J108" s="112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</row>
    <row r="109" spans="1:29" ht="24" customHeight="1" x14ac:dyDescent="0.55000000000000004">
      <c r="A109" s="128"/>
      <c r="B109" s="129" t="s">
        <v>210</v>
      </c>
      <c r="C109" s="130"/>
      <c r="D109" s="157"/>
      <c r="E109" s="111"/>
      <c r="F109" s="132"/>
      <c r="G109" s="132"/>
      <c r="H109" s="132"/>
      <c r="I109" s="111"/>
      <c r="J109" s="112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</row>
    <row r="110" spans="1:29" ht="24" customHeight="1" x14ac:dyDescent="0.55000000000000004">
      <c r="A110" s="227">
        <v>79</v>
      </c>
      <c r="B110" s="115" t="s">
        <v>211</v>
      </c>
      <c r="C110" s="122" t="s">
        <v>64</v>
      </c>
      <c r="D110" s="150" t="s">
        <v>78</v>
      </c>
      <c r="E110" s="172">
        <v>754</v>
      </c>
      <c r="F110" s="228">
        <f>E110-71-32-56</f>
        <v>595</v>
      </c>
      <c r="G110" s="158">
        <f>(F110*70/100)+1</f>
        <v>417.5</v>
      </c>
      <c r="H110" s="229">
        <v>484</v>
      </c>
      <c r="I110" s="120">
        <f t="shared" ref="I110:I112" si="39">H110*100/G110</f>
        <v>115.92814371257485</v>
      </c>
      <c r="J110" s="112" t="s">
        <v>92</v>
      </c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</row>
    <row r="111" spans="1:29" ht="24" customHeight="1" x14ac:dyDescent="0.55000000000000004">
      <c r="A111" s="227">
        <v>80</v>
      </c>
      <c r="B111" s="115" t="s">
        <v>212</v>
      </c>
      <c r="C111" s="122" t="s">
        <v>213</v>
      </c>
      <c r="D111" s="122" t="s">
        <v>214</v>
      </c>
      <c r="E111" s="172">
        <v>31</v>
      </c>
      <c r="F111" s="228">
        <f>E111-9</f>
        <v>22</v>
      </c>
      <c r="G111" s="158">
        <f t="shared" ref="G111:G112" si="40">F111*70/100</f>
        <v>15.4</v>
      </c>
      <c r="H111" s="230"/>
      <c r="I111" s="120">
        <f t="shared" si="39"/>
        <v>0</v>
      </c>
      <c r="J111" s="112" t="s">
        <v>92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</row>
    <row r="112" spans="1:29" ht="24" customHeight="1" x14ac:dyDescent="0.55000000000000004">
      <c r="A112" s="227">
        <v>81</v>
      </c>
      <c r="B112" s="115"/>
      <c r="C112" s="122" t="s">
        <v>215</v>
      </c>
      <c r="D112" s="122" t="s">
        <v>216</v>
      </c>
      <c r="E112" s="172">
        <v>16</v>
      </c>
      <c r="F112" s="228">
        <f>E112-6</f>
        <v>10</v>
      </c>
      <c r="G112" s="158">
        <f t="shared" si="40"/>
        <v>7</v>
      </c>
      <c r="H112" s="229">
        <v>4</v>
      </c>
      <c r="I112" s="120">
        <f t="shared" si="39"/>
        <v>57.142857142857146</v>
      </c>
      <c r="J112" s="112" t="s">
        <v>92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</row>
    <row r="113" spans="1:29" ht="24" customHeight="1" x14ac:dyDescent="0.55000000000000004">
      <c r="A113" s="121"/>
      <c r="B113" s="173" t="s">
        <v>115</v>
      </c>
      <c r="C113" s="173"/>
      <c r="D113" s="174"/>
      <c r="E113" s="175">
        <f t="shared" ref="E113:H113" si="41">SUM(E110:E112)</f>
        <v>801</v>
      </c>
      <c r="F113" s="176">
        <f t="shared" si="41"/>
        <v>627</v>
      </c>
      <c r="G113" s="231">
        <f t="shared" si="41"/>
        <v>439.9</v>
      </c>
      <c r="H113" s="232">
        <f t="shared" si="41"/>
        <v>488</v>
      </c>
      <c r="I113" s="233">
        <f>H113*100/G113</f>
        <v>110.93430325073881</v>
      </c>
      <c r="J113" s="234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</row>
    <row r="114" spans="1:29" ht="24" customHeight="1" thickBot="1" x14ac:dyDescent="0.6">
      <c r="A114" s="235"/>
      <c r="B114" s="236" t="s">
        <v>217</v>
      </c>
      <c r="C114" s="237"/>
      <c r="D114" s="238"/>
      <c r="E114" s="239">
        <f t="shared" ref="E114:G114" si="42">E13+E30+E39+E50+E62+E70+E77+E80+E86+E91+E94+E100+E108+E113</f>
        <v>7770</v>
      </c>
      <c r="F114" s="239">
        <f t="shared" si="42"/>
        <v>6046</v>
      </c>
      <c r="G114" s="239">
        <f t="shared" si="42"/>
        <v>4300.2</v>
      </c>
      <c r="H114" s="240">
        <f>SUM(H13,H30,H39,H50,H62,H70,H77,H80,H86,H91,H94,H100,H108,H113)</f>
        <v>4876</v>
      </c>
      <c r="I114" s="241">
        <f t="shared" ref="I114" si="43">H114*100/G114</f>
        <v>113.39007488023813</v>
      </c>
      <c r="J114" s="234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</row>
    <row r="115" spans="1:29" ht="24" customHeight="1" thickTop="1" x14ac:dyDescent="0.55000000000000004">
      <c r="A115" s="242"/>
      <c r="E115" s="243"/>
      <c r="F115" s="243"/>
      <c r="G115" s="243"/>
      <c r="H115" s="243"/>
      <c r="I115" s="243"/>
      <c r="J115" s="234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</row>
    <row r="116" spans="1:29" ht="24" customHeight="1" x14ac:dyDescent="0.55000000000000004">
      <c r="A116" s="242"/>
      <c r="B116" s="244" t="s">
        <v>218</v>
      </c>
      <c r="C116" s="244"/>
      <c r="D116" s="245"/>
      <c r="E116" s="243"/>
      <c r="F116" s="243"/>
      <c r="G116" s="243"/>
      <c r="H116" s="243"/>
      <c r="I116" s="243"/>
      <c r="J116" s="234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</row>
    <row r="117" spans="1:29" ht="24" customHeight="1" x14ac:dyDescent="0.55000000000000004">
      <c r="A117" s="242"/>
      <c r="E117" s="243"/>
      <c r="F117" s="243"/>
      <c r="G117" s="243"/>
      <c r="H117" s="243"/>
      <c r="I117" s="243"/>
      <c r="J117" s="234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</row>
    <row r="118" spans="1:29" ht="24" customHeight="1" x14ac:dyDescent="0.65">
      <c r="A118" s="242"/>
      <c r="B118" s="246"/>
      <c r="E118" s="243"/>
      <c r="F118" s="243"/>
      <c r="G118" s="243"/>
      <c r="H118" s="243"/>
      <c r="I118" s="243"/>
      <c r="J118" s="234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</row>
    <row r="119" spans="1:29" ht="24" customHeight="1" x14ac:dyDescent="0.55000000000000004">
      <c r="A119" s="242"/>
      <c r="C119" s="247" t="s">
        <v>11</v>
      </c>
      <c r="D119" s="248" t="s">
        <v>74</v>
      </c>
      <c r="E119" s="248" t="s">
        <v>219</v>
      </c>
      <c r="F119" s="248" t="s">
        <v>220</v>
      </c>
      <c r="G119" s="243"/>
      <c r="H119" s="243"/>
      <c r="I119" s="243"/>
      <c r="J119" s="234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</row>
    <row r="120" spans="1:29" ht="24" customHeight="1" x14ac:dyDescent="0.55000000000000004">
      <c r="A120" s="242"/>
      <c r="C120" s="249">
        <v>1.1000000000000001</v>
      </c>
      <c r="D120" s="250" t="s">
        <v>221</v>
      </c>
      <c r="E120" s="251">
        <v>4</v>
      </c>
      <c r="F120" s="251">
        <v>11</v>
      </c>
      <c r="G120" s="243"/>
      <c r="H120" s="243"/>
      <c r="I120" s="243"/>
      <c r="J120" s="234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</row>
    <row r="121" spans="1:29" ht="24" customHeight="1" x14ac:dyDescent="0.55000000000000004">
      <c r="A121" s="242"/>
      <c r="C121" s="249">
        <v>1.2</v>
      </c>
      <c r="D121" s="250" t="s">
        <v>92</v>
      </c>
      <c r="E121" s="251">
        <v>31</v>
      </c>
      <c r="F121" s="251">
        <v>1225</v>
      </c>
      <c r="G121" s="243"/>
      <c r="H121" s="243"/>
      <c r="I121" s="243"/>
      <c r="J121" s="234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</row>
    <row r="122" spans="1:29" ht="24" customHeight="1" x14ac:dyDescent="0.55000000000000004">
      <c r="A122" s="242"/>
      <c r="C122" s="249">
        <v>1.3</v>
      </c>
      <c r="D122" s="250" t="s">
        <v>222</v>
      </c>
      <c r="E122" s="251">
        <v>5</v>
      </c>
      <c r="F122" s="251">
        <v>661</v>
      </c>
      <c r="G122" s="243"/>
      <c r="H122" s="243"/>
      <c r="I122" s="243"/>
      <c r="J122" s="234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</row>
    <row r="123" spans="1:29" ht="24" customHeight="1" x14ac:dyDescent="0.55000000000000004">
      <c r="A123" s="242"/>
      <c r="C123" s="249">
        <v>1.4</v>
      </c>
      <c r="D123" s="250" t="s">
        <v>223</v>
      </c>
      <c r="E123" s="251">
        <v>6</v>
      </c>
      <c r="F123" s="251">
        <v>261</v>
      </c>
      <c r="G123" s="243"/>
      <c r="H123" s="243"/>
      <c r="I123" s="243"/>
      <c r="J123" s="234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</row>
    <row r="124" spans="1:29" ht="24" customHeight="1" x14ac:dyDescent="0.55000000000000004">
      <c r="A124" s="242"/>
      <c r="C124" s="249">
        <v>1.5</v>
      </c>
      <c r="D124" s="250" t="s">
        <v>150</v>
      </c>
      <c r="E124" s="251">
        <v>2</v>
      </c>
      <c r="F124" s="251">
        <v>31</v>
      </c>
      <c r="G124" s="243"/>
      <c r="H124" s="243"/>
      <c r="I124" s="243"/>
      <c r="J124" s="234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</row>
    <row r="125" spans="1:29" ht="24" customHeight="1" x14ac:dyDescent="0.55000000000000004">
      <c r="A125" s="242"/>
      <c r="C125" s="249">
        <v>1.6</v>
      </c>
      <c r="D125" s="250" t="s">
        <v>224</v>
      </c>
      <c r="E125" s="251">
        <v>0</v>
      </c>
      <c r="F125" s="251">
        <v>0</v>
      </c>
      <c r="G125" s="243"/>
      <c r="H125" s="243"/>
      <c r="I125" s="243"/>
      <c r="J125" s="234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</row>
    <row r="126" spans="1:29" ht="24" customHeight="1" x14ac:dyDescent="0.55000000000000004">
      <c r="A126" s="242"/>
      <c r="C126" s="249">
        <v>1.7</v>
      </c>
      <c r="D126" s="250" t="s">
        <v>225</v>
      </c>
      <c r="E126" s="251">
        <v>1</v>
      </c>
      <c r="F126" s="251">
        <v>0</v>
      </c>
      <c r="G126" s="243"/>
      <c r="H126" s="243"/>
      <c r="I126" s="243"/>
      <c r="J126" s="234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</row>
    <row r="127" spans="1:29" ht="24" customHeight="1" x14ac:dyDescent="0.55000000000000004">
      <c r="A127" s="242"/>
      <c r="C127" s="252">
        <v>1.8</v>
      </c>
      <c r="D127" s="253" t="s">
        <v>226</v>
      </c>
      <c r="E127" s="254">
        <v>4</v>
      </c>
      <c r="F127" s="254">
        <v>196</v>
      </c>
      <c r="G127" s="243"/>
      <c r="H127" s="243"/>
      <c r="I127" s="243"/>
      <c r="J127" s="234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</row>
    <row r="128" spans="1:29" ht="24" customHeight="1" x14ac:dyDescent="0.55000000000000004">
      <c r="A128" s="242"/>
      <c r="C128" s="249">
        <v>1.9</v>
      </c>
      <c r="D128" s="250" t="s">
        <v>227</v>
      </c>
      <c r="E128" s="251">
        <v>0</v>
      </c>
      <c r="F128" s="251">
        <v>0</v>
      </c>
      <c r="G128" s="243"/>
      <c r="H128" s="243"/>
      <c r="I128" s="243"/>
      <c r="J128" s="234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</row>
    <row r="129" spans="1:29" ht="24" customHeight="1" x14ac:dyDescent="0.55000000000000004">
      <c r="A129" s="242"/>
      <c r="C129" s="255">
        <v>1.1000000000000001</v>
      </c>
      <c r="D129" s="250" t="s">
        <v>228</v>
      </c>
      <c r="E129" s="251">
        <v>5</v>
      </c>
      <c r="F129" s="251">
        <v>67</v>
      </c>
      <c r="G129" s="243"/>
      <c r="H129" s="243"/>
      <c r="I129" s="243"/>
      <c r="J129" s="234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</row>
    <row r="130" spans="1:29" ht="24" customHeight="1" x14ac:dyDescent="0.55000000000000004">
      <c r="A130" s="242"/>
      <c r="C130" s="249">
        <v>1.1100000000000001</v>
      </c>
      <c r="D130" s="250" t="s">
        <v>229</v>
      </c>
      <c r="E130" s="251">
        <v>0</v>
      </c>
      <c r="F130" s="251">
        <v>0</v>
      </c>
      <c r="G130" s="243"/>
      <c r="H130" s="243"/>
      <c r="I130" s="243"/>
      <c r="J130" s="234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</row>
    <row r="131" spans="1:29" ht="24" customHeight="1" x14ac:dyDescent="0.55000000000000004">
      <c r="A131" s="242"/>
      <c r="C131" s="249">
        <v>1.1200000000000001</v>
      </c>
      <c r="D131" s="250" t="s">
        <v>79</v>
      </c>
      <c r="E131" s="251">
        <v>7</v>
      </c>
      <c r="F131" s="251">
        <v>327</v>
      </c>
      <c r="G131" s="243"/>
      <c r="H131" s="243"/>
      <c r="I131" s="243"/>
      <c r="J131" s="234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</row>
    <row r="132" spans="1:29" ht="24" customHeight="1" x14ac:dyDescent="0.55000000000000004">
      <c r="A132" s="242"/>
      <c r="C132" s="249">
        <v>1</v>
      </c>
      <c r="D132" s="250" t="s">
        <v>230</v>
      </c>
      <c r="E132" s="251">
        <v>65</v>
      </c>
      <c r="F132" s="251">
        <v>2779</v>
      </c>
      <c r="G132" s="243"/>
      <c r="H132" s="243"/>
      <c r="I132" s="243"/>
      <c r="J132" s="234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</row>
    <row r="133" spans="1:29" ht="24" customHeight="1" x14ac:dyDescent="0.55000000000000004">
      <c r="A133" s="242"/>
      <c r="C133" s="249">
        <v>2</v>
      </c>
      <c r="D133" s="250" t="s">
        <v>231</v>
      </c>
      <c r="E133" s="251">
        <v>14</v>
      </c>
      <c r="F133" s="251">
        <v>866</v>
      </c>
      <c r="G133" s="243"/>
      <c r="H133" s="243"/>
      <c r="I133" s="243"/>
      <c r="J133" s="234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</row>
    <row r="134" spans="1:29" ht="24" customHeight="1" x14ac:dyDescent="0.55000000000000004">
      <c r="A134" s="242"/>
      <c r="C134" s="252">
        <v>3</v>
      </c>
      <c r="D134" s="253" t="s">
        <v>107</v>
      </c>
      <c r="E134" s="251">
        <v>2</v>
      </c>
      <c r="F134" s="251">
        <v>4</v>
      </c>
      <c r="G134" s="243"/>
      <c r="H134" s="243"/>
      <c r="I134" s="243"/>
      <c r="J134" s="234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</row>
    <row r="135" spans="1:29" ht="24" customHeight="1" x14ac:dyDescent="0.55000000000000004">
      <c r="A135" s="242"/>
      <c r="C135" s="256"/>
      <c r="D135" s="248" t="s">
        <v>115</v>
      </c>
      <c r="E135" s="248">
        <v>81</v>
      </c>
      <c r="F135" s="248">
        <v>3649</v>
      </c>
      <c r="G135" s="243"/>
      <c r="H135" s="243"/>
      <c r="I135" s="243"/>
      <c r="J135" s="234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</row>
    <row r="136" spans="1:29" ht="24" customHeight="1" x14ac:dyDescent="0.55000000000000004">
      <c r="A136" s="242"/>
      <c r="E136" s="243"/>
      <c r="F136" s="243"/>
      <c r="G136" s="243"/>
      <c r="H136" s="243"/>
      <c r="I136" s="243"/>
      <c r="J136" s="234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</row>
    <row r="137" spans="1:29" ht="24" customHeight="1" x14ac:dyDescent="0.55000000000000004">
      <c r="A137" s="242"/>
      <c r="E137" s="243"/>
      <c r="F137" s="243"/>
      <c r="G137" s="243"/>
      <c r="H137" s="243"/>
      <c r="I137" s="243"/>
      <c r="J137" s="234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</row>
    <row r="138" spans="1:29" ht="24" customHeight="1" x14ac:dyDescent="0.55000000000000004">
      <c r="A138" s="242"/>
      <c r="E138" s="243"/>
      <c r="F138" s="243"/>
      <c r="G138" s="243"/>
      <c r="H138" s="243"/>
      <c r="I138" s="243"/>
      <c r="J138" s="234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</row>
    <row r="139" spans="1:29" ht="24" customHeight="1" x14ac:dyDescent="0.55000000000000004">
      <c r="A139" s="242"/>
      <c r="E139" s="243"/>
      <c r="F139" s="243"/>
      <c r="G139" s="243"/>
      <c r="H139" s="243"/>
      <c r="I139" s="243"/>
      <c r="J139" s="234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</row>
    <row r="140" spans="1:29" ht="24" customHeight="1" x14ac:dyDescent="0.55000000000000004">
      <c r="A140" s="242"/>
      <c r="E140" s="243"/>
      <c r="F140" s="243"/>
      <c r="G140" s="243"/>
      <c r="H140" s="243"/>
      <c r="I140" s="243"/>
      <c r="J140" s="234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</row>
    <row r="141" spans="1:29" ht="24" customHeight="1" x14ac:dyDescent="0.55000000000000004">
      <c r="A141" s="242"/>
      <c r="E141" s="243"/>
      <c r="F141" s="243"/>
      <c r="G141" s="243"/>
      <c r="H141" s="243"/>
      <c r="I141" s="243"/>
      <c r="J141" s="234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</row>
    <row r="142" spans="1:29" ht="24" customHeight="1" x14ac:dyDescent="0.55000000000000004">
      <c r="A142" s="242"/>
      <c r="E142" s="243"/>
      <c r="F142" s="243"/>
      <c r="G142" s="243"/>
      <c r="H142" s="243"/>
      <c r="I142" s="243"/>
      <c r="J142" s="234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</row>
    <row r="143" spans="1:29" ht="24" customHeight="1" x14ac:dyDescent="0.55000000000000004">
      <c r="A143" s="242"/>
      <c r="E143" s="243"/>
      <c r="F143" s="243"/>
      <c r="G143" s="243"/>
      <c r="H143" s="243"/>
      <c r="I143" s="243"/>
      <c r="J143" s="234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</row>
    <row r="144" spans="1:29" ht="24" customHeight="1" x14ac:dyDescent="0.55000000000000004">
      <c r="A144" s="242"/>
      <c r="E144" s="243"/>
      <c r="F144" s="243"/>
      <c r="G144" s="243"/>
      <c r="H144" s="243"/>
      <c r="I144" s="243"/>
      <c r="J144" s="234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</row>
    <row r="145" spans="1:29" ht="24" customHeight="1" x14ac:dyDescent="0.55000000000000004">
      <c r="A145" s="242"/>
      <c r="E145" s="243"/>
      <c r="F145" s="243"/>
      <c r="G145" s="243"/>
      <c r="H145" s="243"/>
      <c r="I145" s="243"/>
      <c r="J145" s="234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</row>
    <row r="146" spans="1:29" ht="24" customHeight="1" x14ac:dyDescent="0.55000000000000004">
      <c r="A146" s="242"/>
      <c r="E146" s="243"/>
      <c r="F146" s="243"/>
      <c r="G146" s="243"/>
      <c r="H146" s="243"/>
      <c r="I146" s="243"/>
      <c r="J146" s="234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</row>
    <row r="147" spans="1:29" ht="24" customHeight="1" x14ac:dyDescent="0.55000000000000004">
      <c r="A147" s="242"/>
      <c r="E147" s="243"/>
      <c r="F147" s="243"/>
      <c r="G147" s="243"/>
      <c r="H147" s="243"/>
      <c r="I147" s="243"/>
      <c r="J147" s="234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</row>
    <row r="148" spans="1:29" ht="24" customHeight="1" x14ac:dyDescent="0.55000000000000004">
      <c r="A148" s="242"/>
      <c r="E148" s="243"/>
      <c r="F148" s="243"/>
      <c r="G148" s="243"/>
      <c r="H148" s="243"/>
      <c r="I148" s="243"/>
      <c r="J148" s="234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</row>
    <row r="149" spans="1:29" ht="24" customHeight="1" x14ac:dyDescent="0.55000000000000004">
      <c r="A149" s="242"/>
      <c r="E149" s="243"/>
      <c r="F149" s="243"/>
      <c r="G149" s="243"/>
      <c r="H149" s="243"/>
      <c r="I149" s="243"/>
      <c r="J149" s="234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</row>
    <row r="150" spans="1:29" ht="24" customHeight="1" x14ac:dyDescent="0.55000000000000004">
      <c r="A150" s="242"/>
      <c r="E150" s="243"/>
      <c r="F150" s="243"/>
      <c r="G150" s="243"/>
      <c r="H150" s="243"/>
      <c r="I150" s="243"/>
      <c r="J150" s="234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</row>
    <row r="151" spans="1:29" ht="24" customHeight="1" x14ac:dyDescent="0.55000000000000004">
      <c r="A151" s="242"/>
      <c r="E151" s="243"/>
      <c r="F151" s="243"/>
      <c r="G151" s="243"/>
      <c r="H151" s="243"/>
      <c r="I151" s="243"/>
      <c r="J151" s="234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</row>
    <row r="152" spans="1:29" ht="24" customHeight="1" x14ac:dyDescent="0.55000000000000004">
      <c r="A152" s="242"/>
      <c r="E152" s="243"/>
      <c r="F152" s="243"/>
      <c r="G152" s="243"/>
      <c r="H152" s="243"/>
      <c r="I152" s="243"/>
      <c r="J152" s="234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</row>
    <row r="153" spans="1:29" ht="24" customHeight="1" x14ac:dyDescent="0.55000000000000004">
      <c r="A153" s="242"/>
      <c r="E153" s="243"/>
      <c r="F153" s="243"/>
      <c r="G153" s="243"/>
      <c r="H153" s="243"/>
      <c r="I153" s="243"/>
      <c r="J153" s="234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</row>
    <row r="154" spans="1:29" ht="24" customHeight="1" x14ac:dyDescent="0.55000000000000004">
      <c r="A154" s="242"/>
      <c r="E154" s="243"/>
      <c r="F154" s="243"/>
      <c r="G154" s="243"/>
      <c r="H154" s="243"/>
      <c r="I154" s="243"/>
      <c r="J154" s="234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</row>
    <row r="155" spans="1:29" ht="24" customHeight="1" x14ac:dyDescent="0.55000000000000004">
      <c r="A155" s="242"/>
      <c r="E155" s="243"/>
      <c r="F155" s="243"/>
      <c r="G155" s="243"/>
      <c r="H155" s="243"/>
      <c r="I155" s="243"/>
      <c r="J155" s="234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</row>
    <row r="156" spans="1:29" ht="24" customHeight="1" x14ac:dyDescent="0.55000000000000004">
      <c r="A156" s="242"/>
      <c r="E156" s="243"/>
      <c r="F156" s="243"/>
      <c r="G156" s="243"/>
      <c r="H156" s="243"/>
      <c r="I156" s="243"/>
      <c r="J156" s="234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</row>
    <row r="157" spans="1:29" ht="24" customHeight="1" x14ac:dyDescent="0.55000000000000004">
      <c r="A157" s="242"/>
      <c r="E157" s="243"/>
      <c r="F157" s="243"/>
      <c r="G157" s="243"/>
      <c r="H157" s="243"/>
      <c r="I157" s="243"/>
      <c r="J157" s="234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</row>
    <row r="158" spans="1:29" ht="24" customHeight="1" x14ac:dyDescent="0.55000000000000004">
      <c r="A158" s="242"/>
      <c r="E158" s="243"/>
      <c r="F158" s="243"/>
      <c r="G158" s="243"/>
      <c r="H158" s="243"/>
      <c r="I158" s="243"/>
      <c r="J158" s="234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</row>
    <row r="159" spans="1:29" ht="24" customHeight="1" x14ac:dyDescent="0.55000000000000004">
      <c r="A159" s="242"/>
      <c r="E159" s="243"/>
      <c r="F159" s="243"/>
      <c r="G159" s="243"/>
      <c r="H159" s="243"/>
      <c r="I159" s="243"/>
      <c r="J159" s="234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</row>
    <row r="160" spans="1:29" ht="24" customHeight="1" x14ac:dyDescent="0.55000000000000004">
      <c r="A160" s="242"/>
      <c r="E160" s="243"/>
      <c r="F160" s="243"/>
      <c r="G160" s="243"/>
      <c r="H160" s="243"/>
      <c r="I160" s="243"/>
      <c r="J160" s="234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</row>
    <row r="161" spans="1:29" ht="24" customHeight="1" x14ac:dyDescent="0.55000000000000004">
      <c r="A161" s="242"/>
      <c r="E161" s="243"/>
      <c r="F161" s="243"/>
      <c r="G161" s="243"/>
      <c r="H161" s="243"/>
      <c r="I161" s="243"/>
      <c r="J161" s="234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</row>
    <row r="162" spans="1:29" ht="24" customHeight="1" x14ac:dyDescent="0.55000000000000004">
      <c r="A162" s="242"/>
      <c r="E162" s="243"/>
      <c r="F162" s="243"/>
      <c r="G162" s="243"/>
      <c r="H162" s="243"/>
      <c r="I162" s="243"/>
      <c r="J162" s="234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</row>
    <row r="163" spans="1:29" ht="24" customHeight="1" x14ac:dyDescent="0.55000000000000004">
      <c r="A163" s="242"/>
      <c r="E163" s="243"/>
      <c r="F163" s="243"/>
      <c r="G163" s="243"/>
      <c r="H163" s="243"/>
      <c r="I163" s="243"/>
      <c r="J163" s="234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</row>
    <row r="164" spans="1:29" ht="24" customHeight="1" x14ac:dyDescent="0.55000000000000004">
      <c r="A164" s="242"/>
      <c r="E164" s="243"/>
      <c r="F164" s="243"/>
      <c r="G164" s="243"/>
      <c r="H164" s="243"/>
      <c r="I164" s="243"/>
      <c r="J164" s="234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</row>
    <row r="165" spans="1:29" ht="24" customHeight="1" x14ac:dyDescent="0.55000000000000004">
      <c r="A165" s="242"/>
      <c r="E165" s="243"/>
      <c r="F165" s="243"/>
      <c r="G165" s="243"/>
      <c r="H165" s="243"/>
      <c r="I165" s="243"/>
      <c r="J165" s="234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</row>
    <row r="166" spans="1:29" ht="24" customHeight="1" x14ac:dyDescent="0.55000000000000004">
      <c r="A166" s="242"/>
      <c r="E166" s="243"/>
      <c r="F166" s="243"/>
      <c r="G166" s="243"/>
      <c r="H166" s="243"/>
      <c r="I166" s="243"/>
      <c r="J166" s="234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</row>
    <row r="167" spans="1:29" ht="24" customHeight="1" x14ac:dyDescent="0.55000000000000004">
      <c r="A167" s="242"/>
      <c r="E167" s="243"/>
      <c r="F167" s="243"/>
      <c r="G167" s="243"/>
      <c r="H167" s="243"/>
      <c r="I167" s="243"/>
      <c r="J167" s="234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</row>
    <row r="168" spans="1:29" ht="24" customHeight="1" x14ac:dyDescent="0.55000000000000004">
      <c r="A168" s="242"/>
      <c r="E168" s="243"/>
      <c r="F168" s="243"/>
      <c r="G168" s="243"/>
      <c r="H168" s="243"/>
      <c r="I168" s="243"/>
      <c r="J168" s="234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</row>
    <row r="169" spans="1:29" ht="24" customHeight="1" x14ac:dyDescent="0.55000000000000004">
      <c r="A169" s="242"/>
      <c r="E169" s="243"/>
      <c r="F169" s="243"/>
      <c r="G169" s="243"/>
      <c r="H169" s="243"/>
      <c r="I169" s="243"/>
      <c r="J169" s="234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</row>
    <row r="170" spans="1:29" ht="24" customHeight="1" x14ac:dyDescent="0.55000000000000004">
      <c r="A170" s="242"/>
      <c r="E170" s="243"/>
      <c r="F170" s="243"/>
      <c r="G170" s="243"/>
      <c r="H170" s="243"/>
      <c r="I170" s="243"/>
      <c r="J170" s="234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</row>
    <row r="171" spans="1:29" ht="24" customHeight="1" x14ac:dyDescent="0.55000000000000004">
      <c r="A171" s="242"/>
      <c r="E171" s="243"/>
      <c r="F171" s="243"/>
      <c r="G171" s="243"/>
      <c r="H171" s="243"/>
      <c r="I171" s="243"/>
      <c r="J171" s="234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</row>
    <row r="172" spans="1:29" ht="24" customHeight="1" x14ac:dyDescent="0.55000000000000004">
      <c r="A172" s="242"/>
      <c r="E172" s="243"/>
      <c r="F172" s="243"/>
      <c r="G172" s="243"/>
      <c r="H172" s="243"/>
      <c r="I172" s="243"/>
      <c r="J172" s="234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</row>
    <row r="173" spans="1:29" ht="24" customHeight="1" x14ac:dyDescent="0.55000000000000004">
      <c r="A173" s="242"/>
      <c r="E173" s="243"/>
      <c r="F173" s="243"/>
      <c r="G173" s="243"/>
      <c r="H173" s="243"/>
      <c r="I173" s="243"/>
      <c r="J173" s="234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</row>
    <row r="174" spans="1:29" ht="24" customHeight="1" x14ac:dyDescent="0.55000000000000004">
      <c r="A174" s="242"/>
      <c r="E174" s="243"/>
      <c r="F174" s="243"/>
      <c r="G174" s="243"/>
      <c r="H174" s="243"/>
      <c r="I174" s="243"/>
      <c r="J174" s="234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</row>
    <row r="175" spans="1:29" ht="24" customHeight="1" x14ac:dyDescent="0.55000000000000004">
      <c r="A175" s="242"/>
      <c r="E175" s="243"/>
      <c r="F175" s="243"/>
      <c r="G175" s="243"/>
      <c r="H175" s="243"/>
      <c r="I175" s="243"/>
      <c r="J175" s="234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</row>
    <row r="176" spans="1:29" ht="24" customHeight="1" x14ac:dyDescent="0.55000000000000004">
      <c r="A176" s="242"/>
      <c r="E176" s="243"/>
      <c r="F176" s="243"/>
      <c r="G176" s="243"/>
      <c r="H176" s="243"/>
      <c r="I176" s="243"/>
      <c r="J176" s="234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</row>
    <row r="177" spans="1:29" ht="24" customHeight="1" x14ac:dyDescent="0.55000000000000004">
      <c r="A177" s="242"/>
      <c r="E177" s="243"/>
      <c r="F177" s="243"/>
      <c r="G177" s="243"/>
      <c r="H177" s="243"/>
      <c r="I177" s="243"/>
      <c r="J177" s="234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</row>
    <row r="178" spans="1:29" ht="24" customHeight="1" x14ac:dyDescent="0.55000000000000004">
      <c r="A178" s="242"/>
      <c r="E178" s="243"/>
      <c r="F178" s="243"/>
      <c r="G178" s="243"/>
      <c r="H178" s="243"/>
      <c r="I178" s="243"/>
      <c r="J178" s="234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</row>
    <row r="179" spans="1:29" ht="24" customHeight="1" x14ac:dyDescent="0.55000000000000004">
      <c r="A179" s="242"/>
      <c r="E179" s="243"/>
      <c r="F179" s="243"/>
      <c r="G179" s="243"/>
      <c r="H179" s="243"/>
      <c r="I179" s="243"/>
      <c r="J179" s="234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</row>
    <row r="180" spans="1:29" ht="24" customHeight="1" x14ac:dyDescent="0.55000000000000004">
      <c r="A180" s="242"/>
      <c r="E180" s="243"/>
      <c r="F180" s="243"/>
      <c r="G180" s="243"/>
      <c r="H180" s="243"/>
      <c r="I180" s="243"/>
      <c r="J180" s="234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</row>
    <row r="181" spans="1:29" ht="24" customHeight="1" x14ac:dyDescent="0.55000000000000004">
      <c r="A181" s="242"/>
      <c r="E181" s="243"/>
      <c r="F181" s="243"/>
      <c r="G181" s="243"/>
      <c r="H181" s="243"/>
      <c r="I181" s="243"/>
      <c r="J181" s="234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</row>
    <row r="182" spans="1:29" ht="24" customHeight="1" x14ac:dyDescent="0.55000000000000004">
      <c r="A182" s="242"/>
      <c r="E182" s="243"/>
      <c r="F182" s="243"/>
      <c r="G182" s="243"/>
      <c r="H182" s="243"/>
      <c r="I182" s="243"/>
      <c r="J182" s="234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</row>
    <row r="183" spans="1:29" ht="24" customHeight="1" x14ac:dyDescent="0.55000000000000004">
      <c r="A183" s="242"/>
      <c r="E183" s="243"/>
      <c r="F183" s="243"/>
      <c r="G183" s="243"/>
      <c r="H183" s="243"/>
      <c r="I183" s="243"/>
      <c r="J183" s="234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</row>
    <row r="184" spans="1:29" ht="24" customHeight="1" x14ac:dyDescent="0.55000000000000004">
      <c r="A184" s="242"/>
      <c r="E184" s="243"/>
      <c r="F184" s="243"/>
      <c r="G184" s="243"/>
      <c r="H184" s="243"/>
      <c r="I184" s="243"/>
      <c r="J184" s="234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</row>
    <row r="185" spans="1:29" ht="24" customHeight="1" x14ac:dyDescent="0.55000000000000004">
      <c r="A185" s="242"/>
      <c r="E185" s="243"/>
      <c r="F185" s="243"/>
      <c r="G185" s="243"/>
      <c r="H185" s="243"/>
      <c r="I185" s="243"/>
      <c r="J185" s="234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</row>
    <row r="186" spans="1:29" ht="24" customHeight="1" x14ac:dyDescent="0.55000000000000004">
      <c r="A186" s="242"/>
      <c r="E186" s="243"/>
      <c r="F186" s="243"/>
      <c r="G186" s="243"/>
      <c r="H186" s="243"/>
      <c r="I186" s="243"/>
      <c r="J186" s="234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</row>
    <row r="187" spans="1:29" ht="24" customHeight="1" x14ac:dyDescent="0.55000000000000004">
      <c r="A187" s="242"/>
      <c r="E187" s="243"/>
      <c r="F187" s="243"/>
      <c r="G187" s="243"/>
      <c r="H187" s="243"/>
      <c r="I187" s="243"/>
      <c r="J187" s="234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</row>
    <row r="188" spans="1:29" ht="24" customHeight="1" x14ac:dyDescent="0.55000000000000004">
      <c r="A188" s="242"/>
      <c r="E188" s="243"/>
      <c r="F188" s="243"/>
      <c r="G188" s="243"/>
      <c r="H188" s="243"/>
      <c r="I188" s="243"/>
      <c r="J188" s="234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</row>
    <row r="189" spans="1:29" ht="24" customHeight="1" x14ac:dyDescent="0.55000000000000004">
      <c r="A189" s="242"/>
      <c r="E189" s="243"/>
      <c r="F189" s="243"/>
      <c r="G189" s="243"/>
      <c r="H189" s="243"/>
      <c r="I189" s="243"/>
      <c r="J189" s="234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</row>
    <row r="190" spans="1:29" ht="24" customHeight="1" x14ac:dyDescent="0.55000000000000004">
      <c r="A190" s="242"/>
      <c r="E190" s="243"/>
      <c r="F190" s="243"/>
      <c r="G190" s="243"/>
      <c r="H190" s="243"/>
      <c r="I190" s="243"/>
      <c r="J190" s="234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</row>
    <row r="191" spans="1:29" ht="24" customHeight="1" x14ac:dyDescent="0.55000000000000004">
      <c r="A191" s="242"/>
      <c r="E191" s="243"/>
      <c r="F191" s="243"/>
      <c r="G191" s="243"/>
      <c r="H191" s="243"/>
      <c r="I191" s="243"/>
      <c r="J191" s="234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</row>
    <row r="192" spans="1:29" ht="24" customHeight="1" x14ac:dyDescent="0.55000000000000004">
      <c r="A192" s="242"/>
      <c r="E192" s="243"/>
      <c r="F192" s="243"/>
      <c r="G192" s="243"/>
      <c r="H192" s="243"/>
      <c r="I192" s="243"/>
      <c r="J192" s="234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</row>
    <row r="193" spans="1:29" ht="24" customHeight="1" x14ac:dyDescent="0.55000000000000004">
      <c r="A193" s="242"/>
      <c r="E193" s="243"/>
      <c r="F193" s="243"/>
      <c r="G193" s="243"/>
      <c r="H193" s="243"/>
      <c r="I193" s="243"/>
      <c r="J193" s="234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</row>
    <row r="194" spans="1:29" ht="24" customHeight="1" x14ac:dyDescent="0.55000000000000004">
      <c r="A194" s="242"/>
      <c r="E194" s="243"/>
      <c r="F194" s="243"/>
      <c r="G194" s="243"/>
      <c r="H194" s="243"/>
      <c r="I194" s="243"/>
      <c r="J194" s="234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</row>
    <row r="195" spans="1:29" ht="24" customHeight="1" x14ac:dyDescent="0.55000000000000004">
      <c r="A195" s="242"/>
      <c r="E195" s="243"/>
      <c r="F195" s="243"/>
      <c r="G195" s="243"/>
      <c r="H195" s="243"/>
      <c r="I195" s="243"/>
      <c r="J195" s="234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</row>
    <row r="196" spans="1:29" ht="24" customHeight="1" x14ac:dyDescent="0.55000000000000004">
      <c r="A196" s="242"/>
      <c r="E196" s="243"/>
      <c r="F196" s="243"/>
      <c r="G196" s="243"/>
      <c r="H196" s="243"/>
      <c r="I196" s="243"/>
      <c r="J196" s="234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</row>
    <row r="197" spans="1:29" ht="24" customHeight="1" x14ac:dyDescent="0.55000000000000004">
      <c r="A197" s="242"/>
      <c r="E197" s="243"/>
      <c r="F197" s="243"/>
      <c r="G197" s="243"/>
      <c r="H197" s="243"/>
      <c r="I197" s="243"/>
      <c r="J197" s="234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</row>
    <row r="198" spans="1:29" ht="24" customHeight="1" x14ac:dyDescent="0.55000000000000004">
      <c r="A198" s="242"/>
      <c r="E198" s="243"/>
      <c r="F198" s="243"/>
      <c r="G198" s="243"/>
      <c r="H198" s="243"/>
      <c r="I198" s="243"/>
      <c r="J198" s="234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</row>
    <row r="199" spans="1:29" ht="24" customHeight="1" x14ac:dyDescent="0.55000000000000004">
      <c r="A199" s="242"/>
      <c r="E199" s="243"/>
      <c r="F199" s="243"/>
      <c r="G199" s="243"/>
      <c r="H199" s="243"/>
      <c r="I199" s="243"/>
      <c r="J199" s="234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</row>
    <row r="200" spans="1:29" ht="24" customHeight="1" x14ac:dyDescent="0.55000000000000004">
      <c r="A200" s="242"/>
      <c r="E200" s="243"/>
      <c r="F200" s="243"/>
      <c r="G200" s="243"/>
      <c r="H200" s="243"/>
      <c r="I200" s="243"/>
      <c r="J200" s="234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</row>
    <row r="201" spans="1:29" ht="24" customHeight="1" x14ac:dyDescent="0.55000000000000004">
      <c r="A201" s="242"/>
      <c r="E201" s="243"/>
      <c r="F201" s="243"/>
      <c r="G201" s="243"/>
      <c r="H201" s="243"/>
      <c r="I201" s="243"/>
      <c r="J201" s="234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</row>
    <row r="202" spans="1:29" ht="24" customHeight="1" x14ac:dyDescent="0.55000000000000004">
      <c r="A202" s="242"/>
      <c r="E202" s="243"/>
      <c r="F202" s="243"/>
      <c r="G202" s="243"/>
      <c r="H202" s="243"/>
      <c r="I202" s="243"/>
      <c r="J202" s="234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</row>
    <row r="203" spans="1:29" ht="24" customHeight="1" x14ac:dyDescent="0.55000000000000004">
      <c r="A203" s="242"/>
      <c r="E203" s="243"/>
      <c r="F203" s="243"/>
      <c r="G203" s="243"/>
      <c r="H203" s="243"/>
      <c r="I203" s="243"/>
      <c r="J203" s="234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</row>
    <row r="204" spans="1:29" ht="24" customHeight="1" x14ac:dyDescent="0.55000000000000004">
      <c r="A204" s="242"/>
      <c r="E204" s="243"/>
      <c r="F204" s="243"/>
      <c r="G204" s="243"/>
      <c r="H204" s="243"/>
      <c r="I204" s="243"/>
      <c r="J204" s="234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</row>
    <row r="205" spans="1:29" ht="24" customHeight="1" x14ac:dyDescent="0.55000000000000004">
      <c r="A205" s="242"/>
      <c r="E205" s="243"/>
      <c r="F205" s="243"/>
      <c r="G205" s="243"/>
      <c r="H205" s="243"/>
      <c r="I205" s="243"/>
      <c r="J205" s="234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</row>
    <row r="206" spans="1:29" ht="24" customHeight="1" x14ac:dyDescent="0.55000000000000004">
      <c r="A206" s="242"/>
      <c r="E206" s="243"/>
      <c r="F206" s="243"/>
      <c r="G206" s="243"/>
      <c r="H206" s="243"/>
      <c r="I206" s="243"/>
      <c r="J206" s="234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</row>
    <row r="207" spans="1:29" ht="24" customHeight="1" x14ac:dyDescent="0.55000000000000004">
      <c r="A207" s="242"/>
      <c r="E207" s="243"/>
      <c r="F207" s="243"/>
      <c r="G207" s="243"/>
      <c r="H207" s="243"/>
      <c r="I207" s="243"/>
      <c r="J207" s="234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</row>
    <row r="208" spans="1:29" ht="24" customHeight="1" x14ac:dyDescent="0.55000000000000004">
      <c r="A208" s="242"/>
      <c r="E208" s="243"/>
      <c r="F208" s="243"/>
      <c r="G208" s="243"/>
      <c r="H208" s="243"/>
      <c r="I208" s="243"/>
      <c r="J208" s="234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</row>
    <row r="209" spans="1:29" ht="24" customHeight="1" x14ac:dyDescent="0.55000000000000004">
      <c r="A209" s="242"/>
      <c r="E209" s="243"/>
      <c r="F209" s="243"/>
      <c r="G209" s="243"/>
      <c r="H209" s="243"/>
      <c r="I209" s="243"/>
      <c r="J209" s="234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</row>
    <row r="210" spans="1:29" ht="24" customHeight="1" x14ac:dyDescent="0.55000000000000004">
      <c r="A210" s="242"/>
      <c r="E210" s="243"/>
      <c r="F210" s="243"/>
      <c r="G210" s="243"/>
      <c r="H210" s="243"/>
      <c r="I210" s="243"/>
      <c r="J210" s="234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</row>
    <row r="211" spans="1:29" ht="24" customHeight="1" x14ac:dyDescent="0.55000000000000004">
      <c r="A211" s="242"/>
      <c r="E211" s="243"/>
      <c r="F211" s="243"/>
      <c r="G211" s="243"/>
      <c r="H211" s="243"/>
      <c r="I211" s="243"/>
      <c r="J211" s="234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</row>
    <row r="212" spans="1:29" ht="24" customHeight="1" x14ac:dyDescent="0.55000000000000004">
      <c r="A212" s="242"/>
      <c r="E212" s="243"/>
      <c r="F212" s="243"/>
      <c r="G212" s="243"/>
      <c r="H212" s="243"/>
      <c r="I212" s="243"/>
      <c r="J212" s="234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</row>
    <row r="213" spans="1:29" ht="24" customHeight="1" x14ac:dyDescent="0.55000000000000004">
      <c r="A213" s="242"/>
      <c r="E213" s="243"/>
      <c r="F213" s="243"/>
      <c r="G213" s="243"/>
      <c r="H213" s="243"/>
      <c r="I213" s="243"/>
      <c r="J213" s="234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</row>
    <row r="214" spans="1:29" ht="24" customHeight="1" x14ac:dyDescent="0.55000000000000004">
      <c r="A214" s="242"/>
      <c r="E214" s="243"/>
      <c r="F214" s="243"/>
      <c r="G214" s="243"/>
      <c r="H214" s="243"/>
      <c r="I214" s="243"/>
      <c r="J214" s="234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</row>
    <row r="215" spans="1:29" ht="24" customHeight="1" x14ac:dyDescent="0.55000000000000004">
      <c r="A215" s="242"/>
      <c r="E215" s="243"/>
      <c r="F215" s="243"/>
      <c r="G215" s="243"/>
      <c r="H215" s="243"/>
      <c r="I215" s="243"/>
      <c r="J215" s="234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</row>
    <row r="216" spans="1:29" ht="24" customHeight="1" x14ac:dyDescent="0.55000000000000004">
      <c r="A216" s="242"/>
      <c r="E216" s="243"/>
      <c r="F216" s="243"/>
      <c r="G216" s="243"/>
      <c r="H216" s="243"/>
      <c r="I216" s="243"/>
      <c r="J216" s="234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</row>
    <row r="217" spans="1:29" ht="24" customHeight="1" x14ac:dyDescent="0.55000000000000004">
      <c r="A217" s="242"/>
      <c r="E217" s="243"/>
      <c r="F217" s="243"/>
      <c r="G217" s="243"/>
      <c r="H217" s="243"/>
      <c r="I217" s="243"/>
      <c r="J217" s="234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</row>
    <row r="218" spans="1:29" ht="24" customHeight="1" x14ac:dyDescent="0.55000000000000004">
      <c r="A218" s="242"/>
      <c r="E218" s="243"/>
      <c r="F218" s="243"/>
      <c r="G218" s="243"/>
      <c r="H218" s="243"/>
      <c r="I218" s="243"/>
      <c r="J218" s="234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</row>
    <row r="219" spans="1:29" ht="24" customHeight="1" x14ac:dyDescent="0.55000000000000004">
      <c r="A219" s="242"/>
      <c r="E219" s="243"/>
      <c r="F219" s="243"/>
      <c r="G219" s="243"/>
      <c r="H219" s="243"/>
      <c r="I219" s="243"/>
      <c r="J219" s="234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</row>
    <row r="220" spans="1:29" ht="24" customHeight="1" x14ac:dyDescent="0.55000000000000004">
      <c r="A220" s="242"/>
      <c r="E220" s="243"/>
      <c r="F220" s="243"/>
      <c r="G220" s="243"/>
      <c r="H220" s="243"/>
      <c r="I220" s="243"/>
      <c r="J220" s="234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</row>
    <row r="221" spans="1:29" ht="24" customHeight="1" x14ac:dyDescent="0.55000000000000004">
      <c r="A221" s="242"/>
      <c r="E221" s="243"/>
      <c r="F221" s="243"/>
      <c r="G221" s="243"/>
      <c r="H221" s="243"/>
      <c r="I221" s="243"/>
      <c r="J221" s="234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</row>
    <row r="222" spans="1:29" ht="24" customHeight="1" x14ac:dyDescent="0.55000000000000004">
      <c r="A222" s="242"/>
      <c r="E222" s="243"/>
      <c r="F222" s="243"/>
      <c r="G222" s="243"/>
      <c r="H222" s="243"/>
      <c r="I222" s="243"/>
      <c r="J222" s="234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</row>
    <row r="223" spans="1:29" ht="24" customHeight="1" x14ac:dyDescent="0.55000000000000004">
      <c r="A223" s="242"/>
      <c r="E223" s="243"/>
      <c r="F223" s="243"/>
      <c r="G223" s="243"/>
      <c r="H223" s="243"/>
      <c r="I223" s="243"/>
      <c r="J223" s="234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</row>
    <row r="224" spans="1:29" ht="24" customHeight="1" x14ac:dyDescent="0.55000000000000004">
      <c r="A224" s="242"/>
      <c r="E224" s="243"/>
      <c r="F224" s="243"/>
      <c r="G224" s="243"/>
      <c r="H224" s="243"/>
      <c r="I224" s="243"/>
      <c r="J224" s="234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</row>
    <row r="225" spans="1:29" ht="24" customHeight="1" x14ac:dyDescent="0.55000000000000004">
      <c r="A225" s="242"/>
      <c r="E225" s="243"/>
      <c r="F225" s="243"/>
      <c r="G225" s="243"/>
      <c r="H225" s="243"/>
      <c r="I225" s="243"/>
      <c r="J225" s="234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</row>
    <row r="226" spans="1:29" ht="24" customHeight="1" x14ac:dyDescent="0.55000000000000004">
      <c r="A226" s="242"/>
      <c r="E226" s="243"/>
      <c r="F226" s="243"/>
      <c r="G226" s="243"/>
      <c r="H226" s="243"/>
      <c r="I226" s="243"/>
      <c r="J226" s="234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</row>
    <row r="227" spans="1:29" ht="24" customHeight="1" x14ac:dyDescent="0.55000000000000004">
      <c r="A227" s="242"/>
      <c r="E227" s="243"/>
      <c r="F227" s="243"/>
      <c r="G227" s="243"/>
      <c r="H227" s="243"/>
      <c r="I227" s="243"/>
      <c r="J227" s="234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</row>
    <row r="228" spans="1:29" ht="24" customHeight="1" x14ac:dyDescent="0.55000000000000004">
      <c r="A228" s="242"/>
      <c r="E228" s="243"/>
      <c r="F228" s="243"/>
      <c r="G228" s="243"/>
      <c r="H228" s="243"/>
      <c r="I228" s="243"/>
      <c r="J228" s="234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</row>
    <row r="229" spans="1:29" ht="24" customHeight="1" x14ac:dyDescent="0.55000000000000004">
      <c r="A229" s="242"/>
      <c r="E229" s="243"/>
      <c r="F229" s="243"/>
      <c r="G229" s="243"/>
      <c r="H229" s="243"/>
      <c r="I229" s="243"/>
      <c r="J229" s="234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</row>
    <row r="230" spans="1:29" ht="24" customHeight="1" x14ac:dyDescent="0.55000000000000004">
      <c r="A230" s="242"/>
      <c r="E230" s="243"/>
      <c r="F230" s="243"/>
      <c r="G230" s="243"/>
      <c r="H230" s="243"/>
      <c r="I230" s="243"/>
      <c r="J230" s="234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</row>
    <row r="231" spans="1:29" ht="24" customHeight="1" x14ac:dyDescent="0.55000000000000004">
      <c r="A231" s="242"/>
      <c r="E231" s="243"/>
      <c r="F231" s="243"/>
      <c r="G231" s="243"/>
      <c r="H231" s="243"/>
      <c r="I231" s="243"/>
      <c r="J231" s="234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</row>
    <row r="232" spans="1:29" ht="24" customHeight="1" x14ac:dyDescent="0.55000000000000004">
      <c r="A232" s="242"/>
      <c r="E232" s="243"/>
      <c r="F232" s="243"/>
      <c r="G232" s="243"/>
      <c r="H232" s="243"/>
      <c r="I232" s="243"/>
      <c r="J232" s="234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</row>
    <row r="233" spans="1:29" ht="24" customHeight="1" x14ac:dyDescent="0.55000000000000004">
      <c r="A233" s="242"/>
      <c r="E233" s="243"/>
      <c r="F233" s="243"/>
      <c r="G233" s="243"/>
      <c r="H233" s="243"/>
      <c r="I233" s="243"/>
      <c r="J233" s="234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</row>
    <row r="234" spans="1:29" ht="24" customHeight="1" x14ac:dyDescent="0.55000000000000004">
      <c r="A234" s="242"/>
      <c r="E234" s="243"/>
      <c r="F234" s="243"/>
      <c r="G234" s="243"/>
      <c r="H234" s="243"/>
      <c r="I234" s="243"/>
      <c r="J234" s="234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</row>
    <row r="235" spans="1:29" ht="24" customHeight="1" x14ac:dyDescent="0.55000000000000004">
      <c r="A235" s="242"/>
      <c r="E235" s="243"/>
      <c r="F235" s="243"/>
      <c r="G235" s="243"/>
      <c r="H235" s="243"/>
      <c r="I235" s="243"/>
      <c r="J235" s="234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</row>
    <row r="236" spans="1:29" ht="24" customHeight="1" x14ac:dyDescent="0.55000000000000004">
      <c r="A236" s="242"/>
      <c r="E236" s="243"/>
      <c r="F236" s="243"/>
      <c r="G236" s="243"/>
      <c r="H236" s="243"/>
      <c r="I236" s="243"/>
      <c r="J236" s="234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</row>
    <row r="237" spans="1:29" ht="24" customHeight="1" x14ac:dyDescent="0.55000000000000004">
      <c r="A237" s="242"/>
      <c r="E237" s="243"/>
      <c r="F237" s="243"/>
      <c r="G237" s="243"/>
      <c r="H237" s="243"/>
      <c r="I237" s="243"/>
      <c r="J237" s="234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</row>
    <row r="238" spans="1:29" ht="24" customHeight="1" x14ac:dyDescent="0.55000000000000004">
      <c r="A238" s="242"/>
      <c r="E238" s="243"/>
      <c r="F238" s="243"/>
      <c r="G238" s="243"/>
      <c r="H238" s="243"/>
      <c r="I238" s="243"/>
      <c r="J238" s="234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</row>
    <row r="239" spans="1:29" ht="24" customHeight="1" x14ac:dyDescent="0.55000000000000004">
      <c r="A239" s="242"/>
      <c r="E239" s="243"/>
      <c r="F239" s="243"/>
      <c r="G239" s="243"/>
      <c r="H239" s="243"/>
      <c r="I239" s="243"/>
      <c r="J239" s="234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</row>
    <row r="240" spans="1:29" ht="24" customHeight="1" x14ac:dyDescent="0.55000000000000004">
      <c r="A240" s="242"/>
      <c r="E240" s="243"/>
      <c r="F240" s="243"/>
      <c r="G240" s="243"/>
      <c r="H240" s="243"/>
      <c r="I240" s="243"/>
      <c r="J240" s="234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</row>
    <row r="241" spans="1:29" ht="24" customHeight="1" x14ac:dyDescent="0.55000000000000004">
      <c r="A241" s="242"/>
      <c r="E241" s="243"/>
      <c r="F241" s="243"/>
      <c r="G241" s="243"/>
      <c r="H241" s="243"/>
      <c r="I241" s="243"/>
      <c r="J241" s="234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</row>
    <row r="242" spans="1:29" ht="24" customHeight="1" x14ac:dyDescent="0.55000000000000004">
      <c r="A242" s="242"/>
      <c r="E242" s="243"/>
      <c r="F242" s="243"/>
      <c r="G242" s="243"/>
      <c r="H242" s="243"/>
      <c r="I242" s="243"/>
      <c r="J242" s="234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</row>
    <row r="243" spans="1:29" ht="24" customHeight="1" x14ac:dyDescent="0.55000000000000004">
      <c r="A243" s="242"/>
      <c r="E243" s="243"/>
      <c r="F243" s="243"/>
      <c r="G243" s="243"/>
      <c r="H243" s="243"/>
      <c r="I243" s="243"/>
      <c r="J243" s="234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</row>
    <row r="244" spans="1:29" ht="24" customHeight="1" x14ac:dyDescent="0.55000000000000004">
      <c r="A244" s="242"/>
      <c r="E244" s="243"/>
      <c r="F244" s="243"/>
      <c r="G244" s="243"/>
      <c r="H244" s="243"/>
      <c r="I244" s="243"/>
      <c r="J244" s="234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</row>
    <row r="245" spans="1:29" ht="24" customHeight="1" x14ac:dyDescent="0.55000000000000004">
      <c r="A245" s="242"/>
      <c r="E245" s="243"/>
      <c r="F245" s="243"/>
      <c r="G245" s="243"/>
      <c r="H245" s="243"/>
      <c r="I245" s="243"/>
      <c r="J245" s="234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</row>
    <row r="246" spans="1:29" ht="24" customHeight="1" x14ac:dyDescent="0.55000000000000004">
      <c r="A246" s="242"/>
      <c r="E246" s="243"/>
      <c r="F246" s="243"/>
      <c r="G246" s="243"/>
      <c r="H246" s="243"/>
      <c r="I246" s="243"/>
      <c r="J246" s="234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</row>
    <row r="247" spans="1:29" ht="24" customHeight="1" x14ac:dyDescent="0.55000000000000004">
      <c r="A247" s="242"/>
      <c r="E247" s="243"/>
      <c r="F247" s="243"/>
      <c r="G247" s="243"/>
      <c r="H247" s="243"/>
      <c r="I247" s="243"/>
      <c r="J247" s="234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</row>
    <row r="248" spans="1:29" ht="24" customHeight="1" x14ac:dyDescent="0.55000000000000004">
      <c r="A248" s="242"/>
      <c r="E248" s="243"/>
      <c r="F248" s="243"/>
      <c r="G248" s="243"/>
      <c r="H248" s="243"/>
      <c r="I248" s="243"/>
      <c r="J248" s="234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</row>
    <row r="249" spans="1:29" ht="24" customHeight="1" x14ac:dyDescent="0.55000000000000004">
      <c r="A249" s="242"/>
      <c r="E249" s="243"/>
      <c r="F249" s="243"/>
      <c r="G249" s="243"/>
      <c r="H249" s="243"/>
      <c r="I249" s="243"/>
      <c r="J249" s="234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</row>
    <row r="250" spans="1:29" ht="24" customHeight="1" x14ac:dyDescent="0.55000000000000004">
      <c r="A250" s="242"/>
      <c r="E250" s="243"/>
      <c r="F250" s="243"/>
      <c r="G250" s="243"/>
      <c r="H250" s="243"/>
      <c r="I250" s="243"/>
      <c r="J250" s="234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</row>
    <row r="251" spans="1:29" ht="24" customHeight="1" x14ac:dyDescent="0.55000000000000004">
      <c r="A251" s="242"/>
      <c r="E251" s="243"/>
      <c r="F251" s="243"/>
      <c r="G251" s="243"/>
      <c r="H251" s="243"/>
      <c r="I251" s="243"/>
      <c r="J251" s="234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</row>
    <row r="252" spans="1:29" ht="24" customHeight="1" x14ac:dyDescent="0.55000000000000004">
      <c r="A252" s="242"/>
      <c r="E252" s="243"/>
      <c r="F252" s="243"/>
      <c r="G252" s="243"/>
      <c r="H252" s="243"/>
      <c r="I252" s="243"/>
      <c r="J252" s="234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</row>
    <row r="253" spans="1:29" ht="24" customHeight="1" x14ac:dyDescent="0.55000000000000004">
      <c r="A253" s="242"/>
      <c r="E253" s="243"/>
      <c r="F253" s="243"/>
      <c r="G253" s="243"/>
      <c r="H253" s="243"/>
      <c r="I253" s="243"/>
      <c r="J253" s="234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</row>
    <row r="254" spans="1:29" ht="24" customHeight="1" x14ac:dyDescent="0.55000000000000004">
      <c r="A254" s="242"/>
      <c r="E254" s="243"/>
      <c r="F254" s="243"/>
      <c r="G254" s="243"/>
      <c r="H254" s="243"/>
      <c r="I254" s="243"/>
      <c r="J254" s="234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</row>
    <row r="255" spans="1:29" ht="24" customHeight="1" x14ac:dyDescent="0.55000000000000004">
      <c r="A255" s="242"/>
      <c r="E255" s="243"/>
      <c r="F255" s="243"/>
      <c r="G255" s="243"/>
      <c r="H255" s="243"/>
      <c r="I255" s="243"/>
      <c r="J255" s="234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</row>
    <row r="256" spans="1:29" ht="24" customHeight="1" x14ac:dyDescent="0.55000000000000004">
      <c r="A256" s="242"/>
      <c r="E256" s="243"/>
      <c r="F256" s="243"/>
      <c r="G256" s="243"/>
      <c r="H256" s="243"/>
      <c r="I256" s="243"/>
      <c r="J256" s="234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</row>
    <row r="257" spans="1:29" ht="24" customHeight="1" x14ac:dyDescent="0.55000000000000004">
      <c r="A257" s="242"/>
      <c r="E257" s="243"/>
      <c r="F257" s="243"/>
      <c r="G257" s="243"/>
      <c r="H257" s="243"/>
      <c r="I257" s="243"/>
      <c r="J257" s="234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</row>
    <row r="258" spans="1:29" ht="24" customHeight="1" x14ac:dyDescent="0.55000000000000004">
      <c r="A258" s="242"/>
      <c r="E258" s="243"/>
      <c r="F258" s="243"/>
      <c r="G258" s="243"/>
      <c r="H258" s="243"/>
      <c r="I258" s="243"/>
      <c r="J258" s="234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</row>
    <row r="259" spans="1:29" ht="24" customHeight="1" x14ac:dyDescent="0.55000000000000004">
      <c r="A259" s="242"/>
      <c r="E259" s="243"/>
      <c r="F259" s="243"/>
      <c r="G259" s="243"/>
      <c r="H259" s="243"/>
      <c r="I259" s="243"/>
      <c r="J259" s="234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</row>
    <row r="260" spans="1:29" ht="24" customHeight="1" x14ac:dyDescent="0.55000000000000004">
      <c r="A260" s="242"/>
      <c r="E260" s="243"/>
      <c r="F260" s="243"/>
      <c r="G260" s="243"/>
      <c r="H260" s="243"/>
      <c r="I260" s="243"/>
      <c r="J260" s="234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</row>
    <row r="261" spans="1:29" ht="24" customHeight="1" x14ac:dyDescent="0.55000000000000004">
      <c r="A261" s="242"/>
      <c r="E261" s="243"/>
      <c r="F261" s="243"/>
      <c r="G261" s="243"/>
      <c r="H261" s="243"/>
      <c r="I261" s="243"/>
      <c r="J261" s="234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</row>
    <row r="262" spans="1:29" ht="24" customHeight="1" x14ac:dyDescent="0.55000000000000004">
      <c r="A262" s="242"/>
      <c r="E262" s="243"/>
      <c r="F262" s="243"/>
      <c r="G262" s="243"/>
      <c r="H262" s="243"/>
      <c r="I262" s="243"/>
      <c r="J262" s="234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</row>
    <row r="263" spans="1:29" ht="24" customHeight="1" x14ac:dyDescent="0.55000000000000004">
      <c r="A263" s="242"/>
      <c r="E263" s="243"/>
      <c r="F263" s="243"/>
      <c r="G263" s="243"/>
      <c r="H263" s="243"/>
      <c r="I263" s="243"/>
      <c r="J263" s="234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</row>
    <row r="264" spans="1:29" ht="24" customHeight="1" x14ac:dyDescent="0.55000000000000004">
      <c r="A264" s="242"/>
      <c r="E264" s="243"/>
      <c r="F264" s="243"/>
      <c r="G264" s="243"/>
      <c r="H264" s="243"/>
      <c r="I264" s="243"/>
      <c r="J264" s="234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</row>
    <row r="265" spans="1:29" ht="24" customHeight="1" x14ac:dyDescent="0.55000000000000004">
      <c r="A265" s="242"/>
      <c r="E265" s="243"/>
      <c r="F265" s="243"/>
      <c r="G265" s="243"/>
      <c r="H265" s="243"/>
      <c r="I265" s="243"/>
      <c r="J265" s="234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</row>
    <row r="266" spans="1:29" ht="24" customHeight="1" x14ac:dyDescent="0.55000000000000004">
      <c r="A266" s="242"/>
      <c r="E266" s="243"/>
      <c r="F266" s="243"/>
      <c r="G266" s="243"/>
      <c r="H266" s="243"/>
      <c r="I266" s="243"/>
      <c r="J266" s="234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</row>
    <row r="267" spans="1:29" ht="24" customHeight="1" x14ac:dyDescent="0.55000000000000004">
      <c r="A267" s="242"/>
      <c r="E267" s="243"/>
      <c r="F267" s="243"/>
      <c r="G267" s="243"/>
      <c r="H267" s="243"/>
      <c r="I267" s="243"/>
      <c r="J267" s="234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</row>
    <row r="268" spans="1:29" ht="24" customHeight="1" x14ac:dyDescent="0.55000000000000004">
      <c r="A268" s="242"/>
      <c r="E268" s="243"/>
      <c r="F268" s="243"/>
      <c r="G268" s="243"/>
      <c r="H268" s="243"/>
      <c r="I268" s="243"/>
      <c r="J268" s="234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</row>
    <row r="269" spans="1:29" ht="24" customHeight="1" x14ac:dyDescent="0.55000000000000004">
      <c r="A269" s="242"/>
      <c r="E269" s="243"/>
      <c r="F269" s="243"/>
      <c r="G269" s="243"/>
      <c r="H269" s="243"/>
      <c r="I269" s="243"/>
      <c r="J269" s="234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</row>
    <row r="270" spans="1:29" ht="24" customHeight="1" x14ac:dyDescent="0.55000000000000004">
      <c r="A270" s="242"/>
      <c r="E270" s="243"/>
      <c r="F270" s="243"/>
      <c r="G270" s="243"/>
      <c r="H270" s="243"/>
      <c r="I270" s="243"/>
      <c r="J270" s="234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</row>
    <row r="271" spans="1:29" ht="24" customHeight="1" x14ac:dyDescent="0.55000000000000004">
      <c r="A271" s="242"/>
      <c r="E271" s="243"/>
      <c r="F271" s="243"/>
      <c r="G271" s="243"/>
      <c r="H271" s="243"/>
      <c r="I271" s="243"/>
      <c r="J271" s="234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</row>
    <row r="272" spans="1:29" ht="24" customHeight="1" x14ac:dyDescent="0.55000000000000004">
      <c r="A272" s="242"/>
      <c r="E272" s="243"/>
      <c r="F272" s="243"/>
      <c r="G272" s="243"/>
      <c r="H272" s="243"/>
      <c r="I272" s="243"/>
      <c r="J272" s="234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</row>
    <row r="273" spans="1:29" ht="24" customHeight="1" x14ac:dyDescent="0.55000000000000004">
      <c r="A273" s="242"/>
      <c r="E273" s="243"/>
      <c r="F273" s="243"/>
      <c r="G273" s="243"/>
      <c r="H273" s="243"/>
      <c r="I273" s="243"/>
      <c r="J273" s="234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</row>
    <row r="274" spans="1:29" ht="24" customHeight="1" x14ac:dyDescent="0.55000000000000004">
      <c r="A274" s="242"/>
      <c r="E274" s="243"/>
      <c r="F274" s="243"/>
      <c r="G274" s="243"/>
      <c r="H274" s="243"/>
      <c r="I274" s="243"/>
      <c r="J274" s="234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</row>
    <row r="275" spans="1:29" ht="24" customHeight="1" x14ac:dyDescent="0.55000000000000004">
      <c r="A275" s="242"/>
      <c r="E275" s="243"/>
      <c r="F275" s="243"/>
      <c r="G275" s="243"/>
      <c r="H275" s="243"/>
      <c r="I275" s="243"/>
      <c r="J275" s="234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</row>
    <row r="276" spans="1:29" ht="24" customHeight="1" x14ac:dyDescent="0.55000000000000004">
      <c r="A276" s="242"/>
      <c r="E276" s="243"/>
      <c r="F276" s="243"/>
      <c r="G276" s="243"/>
      <c r="H276" s="243"/>
      <c r="I276" s="243"/>
      <c r="J276" s="234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</row>
    <row r="277" spans="1:29" ht="24" customHeight="1" x14ac:dyDescent="0.55000000000000004">
      <c r="A277" s="242"/>
      <c r="E277" s="243"/>
      <c r="F277" s="243"/>
      <c r="G277" s="243"/>
      <c r="H277" s="243"/>
      <c r="I277" s="243"/>
      <c r="J277" s="234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</row>
    <row r="278" spans="1:29" ht="24" customHeight="1" x14ac:dyDescent="0.55000000000000004">
      <c r="A278" s="242"/>
      <c r="E278" s="243"/>
      <c r="F278" s="243"/>
      <c r="G278" s="243"/>
      <c r="H278" s="243"/>
      <c r="I278" s="243"/>
      <c r="J278" s="234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</row>
    <row r="279" spans="1:29" ht="24" customHeight="1" x14ac:dyDescent="0.55000000000000004">
      <c r="A279" s="242"/>
      <c r="E279" s="243"/>
      <c r="F279" s="243"/>
      <c r="G279" s="243"/>
      <c r="H279" s="243"/>
      <c r="I279" s="243"/>
      <c r="J279" s="234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</row>
    <row r="280" spans="1:29" ht="24" customHeight="1" x14ac:dyDescent="0.55000000000000004">
      <c r="A280" s="242"/>
      <c r="E280" s="243"/>
      <c r="F280" s="243"/>
      <c r="G280" s="243"/>
      <c r="H280" s="243"/>
      <c r="I280" s="243"/>
      <c r="J280" s="234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</row>
    <row r="281" spans="1:29" ht="24" customHeight="1" x14ac:dyDescent="0.55000000000000004">
      <c r="A281" s="242"/>
      <c r="E281" s="243"/>
      <c r="F281" s="243"/>
      <c r="G281" s="243"/>
      <c r="H281" s="243"/>
      <c r="I281" s="243"/>
      <c r="J281" s="234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</row>
    <row r="282" spans="1:29" ht="24" customHeight="1" x14ac:dyDescent="0.55000000000000004">
      <c r="A282" s="242"/>
      <c r="E282" s="243"/>
      <c r="F282" s="243"/>
      <c r="G282" s="243"/>
      <c r="H282" s="243"/>
      <c r="I282" s="243"/>
      <c r="J282" s="234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</row>
    <row r="283" spans="1:29" ht="24" customHeight="1" x14ac:dyDescent="0.55000000000000004">
      <c r="A283" s="242"/>
      <c r="E283" s="243"/>
      <c r="F283" s="243"/>
      <c r="G283" s="243"/>
      <c r="H283" s="243"/>
      <c r="I283" s="243"/>
      <c r="J283" s="234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</row>
    <row r="284" spans="1:29" ht="24" customHeight="1" x14ac:dyDescent="0.55000000000000004">
      <c r="A284" s="242"/>
      <c r="E284" s="243"/>
      <c r="F284" s="243"/>
      <c r="G284" s="243"/>
      <c r="H284" s="243"/>
      <c r="I284" s="243"/>
      <c r="J284" s="234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</row>
    <row r="285" spans="1:29" ht="24" customHeight="1" x14ac:dyDescent="0.55000000000000004">
      <c r="A285" s="242"/>
      <c r="E285" s="243"/>
      <c r="F285" s="243"/>
      <c r="G285" s="243"/>
      <c r="H285" s="243"/>
      <c r="I285" s="243"/>
      <c r="J285" s="234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</row>
    <row r="286" spans="1:29" ht="24" customHeight="1" x14ac:dyDescent="0.55000000000000004">
      <c r="A286" s="242"/>
      <c r="E286" s="243"/>
      <c r="F286" s="243"/>
      <c r="G286" s="243"/>
      <c r="H286" s="243"/>
      <c r="I286" s="243"/>
      <c r="J286" s="234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</row>
    <row r="287" spans="1:29" ht="24" customHeight="1" x14ac:dyDescent="0.55000000000000004">
      <c r="A287" s="242"/>
      <c r="E287" s="243"/>
      <c r="F287" s="243"/>
      <c r="G287" s="243"/>
      <c r="H287" s="243"/>
      <c r="I287" s="243"/>
      <c r="J287" s="234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</row>
    <row r="288" spans="1:29" ht="24" customHeight="1" x14ac:dyDescent="0.55000000000000004">
      <c r="A288" s="242"/>
      <c r="E288" s="243"/>
      <c r="F288" s="243"/>
      <c r="G288" s="243"/>
      <c r="H288" s="243"/>
      <c r="I288" s="243"/>
      <c r="J288" s="234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</row>
    <row r="289" spans="1:29" ht="24" customHeight="1" x14ac:dyDescent="0.55000000000000004">
      <c r="A289" s="242"/>
      <c r="E289" s="243"/>
      <c r="F289" s="243"/>
      <c r="G289" s="243"/>
      <c r="H289" s="243"/>
      <c r="I289" s="243"/>
      <c r="J289" s="234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</row>
    <row r="290" spans="1:29" ht="24" customHeight="1" x14ac:dyDescent="0.55000000000000004">
      <c r="A290" s="242"/>
      <c r="E290" s="243"/>
      <c r="F290" s="243"/>
      <c r="G290" s="243"/>
      <c r="H290" s="243"/>
      <c r="I290" s="243"/>
      <c r="J290" s="234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</row>
    <row r="291" spans="1:29" ht="24" customHeight="1" x14ac:dyDescent="0.55000000000000004">
      <c r="A291" s="242"/>
      <c r="E291" s="243"/>
      <c r="F291" s="243"/>
      <c r="G291" s="243"/>
      <c r="H291" s="243"/>
      <c r="I291" s="243"/>
      <c r="J291" s="234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</row>
    <row r="292" spans="1:29" ht="24" customHeight="1" x14ac:dyDescent="0.55000000000000004">
      <c r="A292" s="242"/>
      <c r="E292" s="243"/>
      <c r="F292" s="243"/>
      <c r="G292" s="243"/>
      <c r="H292" s="243"/>
      <c r="I292" s="243"/>
      <c r="J292" s="234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</row>
    <row r="293" spans="1:29" ht="24" customHeight="1" x14ac:dyDescent="0.55000000000000004">
      <c r="A293" s="242"/>
      <c r="E293" s="243"/>
      <c r="F293" s="243"/>
      <c r="G293" s="243"/>
      <c r="H293" s="243"/>
      <c r="I293" s="243"/>
      <c r="J293" s="234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</row>
    <row r="294" spans="1:29" ht="24" customHeight="1" x14ac:dyDescent="0.55000000000000004">
      <c r="A294" s="242"/>
      <c r="E294" s="243"/>
      <c r="F294" s="243"/>
      <c r="G294" s="243"/>
      <c r="H294" s="243"/>
      <c r="I294" s="243"/>
      <c r="J294" s="234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</row>
    <row r="295" spans="1:29" ht="24" customHeight="1" x14ac:dyDescent="0.55000000000000004">
      <c r="A295" s="242"/>
      <c r="E295" s="243"/>
      <c r="F295" s="243"/>
      <c r="G295" s="243"/>
      <c r="H295" s="243"/>
      <c r="I295" s="243"/>
      <c r="J295" s="234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</row>
    <row r="296" spans="1:29" ht="24" customHeight="1" x14ac:dyDescent="0.55000000000000004">
      <c r="A296" s="242"/>
      <c r="E296" s="243"/>
      <c r="F296" s="243"/>
      <c r="G296" s="243"/>
      <c r="H296" s="243"/>
      <c r="I296" s="243"/>
      <c r="J296" s="234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</row>
    <row r="297" spans="1:29" ht="24" customHeight="1" x14ac:dyDescent="0.55000000000000004">
      <c r="A297" s="242"/>
      <c r="E297" s="243"/>
      <c r="F297" s="243"/>
      <c r="G297" s="243"/>
      <c r="H297" s="243"/>
      <c r="I297" s="243"/>
      <c r="J297" s="234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</row>
    <row r="298" spans="1:29" ht="24" customHeight="1" x14ac:dyDescent="0.55000000000000004">
      <c r="A298" s="242"/>
      <c r="E298" s="243"/>
      <c r="F298" s="243"/>
      <c r="G298" s="243"/>
      <c r="H298" s="243"/>
      <c r="I298" s="243"/>
      <c r="J298" s="234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</row>
    <row r="299" spans="1:29" ht="24" customHeight="1" x14ac:dyDescent="0.55000000000000004">
      <c r="A299" s="242"/>
      <c r="E299" s="243"/>
      <c r="F299" s="243"/>
      <c r="G299" s="243"/>
      <c r="H299" s="243"/>
      <c r="I299" s="243"/>
      <c r="J299" s="234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</row>
    <row r="300" spans="1:29" ht="24" customHeight="1" x14ac:dyDescent="0.55000000000000004">
      <c r="A300" s="242"/>
      <c r="E300" s="243"/>
      <c r="F300" s="243"/>
      <c r="G300" s="243"/>
      <c r="H300" s="243"/>
      <c r="I300" s="243"/>
      <c r="J300" s="234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</row>
    <row r="301" spans="1:29" ht="24" customHeight="1" x14ac:dyDescent="0.55000000000000004">
      <c r="A301" s="242"/>
      <c r="E301" s="243"/>
      <c r="F301" s="243"/>
      <c r="G301" s="243"/>
      <c r="H301" s="243"/>
      <c r="I301" s="243"/>
      <c r="J301" s="234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</row>
    <row r="302" spans="1:29" ht="24" customHeight="1" x14ac:dyDescent="0.55000000000000004">
      <c r="A302" s="242"/>
      <c r="E302" s="243"/>
      <c r="F302" s="243"/>
      <c r="G302" s="243"/>
      <c r="H302" s="243"/>
      <c r="I302" s="243"/>
      <c r="J302" s="234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</row>
    <row r="303" spans="1:29" ht="24" customHeight="1" x14ac:dyDescent="0.55000000000000004">
      <c r="A303" s="242"/>
      <c r="E303" s="243"/>
      <c r="F303" s="243"/>
      <c r="G303" s="243"/>
      <c r="H303" s="243"/>
      <c r="I303" s="243"/>
      <c r="J303" s="234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</row>
    <row r="304" spans="1:29" ht="24" customHeight="1" x14ac:dyDescent="0.55000000000000004">
      <c r="A304" s="242"/>
      <c r="E304" s="243"/>
      <c r="F304" s="243"/>
      <c r="G304" s="243"/>
      <c r="H304" s="243"/>
      <c r="I304" s="243"/>
      <c r="J304" s="234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</row>
    <row r="305" spans="1:29" ht="24" customHeight="1" x14ac:dyDescent="0.55000000000000004">
      <c r="A305" s="242"/>
      <c r="E305" s="243"/>
      <c r="F305" s="243"/>
      <c r="G305" s="243"/>
      <c r="H305" s="243"/>
      <c r="I305" s="243"/>
      <c r="J305" s="234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</row>
    <row r="306" spans="1:29" ht="24" customHeight="1" x14ac:dyDescent="0.55000000000000004">
      <c r="A306" s="242"/>
      <c r="E306" s="243"/>
      <c r="F306" s="243"/>
      <c r="G306" s="243"/>
      <c r="H306" s="243"/>
      <c r="I306" s="243"/>
      <c r="J306" s="234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</row>
    <row r="307" spans="1:29" ht="24" customHeight="1" x14ac:dyDescent="0.55000000000000004">
      <c r="A307" s="242"/>
      <c r="E307" s="243"/>
      <c r="F307" s="243"/>
      <c r="G307" s="243"/>
      <c r="H307" s="243"/>
      <c r="I307" s="243"/>
      <c r="J307" s="234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</row>
    <row r="308" spans="1:29" ht="24" customHeight="1" x14ac:dyDescent="0.55000000000000004">
      <c r="A308" s="242"/>
      <c r="E308" s="243"/>
      <c r="F308" s="243"/>
      <c r="G308" s="243"/>
      <c r="H308" s="243"/>
      <c r="I308" s="243"/>
      <c r="J308" s="234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</row>
    <row r="309" spans="1:29" ht="24" customHeight="1" x14ac:dyDescent="0.55000000000000004">
      <c r="A309" s="242"/>
      <c r="E309" s="243"/>
      <c r="F309" s="243"/>
      <c r="G309" s="243"/>
      <c r="H309" s="243"/>
      <c r="I309" s="243"/>
      <c r="J309" s="234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</row>
    <row r="310" spans="1:29" ht="24" customHeight="1" x14ac:dyDescent="0.55000000000000004">
      <c r="A310" s="242"/>
      <c r="E310" s="243"/>
      <c r="F310" s="243"/>
      <c r="G310" s="243"/>
      <c r="H310" s="243"/>
      <c r="I310" s="243"/>
      <c r="J310" s="234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</row>
    <row r="311" spans="1:29" ht="24" customHeight="1" x14ac:dyDescent="0.55000000000000004">
      <c r="A311" s="242"/>
      <c r="E311" s="243"/>
      <c r="F311" s="243"/>
      <c r="G311" s="243"/>
      <c r="H311" s="243"/>
      <c r="I311" s="243"/>
      <c r="J311" s="234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</row>
    <row r="312" spans="1:29" ht="24" customHeight="1" x14ac:dyDescent="0.55000000000000004">
      <c r="A312" s="242"/>
      <c r="E312" s="243"/>
      <c r="F312" s="243"/>
      <c r="G312" s="243"/>
      <c r="H312" s="243"/>
      <c r="I312" s="243"/>
      <c r="J312" s="234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</row>
    <row r="313" spans="1:29" ht="24" customHeight="1" x14ac:dyDescent="0.55000000000000004">
      <c r="A313" s="242"/>
      <c r="E313" s="243"/>
      <c r="F313" s="243"/>
      <c r="G313" s="243"/>
      <c r="H313" s="243"/>
      <c r="I313" s="243"/>
      <c r="J313" s="234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</row>
    <row r="314" spans="1:29" ht="24" customHeight="1" x14ac:dyDescent="0.55000000000000004">
      <c r="A314" s="242"/>
      <c r="E314" s="243"/>
      <c r="F314" s="243"/>
      <c r="G314" s="243"/>
      <c r="H314" s="243"/>
      <c r="I314" s="243"/>
      <c r="J314" s="234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</row>
    <row r="315" spans="1:29" ht="24" customHeight="1" x14ac:dyDescent="0.55000000000000004">
      <c r="A315" s="242"/>
      <c r="E315" s="243"/>
      <c r="F315" s="243"/>
      <c r="G315" s="243"/>
      <c r="H315" s="243"/>
      <c r="I315" s="243"/>
      <c r="J315" s="234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</row>
    <row r="316" spans="1:29" ht="24" customHeight="1" x14ac:dyDescent="0.55000000000000004">
      <c r="A316" s="242"/>
      <c r="E316" s="243"/>
      <c r="F316" s="243"/>
      <c r="G316" s="243"/>
      <c r="H316" s="243"/>
      <c r="I316" s="243"/>
      <c r="J316" s="234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</row>
    <row r="317" spans="1:29" ht="15.75" customHeight="1" x14ac:dyDescent="0.4">
      <c r="J317" s="234"/>
    </row>
    <row r="318" spans="1:29" ht="15.75" customHeight="1" x14ac:dyDescent="0.4">
      <c r="J318" s="234"/>
    </row>
    <row r="319" spans="1:29" ht="15.75" customHeight="1" x14ac:dyDescent="0.4">
      <c r="J319" s="234"/>
    </row>
    <row r="320" spans="1:29" ht="15.75" customHeight="1" x14ac:dyDescent="0.4">
      <c r="J320" s="234"/>
    </row>
    <row r="321" spans="10:10" ht="15.75" customHeight="1" x14ac:dyDescent="0.4">
      <c r="J321" s="234"/>
    </row>
    <row r="322" spans="10:10" ht="15.75" customHeight="1" x14ac:dyDescent="0.4">
      <c r="J322" s="234"/>
    </row>
    <row r="323" spans="10:10" ht="15.75" customHeight="1" x14ac:dyDescent="0.4">
      <c r="J323" s="234"/>
    </row>
    <row r="324" spans="10:10" ht="15.75" customHeight="1" x14ac:dyDescent="0.4">
      <c r="J324" s="234"/>
    </row>
    <row r="325" spans="10:10" ht="15.75" customHeight="1" x14ac:dyDescent="0.4">
      <c r="J325" s="234"/>
    </row>
    <row r="326" spans="10:10" ht="15.75" customHeight="1" x14ac:dyDescent="0.4">
      <c r="J326" s="234"/>
    </row>
    <row r="327" spans="10:10" ht="15.75" customHeight="1" x14ac:dyDescent="0.4">
      <c r="J327" s="234"/>
    </row>
    <row r="328" spans="10:10" ht="15.75" customHeight="1" x14ac:dyDescent="0.4">
      <c r="J328" s="234"/>
    </row>
    <row r="329" spans="10:10" ht="15.75" customHeight="1" x14ac:dyDescent="0.4">
      <c r="J329" s="234"/>
    </row>
    <row r="330" spans="10:10" ht="15.75" customHeight="1" x14ac:dyDescent="0.4">
      <c r="J330" s="234"/>
    </row>
    <row r="331" spans="10:10" ht="15.75" customHeight="1" x14ac:dyDescent="0.4">
      <c r="J331" s="234"/>
    </row>
    <row r="332" spans="10:10" ht="15.75" customHeight="1" x14ac:dyDescent="0.4">
      <c r="J332" s="234"/>
    </row>
    <row r="333" spans="10:10" ht="15.75" customHeight="1" x14ac:dyDescent="0.4">
      <c r="J333" s="234"/>
    </row>
    <row r="334" spans="10:10" ht="15.75" customHeight="1" x14ac:dyDescent="0.4">
      <c r="J334" s="234"/>
    </row>
    <row r="335" spans="10:10" ht="15.75" customHeight="1" x14ac:dyDescent="0.4">
      <c r="J335" s="234"/>
    </row>
    <row r="336" spans="10:10" ht="15.75" customHeight="1" x14ac:dyDescent="0.4">
      <c r="J336" s="234"/>
    </row>
    <row r="337" spans="10:10" ht="15.75" customHeight="1" x14ac:dyDescent="0.4">
      <c r="J337" s="234"/>
    </row>
    <row r="338" spans="10:10" ht="15.75" customHeight="1" x14ac:dyDescent="0.4">
      <c r="J338" s="234"/>
    </row>
    <row r="339" spans="10:10" ht="15.75" customHeight="1" x14ac:dyDescent="0.4">
      <c r="J339" s="234"/>
    </row>
    <row r="340" spans="10:10" ht="15.75" customHeight="1" x14ac:dyDescent="0.4">
      <c r="J340" s="234"/>
    </row>
    <row r="341" spans="10:10" ht="15.75" customHeight="1" x14ac:dyDescent="0.4">
      <c r="J341" s="234"/>
    </row>
    <row r="342" spans="10:10" ht="15.75" customHeight="1" x14ac:dyDescent="0.4">
      <c r="J342" s="234"/>
    </row>
    <row r="343" spans="10:10" ht="15.75" customHeight="1" x14ac:dyDescent="0.4">
      <c r="J343" s="234"/>
    </row>
    <row r="344" spans="10:10" ht="15.75" customHeight="1" x14ac:dyDescent="0.4">
      <c r="J344" s="234"/>
    </row>
    <row r="345" spans="10:10" ht="15.75" customHeight="1" x14ac:dyDescent="0.4">
      <c r="J345" s="234"/>
    </row>
    <row r="346" spans="10:10" ht="15.75" customHeight="1" x14ac:dyDescent="0.4">
      <c r="J346" s="234"/>
    </row>
    <row r="347" spans="10:10" ht="15.75" customHeight="1" x14ac:dyDescent="0.4">
      <c r="J347" s="234"/>
    </row>
    <row r="348" spans="10:10" ht="15.75" customHeight="1" x14ac:dyDescent="0.4">
      <c r="J348" s="234"/>
    </row>
    <row r="349" spans="10:10" ht="15.75" customHeight="1" x14ac:dyDescent="0.4">
      <c r="J349" s="234"/>
    </row>
    <row r="350" spans="10:10" ht="15.75" customHeight="1" x14ac:dyDescent="0.4">
      <c r="J350" s="234"/>
    </row>
    <row r="351" spans="10:10" ht="15.75" customHeight="1" x14ac:dyDescent="0.4">
      <c r="J351" s="234"/>
    </row>
    <row r="352" spans="10:10" ht="15.75" customHeight="1" x14ac:dyDescent="0.4">
      <c r="J352" s="234"/>
    </row>
    <row r="353" spans="10:10" ht="15.75" customHeight="1" x14ac:dyDescent="0.4">
      <c r="J353" s="234"/>
    </row>
    <row r="354" spans="10:10" ht="15.75" customHeight="1" x14ac:dyDescent="0.4">
      <c r="J354" s="234"/>
    </row>
    <row r="355" spans="10:10" ht="15.75" customHeight="1" x14ac:dyDescent="0.4">
      <c r="J355" s="234"/>
    </row>
    <row r="356" spans="10:10" ht="15.75" customHeight="1" x14ac:dyDescent="0.4">
      <c r="J356" s="234"/>
    </row>
    <row r="357" spans="10:10" ht="15.75" customHeight="1" x14ac:dyDescent="0.4">
      <c r="J357" s="234"/>
    </row>
    <row r="358" spans="10:10" ht="15.75" customHeight="1" x14ac:dyDescent="0.4">
      <c r="J358" s="234"/>
    </row>
    <row r="359" spans="10:10" ht="15.75" customHeight="1" x14ac:dyDescent="0.4">
      <c r="J359" s="234"/>
    </row>
    <row r="360" spans="10:10" ht="15.75" customHeight="1" x14ac:dyDescent="0.4">
      <c r="J360" s="234"/>
    </row>
    <row r="361" spans="10:10" ht="15.75" customHeight="1" x14ac:dyDescent="0.4">
      <c r="J361" s="234"/>
    </row>
    <row r="362" spans="10:10" ht="15.75" customHeight="1" x14ac:dyDescent="0.4">
      <c r="J362" s="234"/>
    </row>
    <row r="363" spans="10:10" ht="15.75" customHeight="1" x14ac:dyDescent="0.4">
      <c r="J363" s="234"/>
    </row>
    <row r="364" spans="10:10" ht="15.75" customHeight="1" x14ac:dyDescent="0.4">
      <c r="J364" s="234"/>
    </row>
    <row r="365" spans="10:10" ht="15.75" customHeight="1" x14ac:dyDescent="0.4">
      <c r="J365" s="234"/>
    </row>
    <row r="366" spans="10:10" ht="15.75" customHeight="1" x14ac:dyDescent="0.4">
      <c r="J366" s="234"/>
    </row>
    <row r="367" spans="10:10" ht="15.75" customHeight="1" x14ac:dyDescent="0.4">
      <c r="J367" s="234"/>
    </row>
    <row r="368" spans="10:10" ht="15.75" customHeight="1" x14ac:dyDescent="0.4">
      <c r="J368" s="234"/>
    </row>
    <row r="369" spans="10:10" ht="15.75" customHeight="1" x14ac:dyDescent="0.4">
      <c r="J369" s="234"/>
    </row>
    <row r="370" spans="10:10" ht="15.75" customHeight="1" x14ac:dyDescent="0.4">
      <c r="J370" s="234"/>
    </row>
    <row r="371" spans="10:10" ht="15.75" customHeight="1" x14ac:dyDescent="0.4">
      <c r="J371" s="234"/>
    </row>
    <row r="372" spans="10:10" ht="15.75" customHeight="1" x14ac:dyDescent="0.4">
      <c r="J372" s="234"/>
    </row>
    <row r="373" spans="10:10" ht="15.75" customHeight="1" x14ac:dyDescent="0.4">
      <c r="J373" s="234"/>
    </row>
    <row r="374" spans="10:10" ht="15.75" customHeight="1" x14ac:dyDescent="0.4">
      <c r="J374" s="234"/>
    </row>
    <row r="375" spans="10:10" ht="15.75" customHeight="1" x14ac:dyDescent="0.4">
      <c r="J375" s="234"/>
    </row>
    <row r="376" spans="10:10" ht="15.75" customHeight="1" x14ac:dyDescent="0.4">
      <c r="J376" s="234"/>
    </row>
    <row r="377" spans="10:10" ht="15.75" customHeight="1" x14ac:dyDescent="0.4">
      <c r="J377" s="234"/>
    </row>
    <row r="378" spans="10:10" ht="15.75" customHeight="1" x14ac:dyDescent="0.4">
      <c r="J378" s="234"/>
    </row>
    <row r="379" spans="10:10" ht="15.75" customHeight="1" x14ac:dyDescent="0.4">
      <c r="J379" s="234"/>
    </row>
    <row r="380" spans="10:10" ht="15.75" customHeight="1" x14ac:dyDescent="0.4">
      <c r="J380" s="234"/>
    </row>
    <row r="381" spans="10:10" ht="15.75" customHeight="1" x14ac:dyDescent="0.4">
      <c r="J381" s="234"/>
    </row>
    <row r="382" spans="10:10" ht="15.75" customHeight="1" x14ac:dyDescent="0.4">
      <c r="J382" s="234"/>
    </row>
    <row r="383" spans="10:10" ht="15.75" customHeight="1" x14ac:dyDescent="0.4">
      <c r="J383" s="234"/>
    </row>
    <row r="384" spans="10:10" ht="15.75" customHeight="1" x14ac:dyDescent="0.4">
      <c r="J384" s="234"/>
    </row>
    <row r="385" spans="10:10" ht="15.75" customHeight="1" x14ac:dyDescent="0.4">
      <c r="J385" s="234"/>
    </row>
    <row r="386" spans="10:10" ht="15.75" customHeight="1" x14ac:dyDescent="0.4">
      <c r="J386" s="234"/>
    </row>
    <row r="387" spans="10:10" ht="15.75" customHeight="1" x14ac:dyDescent="0.4">
      <c r="J387" s="234"/>
    </row>
    <row r="388" spans="10:10" ht="15.75" customHeight="1" x14ac:dyDescent="0.4">
      <c r="J388" s="234"/>
    </row>
    <row r="389" spans="10:10" ht="15.75" customHeight="1" x14ac:dyDescent="0.4">
      <c r="J389" s="234"/>
    </row>
    <row r="390" spans="10:10" ht="15.75" customHeight="1" x14ac:dyDescent="0.4">
      <c r="J390" s="234"/>
    </row>
    <row r="391" spans="10:10" ht="15.75" customHeight="1" x14ac:dyDescent="0.4">
      <c r="J391" s="234"/>
    </row>
    <row r="392" spans="10:10" ht="15.75" customHeight="1" x14ac:dyDescent="0.4">
      <c r="J392" s="234"/>
    </row>
    <row r="393" spans="10:10" ht="15.75" customHeight="1" x14ac:dyDescent="0.4">
      <c r="J393" s="234"/>
    </row>
    <row r="394" spans="10:10" ht="15.75" customHeight="1" x14ac:dyDescent="0.4">
      <c r="J394" s="234"/>
    </row>
    <row r="395" spans="10:10" ht="15.75" customHeight="1" x14ac:dyDescent="0.4">
      <c r="J395" s="234"/>
    </row>
    <row r="396" spans="10:10" ht="15.75" customHeight="1" x14ac:dyDescent="0.4">
      <c r="J396" s="234"/>
    </row>
    <row r="397" spans="10:10" ht="15.75" customHeight="1" x14ac:dyDescent="0.4">
      <c r="J397" s="234"/>
    </row>
    <row r="398" spans="10:10" ht="15.75" customHeight="1" x14ac:dyDescent="0.4">
      <c r="J398" s="234"/>
    </row>
    <row r="399" spans="10:10" ht="15.75" customHeight="1" x14ac:dyDescent="0.4">
      <c r="J399" s="234"/>
    </row>
    <row r="400" spans="10:10" ht="15.75" customHeight="1" x14ac:dyDescent="0.4">
      <c r="J400" s="234"/>
    </row>
    <row r="401" spans="10:10" ht="15.75" customHeight="1" x14ac:dyDescent="0.4">
      <c r="J401" s="234"/>
    </row>
    <row r="402" spans="10:10" ht="15.75" customHeight="1" x14ac:dyDescent="0.4">
      <c r="J402" s="234"/>
    </row>
    <row r="403" spans="10:10" ht="15.75" customHeight="1" x14ac:dyDescent="0.4">
      <c r="J403" s="234"/>
    </row>
    <row r="404" spans="10:10" ht="15.75" customHeight="1" x14ac:dyDescent="0.4">
      <c r="J404" s="234"/>
    </row>
    <row r="405" spans="10:10" ht="15.75" customHeight="1" x14ac:dyDescent="0.4">
      <c r="J405" s="234"/>
    </row>
    <row r="406" spans="10:10" ht="15.75" customHeight="1" x14ac:dyDescent="0.4">
      <c r="J406" s="234"/>
    </row>
    <row r="407" spans="10:10" ht="15.75" customHeight="1" x14ac:dyDescent="0.4">
      <c r="J407" s="234"/>
    </row>
    <row r="408" spans="10:10" ht="15.75" customHeight="1" x14ac:dyDescent="0.4">
      <c r="J408" s="234"/>
    </row>
    <row r="409" spans="10:10" ht="15.75" customHeight="1" x14ac:dyDescent="0.4">
      <c r="J409" s="234"/>
    </row>
    <row r="410" spans="10:10" ht="15.75" customHeight="1" x14ac:dyDescent="0.4">
      <c r="J410" s="234"/>
    </row>
    <row r="411" spans="10:10" ht="15.75" customHeight="1" x14ac:dyDescent="0.4">
      <c r="J411" s="234"/>
    </row>
    <row r="412" spans="10:10" ht="15.75" customHeight="1" x14ac:dyDescent="0.4">
      <c r="J412" s="234"/>
    </row>
    <row r="413" spans="10:10" ht="15.75" customHeight="1" x14ac:dyDescent="0.4">
      <c r="J413" s="234"/>
    </row>
    <row r="414" spans="10:10" ht="15.75" customHeight="1" x14ac:dyDescent="0.4">
      <c r="J414" s="234"/>
    </row>
    <row r="415" spans="10:10" ht="15.75" customHeight="1" x14ac:dyDescent="0.4">
      <c r="J415" s="234"/>
    </row>
    <row r="416" spans="10:10" ht="15.75" customHeight="1" x14ac:dyDescent="0.4">
      <c r="J416" s="234"/>
    </row>
    <row r="417" spans="10:10" ht="15.75" customHeight="1" x14ac:dyDescent="0.4">
      <c r="J417" s="234"/>
    </row>
    <row r="418" spans="10:10" ht="15.75" customHeight="1" x14ac:dyDescent="0.4">
      <c r="J418" s="234"/>
    </row>
    <row r="419" spans="10:10" ht="15.75" customHeight="1" x14ac:dyDescent="0.4">
      <c r="J419" s="234"/>
    </row>
    <row r="420" spans="10:10" ht="15.75" customHeight="1" x14ac:dyDescent="0.4">
      <c r="J420" s="234"/>
    </row>
    <row r="421" spans="10:10" ht="15.75" customHeight="1" x14ac:dyDescent="0.4">
      <c r="J421" s="234"/>
    </row>
    <row r="422" spans="10:10" ht="15.75" customHeight="1" x14ac:dyDescent="0.4">
      <c r="J422" s="234"/>
    </row>
    <row r="423" spans="10:10" ht="15.75" customHeight="1" x14ac:dyDescent="0.4">
      <c r="J423" s="234"/>
    </row>
    <row r="424" spans="10:10" ht="15.75" customHeight="1" x14ac:dyDescent="0.4">
      <c r="J424" s="234"/>
    </row>
    <row r="425" spans="10:10" ht="15.75" customHeight="1" x14ac:dyDescent="0.4">
      <c r="J425" s="234"/>
    </row>
    <row r="426" spans="10:10" ht="15.75" customHeight="1" x14ac:dyDescent="0.4">
      <c r="J426" s="234"/>
    </row>
    <row r="427" spans="10:10" ht="15.75" customHeight="1" x14ac:dyDescent="0.4">
      <c r="J427" s="234"/>
    </row>
    <row r="428" spans="10:10" ht="15.75" customHeight="1" x14ac:dyDescent="0.4">
      <c r="J428" s="234"/>
    </row>
    <row r="429" spans="10:10" ht="15.75" customHeight="1" x14ac:dyDescent="0.4">
      <c r="J429" s="234"/>
    </row>
    <row r="430" spans="10:10" ht="15.75" customHeight="1" x14ac:dyDescent="0.4">
      <c r="J430" s="234"/>
    </row>
    <row r="431" spans="10:10" ht="15.75" customHeight="1" x14ac:dyDescent="0.4">
      <c r="J431" s="234"/>
    </row>
    <row r="432" spans="10:10" ht="15.75" customHeight="1" x14ac:dyDescent="0.4">
      <c r="J432" s="234"/>
    </row>
    <row r="433" spans="10:10" ht="15.75" customHeight="1" x14ac:dyDescent="0.4">
      <c r="J433" s="234"/>
    </row>
    <row r="434" spans="10:10" ht="15.75" customHeight="1" x14ac:dyDescent="0.4">
      <c r="J434" s="234"/>
    </row>
    <row r="435" spans="10:10" ht="15.75" customHeight="1" x14ac:dyDescent="0.4">
      <c r="J435" s="234"/>
    </row>
    <row r="436" spans="10:10" ht="15.75" customHeight="1" x14ac:dyDescent="0.4">
      <c r="J436" s="234"/>
    </row>
    <row r="437" spans="10:10" ht="15.75" customHeight="1" x14ac:dyDescent="0.4">
      <c r="J437" s="234"/>
    </row>
    <row r="438" spans="10:10" ht="15.75" customHeight="1" x14ac:dyDescent="0.4">
      <c r="J438" s="234"/>
    </row>
    <row r="439" spans="10:10" ht="15.75" customHeight="1" x14ac:dyDescent="0.4">
      <c r="J439" s="234"/>
    </row>
    <row r="440" spans="10:10" ht="15.75" customHeight="1" x14ac:dyDescent="0.4">
      <c r="J440" s="234"/>
    </row>
    <row r="441" spans="10:10" ht="15.75" customHeight="1" x14ac:dyDescent="0.4">
      <c r="J441" s="234"/>
    </row>
    <row r="442" spans="10:10" ht="15.75" customHeight="1" x14ac:dyDescent="0.4">
      <c r="J442" s="234"/>
    </row>
    <row r="443" spans="10:10" ht="15.75" customHeight="1" x14ac:dyDescent="0.4">
      <c r="J443" s="234"/>
    </row>
    <row r="444" spans="10:10" ht="15.75" customHeight="1" x14ac:dyDescent="0.4">
      <c r="J444" s="234"/>
    </row>
    <row r="445" spans="10:10" ht="15.75" customHeight="1" x14ac:dyDescent="0.4">
      <c r="J445" s="234"/>
    </row>
    <row r="446" spans="10:10" ht="15.75" customHeight="1" x14ac:dyDescent="0.4">
      <c r="J446" s="234"/>
    </row>
    <row r="447" spans="10:10" ht="15.75" customHeight="1" x14ac:dyDescent="0.4">
      <c r="J447" s="234"/>
    </row>
    <row r="448" spans="10:10" ht="15.75" customHeight="1" x14ac:dyDescent="0.4">
      <c r="J448" s="234"/>
    </row>
    <row r="449" spans="10:10" ht="15.75" customHeight="1" x14ac:dyDescent="0.4">
      <c r="J449" s="234"/>
    </row>
    <row r="450" spans="10:10" ht="15.75" customHeight="1" x14ac:dyDescent="0.4">
      <c r="J450" s="234"/>
    </row>
    <row r="451" spans="10:10" ht="15.75" customHeight="1" x14ac:dyDescent="0.4">
      <c r="J451" s="234"/>
    </row>
    <row r="452" spans="10:10" ht="15.75" customHeight="1" x14ac:dyDescent="0.4">
      <c r="J452" s="234"/>
    </row>
    <row r="453" spans="10:10" ht="15.75" customHeight="1" x14ac:dyDescent="0.4">
      <c r="J453" s="234"/>
    </row>
    <row r="454" spans="10:10" ht="15.75" customHeight="1" x14ac:dyDescent="0.4">
      <c r="J454" s="234"/>
    </row>
    <row r="455" spans="10:10" ht="15.75" customHeight="1" x14ac:dyDescent="0.4">
      <c r="J455" s="234"/>
    </row>
    <row r="456" spans="10:10" ht="15.75" customHeight="1" x14ac:dyDescent="0.4">
      <c r="J456" s="234"/>
    </row>
    <row r="457" spans="10:10" ht="15.75" customHeight="1" x14ac:dyDescent="0.4">
      <c r="J457" s="234"/>
    </row>
    <row r="458" spans="10:10" ht="15.75" customHeight="1" x14ac:dyDescent="0.4">
      <c r="J458" s="234"/>
    </row>
    <row r="459" spans="10:10" ht="15.75" customHeight="1" x14ac:dyDescent="0.4">
      <c r="J459" s="234"/>
    </row>
    <row r="460" spans="10:10" ht="15.75" customHeight="1" x14ac:dyDescent="0.4">
      <c r="J460" s="234"/>
    </row>
    <row r="461" spans="10:10" ht="15.75" customHeight="1" x14ac:dyDescent="0.4">
      <c r="J461" s="234"/>
    </row>
    <row r="462" spans="10:10" ht="15.75" customHeight="1" x14ac:dyDescent="0.4">
      <c r="J462" s="234"/>
    </row>
    <row r="463" spans="10:10" ht="15.75" customHeight="1" x14ac:dyDescent="0.4">
      <c r="J463" s="234"/>
    </row>
    <row r="464" spans="10:10" ht="15.75" customHeight="1" x14ac:dyDescent="0.4">
      <c r="J464" s="234"/>
    </row>
    <row r="465" spans="10:10" ht="15.75" customHeight="1" x14ac:dyDescent="0.4">
      <c r="J465" s="234"/>
    </row>
    <row r="466" spans="10:10" ht="15.75" customHeight="1" x14ac:dyDescent="0.4">
      <c r="J466" s="234"/>
    </row>
    <row r="467" spans="10:10" ht="15.75" customHeight="1" x14ac:dyDescent="0.4">
      <c r="J467" s="234"/>
    </row>
    <row r="468" spans="10:10" ht="15.75" customHeight="1" x14ac:dyDescent="0.4">
      <c r="J468" s="234"/>
    </row>
    <row r="469" spans="10:10" ht="15.75" customHeight="1" x14ac:dyDescent="0.4">
      <c r="J469" s="234"/>
    </row>
    <row r="470" spans="10:10" ht="15.75" customHeight="1" x14ac:dyDescent="0.4">
      <c r="J470" s="234"/>
    </row>
    <row r="471" spans="10:10" ht="15.75" customHeight="1" x14ac:dyDescent="0.4">
      <c r="J471" s="234"/>
    </row>
    <row r="472" spans="10:10" ht="15.75" customHeight="1" x14ac:dyDescent="0.4">
      <c r="J472" s="234"/>
    </row>
    <row r="473" spans="10:10" ht="15.75" customHeight="1" x14ac:dyDescent="0.4">
      <c r="J473" s="234"/>
    </row>
    <row r="474" spans="10:10" ht="15.75" customHeight="1" x14ac:dyDescent="0.4">
      <c r="J474" s="234"/>
    </row>
    <row r="475" spans="10:10" ht="15.75" customHeight="1" x14ac:dyDescent="0.4">
      <c r="J475" s="234"/>
    </row>
    <row r="476" spans="10:10" ht="15.75" customHeight="1" x14ac:dyDescent="0.4">
      <c r="J476" s="234"/>
    </row>
    <row r="477" spans="10:10" ht="15.75" customHeight="1" x14ac:dyDescent="0.4">
      <c r="J477" s="234"/>
    </row>
    <row r="478" spans="10:10" ht="15.75" customHeight="1" x14ac:dyDescent="0.4">
      <c r="J478" s="234"/>
    </row>
    <row r="479" spans="10:10" ht="15.75" customHeight="1" x14ac:dyDescent="0.4">
      <c r="J479" s="234"/>
    </row>
    <row r="480" spans="10:10" ht="15.75" customHeight="1" x14ac:dyDescent="0.4">
      <c r="J480" s="234"/>
    </row>
    <row r="481" spans="10:10" ht="15.75" customHeight="1" x14ac:dyDescent="0.4">
      <c r="J481" s="234"/>
    </row>
    <row r="482" spans="10:10" ht="15.75" customHeight="1" x14ac:dyDescent="0.4">
      <c r="J482" s="234"/>
    </row>
    <row r="483" spans="10:10" ht="15.75" customHeight="1" x14ac:dyDescent="0.4">
      <c r="J483" s="234"/>
    </row>
    <row r="484" spans="10:10" ht="15.75" customHeight="1" x14ac:dyDescent="0.4">
      <c r="J484" s="234"/>
    </row>
    <row r="485" spans="10:10" ht="15.75" customHeight="1" x14ac:dyDescent="0.4">
      <c r="J485" s="234"/>
    </row>
    <row r="486" spans="10:10" ht="15.75" customHeight="1" x14ac:dyDescent="0.4">
      <c r="J486" s="234"/>
    </row>
    <row r="487" spans="10:10" ht="15.75" customHeight="1" x14ac:dyDescent="0.4">
      <c r="J487" s="234"/>
    </row>
    <row r="488" spans="10:10" ht="15.75" customHeight="1" x14ac:dyDescent="0.4">
      <c r="J488" s="234"/>
    </row>
    <row r="489" spans="10:10" ht="15.75" customHeight="1" x14ac:dyDescent="0.4">
      <c r="J489" s="234"/>
    </row>
    <row r="490" spans="10:10" ht="15.75" customHeight="1" x14ac:dyDescent="0.4">
      <c r="J490" s="234"/>
    </row>
    <row r="491" spans="10:10" ht="15.75" customHeight="1" x14ac:dyDescent="0.4">
      <c r="J491" s="234"/>
    </row>
    <row r="492" spans="10:10" ht="15.75" customHeight="1" x14ac:dyDescent="0.4">
      <c r="J492" s="234"/>
    </row>
    <row r="493" spans="10:10" ht="15.75" customHeight="1" x14ac:dyDescent="0.4">
      <c r="J493" s="234"/>
    </row>
    <row r="494" spans="10:10" ht="15.75" customHeight="1" x14ac:dyDescent="0.4">
      <c r="J494" s="234"/>
    </row>
    <row r="495" spans="10:10" ht="15.75" customHeight="1" x14ac:dyDescent="0.4">
      <c r="J495" s="234"/>
    </row>
    <row r="496" spans="10:10" ht="15.75" customHeight="1" x14ac:dyDescent="0.4">
      <c r="J496" s="234"/>
    </row>
    <row r="497" spans="10:10" ht="15.75" customHeight="1" x14ac:dyDescent="0.4">
      <c r="J497" s="234"/>
    </row>
    <row r="498" spans="10:10" ht="15.75" customHeight="1" x14ac:dyDescent="0.4">
      <c r="J498" s="234"/>
    </row>
    <row r="499" spans="10:10" ht="15.75" customHeight="1" x14ac:dyDescent="0.4">
      <c r="J499" s="234"/>
    </row>
    <row r="500" spans="10:10" ht="15.75" customHeight="1" x14ac:dyDescent="0.4">
      <c r="J500" s="234"/>
    </row>
    <row r="501" spans="10:10" ht="15.75" customHeight="1" x14ac:dyDescent="0.4">
      <c r="J501" s="234"/>
    </row>
    <row r="502" spans="10:10" ht="15.75" customHeight="1" x14ac:dyDescent="0.4">
      <c r="J502" s="234"/>
    </row>
    <row r="503" spans="10:10" ht="15.75" customHeight="1" x14ac:dyDescent="0.4">
      <c r="J503" s="234"/>
    </row>
    <row r="504" spans="10:10" ht="15.75" customHeight="1" x14ac:dyDescent="0.4">
      <c r="J504" s="234"/>
    </row>
    <row r="505" spans="10:10" ht="15.75" customHeight="1" x14ac:dyDescent="0.4">
      <c r="J505" s="234"/>
    </row>
    <row r="506" spans="10:10" ht="15.75" customHeight="1" x14ac:dyDescent="0.4">
      <c r="J506" s="234"/>
    </row>
    <row r="507" spans="10:10" ht="15.75" customHeight="1" x14ac:dyDescent="0.4">
      <c r="J507" s="234"/>
    </row>
    <row r="508" spans="10:10" ht="15.75" customHeight="1" x14ac:dyDescent="0.4">
      <c r="J508" s="234"/>
    </row>
    <row r="509" spans="10:10" ht="15.75" customHeight="1" x14ac:dyDescent="0.4">
      <c r="J509" s="234"/>
    </row>
    <row r="510" spans="10:10" ht="15.75" customHeight="1" x14ac:dyDescent="0.4">
      <c r="J510" s="234"/>
    </row>
    <row r="511" spans="10:10" ht="15.75" customHeight="1" x14ac:dyDescent="0.4">
      <c r="J511" s="234"/>
    </row>
    <row r="512" spans="10:10" ht="15.75" customHeight="1" x14ac:dyDescent="0.4">
      <c r="J512" s="234"/>
    </row>
    <row r="513" spans="10:10" ht="15.75" customHeight="1" x14ac:dyDescent="0.4">
      <c r="J513" s="234"/>
    </row>
    <row r="514" spans="10:10" ht="15.75" customHeight="1" x14ac:dyDescent="0.4">
      <c r="J514" s="234"/>
    </row>
    <row r="515" spans="10:10" ht="15.75" customHeight="1" x14ac:dyDescent="0.4">
      <c r="J515" s="234"/>
    </row>
    <row r="516" spans="10:10" ht="15.75" customHeight="1" x14ac:dyDescent="0.4">
      <c r="J516" s="234"/>
    </row>
    <row r="517" spans="10:10" ht="15.75" customHeight="1" x14ac:dyDescent="0.4">
      <c r="J517" s="234"/>
    </row>
    <row r="518" spans="10:10" ht="15.75" customHeight="1" x14ac:dyDescent="0.4">
      <c r="J518" s="234"/>
    </row>
    <row r="519" spans="10:10" ht="15.75" customHeight="1" x14ac:dyDescent="0.4">
      <c r="J519" s="234"/>
    </row>
    <row r="520" spans="10:10" ht="15.75" customHeight="1" x14ac:dyDescent="0.4">
      <c r="J520" s="234"/>
    </row>
    <row r="521" spans="10:10" ht="15.75" customHeight="1" x14ac:dyDescent="0.4">
      <c r="J521" s="234"/>
    </row>
    <row r="522" spans="10:10" ht="15.75" customHeight="1" x14ac:dyDescent="0.4">
      <c r="J522" s="234"/>
    </row>
    <row r="523" spans="10:10" ht="15.75" customHeight="1" x14ac:dyDescent="0.4">
      <c r="J523" s="234"/>
    </row>
    <row r="524" spans="10:10" ht="15.75" customHeight="1" x14ac:dyDescent="0.4">
      <c r="J524" s="234"/>
    </row>
    <row r="525" spans="10:10" ht="15.75" customHeight="1" x14ac:dyDescent="0.4">
      <c r="J525" s="234"/>
    </row>
    <row r="526" spans="10:10" ht="15.75" customHeight="1" x14ac:dyDescent="0.4">
      <c r="J526" s="234"/>
    </row>
    <row r="527" spans="10:10" ht="15.75" customHeight="1" x14ac:dyDescent="0.4">
      <c r="J527" s="234"/>
    </row>
    <row r="528" spans="10:10" ht="15.75" customHeight="1" x14ac:dyDescent="0.4">
      <c r="J528" s="234"/>
    </row>
    <row r="529" spans="10:10" ht="15.75" customHeight="1" x14ac:dyDescent="0.4">
      <c r="J529" s="234"/>
    </row>
    <row r="530" spans="10:10" ht="15.75" customHeight="1" x14ac:dyDescent="0.4">
      <c r="J530" s="234"/>
    </row>
    <row r="531" spans="10:10" ht="15.75" customHeight="1" x14ac:dyDescent="0.4">
      <c r="J531" s="234"/>
    </row>
    <row r="532" spans="10:10" ht="15.75" customHeight="1" x14ac:dyDescent="0.4">
      <c r="J532" s="234"/>
    </row>
    <row r="533" spans="10:10" ht="15.75" customHeight="1" x14ac:dyDescent="0.4">
      <c r="J533" s="234"/>
    </row>
    <row r="534" spans="10:10" ht="15.75" customHeight="1" x14ac:dyDescent="0.4">
      <c r="J534" s="234"/>
    </row>
    <row r="535" spans="10:10" ht="15.75" customHeight="1" x14ac:dyDescent="0.4">
      <c r="J535" s="234"/>
    </row>
    <row r="536" spans="10:10" ht="15.75" customHeight="1" x14ac:dyDescent="0.4">
      <c r="J536" s="234"/>
    </row>
    <row r="537" spans="10:10" ht="15.75" customHeight="1" x14ac:dyDescent="0.4">
      <c r="J537" s="234"/>
    </row>
    <row r="538" spans="10:10" ht="15.75" customHeight="1" x14ac:dyDescent="0.4">
      <c r="J538" s="234"/>
    </row>
    <row r="539" spans="10:10" ht="15.75" customHeight="1" x14ac:dyDescent="0.4">
      <c r="J539" s="234"/>
    </row>
    <row r="540" spans="10:10" ht="15.75" customHeight="1" x14ac:dyDescent="0.4">
      <c r="J540" s="234"/>
    </row>
    <row r="541" spans="10:10" ht="15.75" customHeight="1" x14ac:dyDescent="0.4">
      <c r="J541" s="234"/>
    </row>
    <row r="542" spans="10:10" ht="15.75" customHeight="1" x14ac:dyDescent="0.4">
      <c r="J542" s="234"/>
    </row>
    <row r="543" spans="10:10" ht="15.75" customHeight="1" x14ac:dyDescent="0.4">
      <c r="J543" s="234"/>
    </row>
    <row r="544" spans="10:10" ht="15.75" customHeight="1" x14ac:dyDescent="0.4">
      <c r="J544" s="234"/>
    </row>
    <row r="545" spans="10:10" ht="15.75" customHeight="1" x14ac:dyDescent="0.4">
      <c r="J545" s="234"/>
    </row>
    <row r="546" spans="10:10" ht="15.75" customHeight="1" x14ac:dyDescent="0.4">
      <c r="J546" s="234"/>
    </row>
    <row r="547" spans="10:10" ht="15.75" customHeight="1" x14ac:dyDescent="0.4">
      <c r="J547" s="234"/>
    </row>
    <row r="548" spans="10:10" ht="15.75" customHeight="1" x14ac:dyDescent="0.4">
      <c r="J548" s="234"/>
    </row>
    <row r="549" spans="10:10" ht="15.75" customHeight="1" x14ac:dyDescent="0.4">
      <c r="J549" s="234"/>
    </row>
    <row r="550" spans="10:10" ht="15.75" customHeight="1" x14ac:dyDescent="0.4">
      <c r="J550" s="234"/>
    </row>
    <row r="551" spans="10:10" ht="15.75" customHeight="1" x14ac:dyDescent="0.4">
      <c r="J551" s="234"/>
    </row>
    <row r="552" spans="10:10" ht="15.75" customHeight="1" x14ac:dyDescent="0.4">
      <c r="J552" s="234"/>
    </row>
    <row r="553" spans="10:10" ht="15.75" customHeight="1" x14ac:dyDescent="0.4">
      <c r="J553" s="234"/>
    </row>
    <row r="554" spans="10:10" ht="15.75" customHeight="1" x14ac:dyDescent="0.4">
      <c r="J554" s="234"/>
    </row>
    <row r="555" spans="10:10" ht="15.75" customHeight="1" x14ac:dyDescent="0.4">
      <c r="J555" s="234"/>
    </row>
    <row r="556" spans="10:10" ht="15.75" customHeight="1" x14ac:dyDescent="0.4">
      <c r="J556" s="234"/>
    </row>
    <row r="557" spans="10:10" ht="15.75" customHeight="1" x14ac:dyDescent="0.4">
      <c r="J557" s="234"/>
    </row>
    <row r="558" spans="10:10" ht="15.75" customHeight="1" x14ac:dyDescent="0.4">
      <c r="J558" s="234"/>
    </row>
    <row r="559" spans="10:10" ht="15.75" customHeight="1" x14ac:dyDescent="0.4">
      <c r="J559" s="234"/>
    </row>
    <row r="560" spans="10:10" ht="15.75" customHeight="1" x14ac:dyDescent="0.4">
      <c r="J560" s="234"/>
    </row>
    <row r="561" spans="10:10" ht="15.75" customHeight="1" x14ac:dyDescent="0.4">
      <c r="J561" s="234"/>
    </row>
    <row r="562" spans="10:10" ht="15.75" customHeight="1" x14ac:dyDescent="0.4">
      <c r="J562" s="234"/>
    </row>
    <row r="563" spans="10:10" ht="15.75" customHeight="1" x14ac:dyDescent="0.4">
      <c r="J563" s="234"/>
    </row>
    <row r="564" spans="10:10" ht="15.75" customHeight="1" x14ac:dyDescent="0.4">
      <c r="J564" s="234"/>
    </row>
    <row r="565" spans="10:10" ht="15.75" customHeight="1" x14ac:dyDescent="0.4">
      <c r="J565" s="234"/>
    </row>
    <row r="566" spans="10:10" ht="15.75" customHeight="1" x14ac:dyDescent="0.4">
      <c r="J566" s="234"/>
    </row>
    <row r="567" spans="10:10" ht="15.75" customHeight="1" x14ac:dyDescent="0.4">
      <c r="J567" s="234"/>
    </row>
    <row r="568" spans="10:10" ht="15.75" customHeight="1" x14ac:dyDescent="0.4">
      <c r="J568" s="234"/>
    </row>
    <row r="569" spans="10:10" ht="15.75" customHeight="1" x14ac:dyDescent="0.4">
      <c r="J569" s="234"/>
    </row>
    <row r="570" spans="10:10" ht="15.75" customHeight="1" x14ac:dyDescent="0.4">
      <c r="J570" s="234"/>
    </row>
    <row r="571" spans="10:10" ht="15.75" customHeight="1" x14ac:dyDescent="0.4">
      <c r="J571" s="234"/>
    </row>
    <row r="572" spans="10:10" ht="15.75" customHeight="1" x14ac:dyDescent="0.4">
      <c r="J572" s="234"/>
    </row>
    <row r="573" spans="10:10" ht="15.75" customHeight="1" x14ac:dyDescent="0.4">
      <c r="J573" s="234"/>
    </row>
    <row r="574" spans="10:10" ht="15.75" customHeight="1" x14ac:dyDescent="0.4">
      <c r="J574" s="234"/>
    </row>
    <row r="575" spans="10:10" ht="15.75" customHeight="1" x14ac:dyDescent="0.4">
      <c r="J575" s="234"/>
    </row>
    <row r="576" spans="10:10" ht="15.75" customHeight="1" x14ac:dyDescent="0.4">
      <c r="J576" s="234"/>
    </row>
    <row r="577" spans="10:10" ht="15.75" customHeight="1" x14ac:dyDescent="0.4">
      <c r="J577" s="234"/>
    </row>
    <row r="578" spans="10:10" ht="15.75" customHeight="1" x14ac:dyDescent="0.4">
      <c r="J578" s="234"/>
    </row>
    <row r="579" spans="10:10" ht="15.75" customHeight="1" x14ac:dyDescent="0.4">
      <c r="J579" s="234"/>
    </row>
    <row r="580" spans="10:10" ht="15.75" customHeight="1" x14ac:dyDescent="0.4">
      <c r="J580" s="234"/>
    </row>
    <row r="581" spans="10:10" ht="15.75" customHeight="1" x14ac:dyDescent="0.4">
      <c r="J581" s="234"/>
    </row>
    <row r="582" spans="10:10" ht="15.75" customHeight="1" x14ac:dyDescent="0.4">
      <c r="J582" s="234"/>
    </row>
    <row r="583" spans="10:10" ht="15.75" customHeight="1" x14ac:dyDescent="0.4">
      <c r="J583" s="234"/>
    </row>
    <row r="584" spans="10:10" ht="15.75" customHeight="1" x14ac:dyDescent="0.4">
      <c r="J584" s="234"/>
    </row>
    <row r="585" spans="10:10" ht="15.75" customHeight="1" x14ac:dyDescent="0.4">
      <c r="J585" s="234"/>
    </row>
    <row r="586" spans="10:10" ht="15.75" customHeight="1" x14ac:dyDescent="0.4">
      <c r="J586" s="234"/>
    </row>
    <row r="587" spans="10:10" ht="15.75" customHeight="1" x14ac:dyDescent="0.4">
      <c r="J587" s="234"/>
    </row>
    <row r="588" spans="10:10" ht="15.75" customHeight="1" x14ac:dyDescent="0.4">
      <c r="J588" s="234"/>
    </row>
    <row r="589" spans="10:10" ht="15.75" customHeight="1" x14ac:dyDescent="0.4">
      <c r="J589" s="234"/>
    </row>
    <row r="590" spans="10:10" ht="15.75" customHeight="1" x14ac:dyDescent="0.4">
      <c r="J590" s="234"/>
    </row>
    <row r="591" spans="10:10" ht="15.75" customHeight="1" x14ac:dyDescent="0.4">
      <c r="J591" s="234"/>
    </row>
    <row r="592" spans="10:10" ht="15.75" customHeight="1" x14ac:dyDescent="0.4">
      <c r="J592" s="234"/>
    </row>
    <row r="593" spans="10:10" ht="15.75" customHeight="1" x14ac:dyDescent="0.4">
      <c r="J593" s="234"/>
    </row>
    <row r="594" spans="10:10" ht="15.75" customHeight="1" x14ac:dyDescent="0.4">
      <c r="J594" s="234"/>
    </row>
    <row r="595" spans="10:10" ht="15.75" customHeight="1" x14ac:dyDescent="0.4">
      <c r="J595" s="234"/>
    </row>
    <row r="596" spans="10:10" ht="15.75" customHeight="1" x14ac:dyDescent="0.4">
      <c r="J596" s="234"/>
    </row>
    <row r="597" spans="10:10" ht="15.75" customHeight="1" x14ac:dyDescent="0.4">
      <c r="J597" s="234"/>
    </row>
    <row r="598" spans="10:10" ht="15.75" customHeight="1" x14ac:dyDescent="0.4">
      <c r="J598" s="234"/>
    </row>
    <row r="599" spans="10:10" ht="15.75" customHeight="1" x14ac:dyDescent="0.4">
      <c r="J599" s="234"/>
    </row>
    <row r="600" spans="10:10" ht="15.75" customHeight="1" x14ac:dyDescent="0.4">
      <c r="J600" s="234"/>
    </row>
    <row r="601" spans="10:10" ht="15.75" customHeight="1" x14ac:dyDescent="0.4">
      <c r="J601" s="234"/>
    </row>
    <row r="602" spans="10:10" ht="15.75" customHeight="1" x14ac:dyDescent="0.4">
      <c r="J602" s="234"/>
    </row>
    <row r="603" spans="10:10" ht="15.75" customHeight="1" x14ac:dyDescent="0.4">
      <c r="J603" s="234"/>
    </row>
    <row r="604" spans="10:10" ht="15.75" customHeight="1" x14ac:dyDescent="0.4">
      <c r="J604" s="234"/>
    </row>
    <row r="605" spans="10:10" ht="15.75" customHeight="1" x14ac:dyDescent="0.4">
      <c r="J605" s="234"/>
    </row>
    <row r="606" spans="10:10" ht="15.75" customHeight="1" x14ac:dyDescent="0.4">
      <c r="J606" s="234"/>
    </row>
    <row r="607" spans="10:10" ht="15.75" customHeight="1" x14ac:dyDescent="0.4">
      <c r="J607" s="234"/>
    </row>
    <row r="608" spans="10:10" ht="15.75" customHeight="1" x14ac:dyDescent="0.4">
      <c r="J608" s="234"/>
    </row>
    <row r="609" spans="10:10" ht="15.75" customHeight="1" x14ac:dyDescent="0.4">
      <c r="J609" s="234"/>
    </row>
    <row r="610" spans="10:10" ht="15.75" customHeight="1" x14ac:dyDescent="0.4">
      <c r="J610" s="234"/>
    </row>
    <row r="611" spans="10:10" ht="15.75" customHeight="1" x14ac:dyDescent="0.4">
      <c r="J611" s="234"/>
    </row>
    <row r="612" spans="10:10" ht="15.75" customHeight="1" x14ac:dyDescent="0.4">
      <c r="J612" s="234"/>
    </row>
    <row r="613" spans="10:10" ht="15.75" customHeight="1" x14ac:dyDescent="0.4">
      <c r="J613" s="234"/>
    </row>
    <row r="614" spans="10:10" ht="15.75" customHeight="1" x14ac:dyDescent="0.4">
      <c r="J614" s="234"/>
    </row>
    <row r="615" spans="10:10" ht="15.75" customHeight="1" x14ac:dyDescent="0.4">
      <c r="J615" s="234"/>
    </row>
    <row r="616" spans="10:10" ht="15.75" customHeight="1" x14ac:dyDescent="0.4">
      <c r="J616" s="234"/>
    </row>
    <row r="617" spans="10:10" ht="15.75" customHeight="1" x14ac:dyDescent="0.4">
      <c r="J617" s="234"/>
    </row>
    <row r="618" spans="10:10" ht="15.75" customHeight="1" x14ac:dyDescent="0.4">
      <c r="J618" s="234"/>
    </row>
    <row r="619" spans="10:10" ht="15.75" customHeight="1" x14ac:dyDescent="0.4">
      <c r="J619" s="234"/>
    </row>
    <row r="620" spans="10:10" ht="15.75" customHeight="1" x14ac:dyDescent="0.4">
      <c r="J620" s="234"/>
    </row>
    <row r="621" spans="10:10" ht="15.75" customHeight="1" x14ac:dyDescent="0.4">
      <c r="J621" s="234"/>
    </row>
    <row r="622" spans="10:10" ht="15.75" customHeight="1" x14ac:dyDescent="0.4">
      <c r="J622" s="234"/>
    </row>
    <row r="623" spans="10:10" ht="15.75" customHeight="1" x14ac:dyDescent="0.4">
      <c r="J623" s="234"/>
    </row>
    <row r="624" spans="10:10" ht="15.75" customHeight="1" x14ac:dyDescent="0.4">
      <c r="J624" s="234"/>
    </row>
    <row r="625" spans="10:10" ht="15.75" customHeight="1" x14ac:dyDescent="0.4">
      <c r="J625" s="234"/>
    </row>
    <row r="626" spans="10:10" ht="15.75" customHeight="1" x14ac:dyDescent="0.4">
      <c r="J626" s="234"/>
    </row>
    <row r="627" spans="10:10" ht="15.75" customHeight="1" x14ac:dyDescent="0.4">
      <c r="J627" s="234"/>
    </row>
    <row r="628" spans="10:10" ht="15.75" customHeight="1" x14ac:dyDescent="0.4">
      <c r="J628" s="234"/>
    </row>
    <row r="629" spans="10:10" ht="15.75" customHeight="1" x14ac:dyDescent="0.4">
      <c r="J629" s="234"/>
    </row>
    <row r="630" spans="10:10" ht="15.75" customHeight="1" x14ac:dyDescent="0.4">
      <c r="J630" s="234"/>
    </row>
    <row r="631" spans="10:10" ht="15.75" customHeight="1" x14ac:dyDescent="0.4">
      <c r="J631" s="234"/>
    </row>
    <row r="632" spans="10:10" ht="15.75" customHeight="1" x14ac:dyDescent="0.4">
      <c r="J632" s="234"/>
    </row>
    <row r="633" spans="10:10" ht="15.75" customHeight="1" x14ac:dyDescent="0.4">
      <c r="J633" s="234"/>
    </row>
    <row r="634" spans="10:10" ht="15.75" customHeight="1" x14ac:dyDescent="0.4">
      <c r="J634" s="234"/>
    </row>
    <row r="635" spans="10:10" ht="15.75" customHeight="1" x14ac:dyDescent="0.4">
      <c r="J635" s="234"/>
    </row>
    <row r="636" spans="10:10" ht="15.75" customHeight="1" x14ac:dyDescent="0.4">
      <c r="J636" s="234"/>
    </row>
    <row r="637" spans="10:10" ht="15.75" customHeight="1" x14ac:dyDescent="0.4">
      <c r="J637" s="234"/>
    </row>
    <row r="638" spans="10:10" ht="15.75" customHeight="1" x14ac:dyDescent="0.4">
      <c r="J638" s="234"/>
    </row>
    <row r="639" spans="10:10" ht="15.75" customHeight="1" x14ac:dyDescent="0.4">
      <c r="J639" s="234"/>
    </row>
    <row r="640" spans="10:10" ht="15.75" customHeight="1" x14ac:dyDescent="0.4">
      <c r="J640" s="234"/>
    </row>
    <row r="641" spans="10:10" ht="15.75" customHeight="1" x14ac:dyDescent="0.4">
      <c r="J641" s="234"/>
    </row>
    <row r="642" spans="10:10" ht="15.75" customHeight="1" x14ac:dyDescent="0.4">
      <c r="J642" s="234"/>
    </row>
    <row r="643" spans="10:10" ht="15.75" customHeight="1" x14ac:dyDescent="0.4">
      <c r="J643" s="234"/>
    </row>
    <row r="644" spans="10:10" ht="15.75" customHeight="1" x14ac:dyDescent="0.4">
      <c r="J644" s="234"/>
    </row>
    <row r="645" spans="10:10" ht="15.75" customHeight="1" x14ac:dyDescent="0.4">
      <c r="J645" s="234"/>
    </row>
    <row r="646" spans="10:10" ht="15.75" customHeight="1" x14ac:dyDescent="0.4">
      <c r="J646" s="234"/>
    </row>
    <row r="647" spans="10:10" ht="15.75" customHeight="1" x14ac:dyDescent="0.4">
      <c r="J647" s="234"/>
    </row>
    <row r="648" spans="10:10" ht="15.75" customHeight="1" x14ac:dyDescent="0.4">
      <c r="J648" s="234"/>
    </row>
    <row r="649" spans="10:10" ht="15.75" customHeight="1" x14ac:dyDescent="0.4">
      <c r="J649" s="234"/>
    </row>
    <row r="650" spans="10:10" ht="15.75" customHeight="1" x14ac:dyDescent="0.4">
      <c r="J650" s="234"/>
    </row>
    <row r="651" spans="10:10" ht="15.75" customHeight="1" x14ac:dyDescent="0.4">
      <c r="J651" s="234"/>
    </row>
    <row r="652" spans="10:10" ht="15.75" customHeight="1" x14ac:dyDescent="0.4">
      <c r="J652" s="234"/>
    </row>
    <row r="653" spans="10:10" ht="15.75" customHeight="1" x14ac:dyDescent="0.4">
      <c r="J653" s="234"/>
    </row>
    <row r="654" spans="10:10" ht="15.75" customHeight="1" x14ac:dyDescent="0.4">
      <c r="J654" s="234"/>
    </row>
    <row r="655" spans="10:10" ht="15.75" customHeight="1" x14ac:dyDescent="0.4">
      <c r="J655" s="234"/>
    </row>
    <row r="656" spans="10:10" ht="15.75" customHeight="1" x14ac:dyDescent="0.4">
      <c r="J656" s="234"/>
    </row>
    <row r="657" spans="10:10" ht="15.75" customHeight="1" x14ac:dyDescent="0.4">
      <c r="J657" s="234"/>
    </row>
    <row r="658" spans="10:10" ht="15.75" customHeight="1" x14ac:dyDescent="0.4">
      <c r="J658" s="234"/>
    </row>
    <row r="659" spans="10:10" ht="15.75" customHeight="1" x14ac:dyDescent="0.4">
      <c r="J659" s="234"/>
    </row>
    <row r="660" spans="10:10" ht="15.75" customHeight="1" x14ac:dyDescent="0.4">
      <c r="J660" s="234"/>
    </row>
    <row r="661" spans="10:10" ht="15.75" customHeight="1" x14ac:dyDescent="0.4">
      <c r="J661" s="234"/>
    </row>
    <row r="662" spans="10:10" ht="15.75" customHeight="1" x14ac:dyDescent="0.4">
      <c r="J662" s="234"/>
    </row>
    <row r="663" spans="10:10" ht="15.75" customHeight="1" x14ac:dyDescent="0.4">
      <c r="J663" s="234"/>
    </row>
    <row r="664" spans="10:10" ht="15.75" customHeight="1" x14ac:dyDescent="0.4">
      <c r="J664" s="234"/>
    </row>
    <row r="665" spans="10:10" ht="15.75" customHeight="1" x14ac:dyDescent="0.4">
      <c r="J665" s="234"/>
    </row>
    <row r="666" spans="10:10" ht="15.75" customHeight="1" x14ac:dyDescent="0.4">
      <c r="J666" s="234"/>
    </row>
    <row r="667" spans="10:10" ht="15.75" customHeight="1" x14ac:dyDescent="0.4"/>
    <row r="668" spans="10:10" ht="15.75" customHeight="1" x14ac:dyDescent="0.4"/>
    <row r="669" spans="10:10" ht="15.75" customHeight="1" x14ac:dyDescent="0.4"/>
    <row r="670" spans="10:10" ht="15.75" customHeight="1" x14ac:dyDescent="0.4"/>
    <row r="671" spans="10:10" ht="15.75" customHeight="1" x14ac:dyDescent="0.4"/>
    <row r="672" spans="10:10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46" orientation="landscape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I2:J2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2023-01-06T02:28:32Z</dcterms:created>
  <dcterms:modified xsi:type="dcterms:W3CDTF">2023-01-06T02:28:40Z</dcterms:modified>
</cp:coreProperties>
</file>