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2.5.1'!$A$1:$M$2068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 localSheetId="1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62" i="2" l="1"/>
  <c r="K2161" i="2"/>
  <c r="K2160" i="2"/>
  <c r="K2159" i="2"/>
  <c r="K2163" i="2" s="1"/>
  <c r="K2154" i="2"/>
  <c r="K2153" i="2"/>
  <c r="K2155" i="2" s="1"/>
  <c r="K2152" i="2"/>
  <c r="K2151" i="2"/>
  <c r="K2150" i="2"/>
  <c r="K2148" i="2"/>
  <c r="K2147" i="2"/>
  <c r="K2146" i="2"/>
  <c r="K2145" i="2"/>
  <c r="K2149" i="2" s="1"/>
  <c r="K2144" i="2"/>
  <c r="K2142" i="2"/>
  <c r="K2141" i="2"/>
  <c r="K2140" i="2"/>
  <c r="K2139" i="2"/>
  <c r="K2138" i="2"/>
  <c r="K2143" i="2" s="1"/>
  <c r="K2137" i="2"/>
  <c r="K2136" i="2"/>
  <c r="K2135" i="2"/>
  <c r="K2134" i="2"/>
  <c r="K2133" i="2"/>
  <c r="K2132" i="2"/>
  <c r="K2130" i="2"/>
  <c r="K2129" i="2"/>
  <c r="K2131" i="2" s="1"/>
  <c r="K2128" i="2"/>
  <c r="K2127" i="2"/>
  <c r="K2126" i="2"/>
  <c r="K2124" i="2"/>
  <c r="K2123" i="2"/>
  <c r="K2122" i="2"/>
  <c r="K2121" i="2"/>
  <c r="K2125" i="2" s="1"/>
  <c r="K2120" i="2"/>
  <c r="K2118" i="2"/>
  <c r="K2117" i="2"/>
  <c r="K2116" i="2"/>
  <c r="K2115" i="2"/>
  <c r="K2114" i="2"/>
  <c r="K2119" i="2" s="1"/>
  <c r="K2113" i="2"/>
  <c r="K2112" i="2"/>
  <c r="K2111" i="2"/>
  <c r="K2110" i="2"/>
  <c r="K2109" i="2"/>
  <c r="K2108" i="2"/>
  <c r="K2106" i="2"/>
  <c r="K2105" i="2"/>
  <c r="K2107" i="2" s="1"/>
  <c r="K2103" i="2"/>
  <c r="K2102" i="2"/>
  <c r="K2104" i="2" s="1"/>
  <c r="K2100" i="2"/>
  <c r="K2099" i="2"/>
  <c r="K2101" i="2" s="1"/>
  <c r="K2097" i="2"/>
  <c r="K2098" i="2" s="1"/>
  <c r="K2096" i="2"/>
  <c r="K2095" i="2"/>
  <c r="K2094" i="2"/>
  <c r="K2092" i="2"/>
  <c r="K2091" i="2"/>
  <c r="K2090" i="2"/>
  <c r="K2089" i="2"/>
  <c r="K2093" i="2" s="1"/>
  <c r="K2088" i="2"/>
  <c r="K2086" i="2"/>
  <c r="K2085" i="2"/>
  <c r="K2084" i="2"/>
  <c r="K2087" i="2" s="1"/>
  <c r="K2082" i="2"/>
  <c r="K2081" i="2"/>
  <c r="K2083" i="2" s="1"/>
  <c r="K2080" i="2"/>
  <c r="K2079" i="2"/>
  <c r="K2078" i="2"/>
  <c r="K2076" i="2"/>
  <c r="K2075" i="2"/>
  <c r="K2074" i="2"/>
  <c r="K2073" i="2"/>
  <c r="K2077" i="2" s="1"/>
  <c r="K2072" i="2"/>
  <c r="K2070" i="2"/>
  <c r="K2069" i="2"/>
  <c r="K2068" i="2"/>
  <c r="K2067" i="2"/>
  <c r="K2066" i="2"/>
  <c r="K2071" i="2" s="1"/>
  <c r="K2065" i="2"/>
  <c r="K2064" i="2"/>
  <c r="K2063" i="2"/>
  <c r="K2062" i="2"/>
  <c r="K2061" i="2"/>
  <c r="K2059" i="2"/>
  <c r="K2058" i="2"/>
  <c r="K2057" i="2"/>
  <c r="K2060" i="2" s="1"/>
  <c r="K2055" i="2"/>
  <c r="K2054" i="2"/>
  <c r="K2053" i="2"/>
  <c r="K2052" i="2"/>
  <c r="K2056" i="2" s="1"/>
  <c r="K2049" i="2"/>
  <c r="K2048" i="2"/>
  <c r="K2050" i="2" s="1"/>
  <c r="K2047" i="2"/>
  <c r="K2046" i="2"/>
  <c r="K2045" i="2"/>
  <c r="K2043" i="2"/>
  <c r="K2042" i="2"/>
  <c r="K2041" i="2"/>
  <c r="K2040" i="2"/>
  <c r="K2044" i="2" s="1"/>
  <c r="K2039" i="2"/>
  <c r="K2038" i="2"/>
  <c r="K2037" i="2"/>
  <c r="K2035" i="2"/>
  <c r="K2034" i="2"/>
  <c r="K2036" i="2" s="1"/>
  <c r="K2032" i="2"/>
  <c r="K2033" i="2" s="1"/>
  <c r="K2031" i="2"/>
  <c r="K2029" i="2"/>
  <c r="K2028" i="2"/>
  <c r="K2027" i="2"/>
  <c r="K2026" i="2"/>
  <c r="K2030" i="2" s="1"/>
  <c r="K2021" i="2"/>
  <c r="K2020" i="2"/>
  <c r="K2019" i="2"/>
  <c r="K2018" i="2"/>
  <c r="K2017" i="2"/>
  <c r="K2016" i="2"/>
  <c r="K2022" i="2" s="1"/>
  <c r="K2015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2014" i="2" s="1"/>
  <c r="K1996" i="2"/>
  <c r="K1995" i="2"/>
  <c r="K1994" i="2"/>
  <c r="K1992" i="2"/>
  <c r="K1991" i="2"/>
  <c r="K1993" i="2" s="1"/>
  <c r="K1989" i="2"/>
  <c r="K1990" i="2" s="1"/>
  <c r="K1988" i="2"/>
  <c r="K1987" i="2"/>
  <c r="K1985" i="2"/>
  <c r="K1984" i="2"/>
  <c r="K1983" i="2"/>
  <c r="K1986" i="2" s="1"/>
  <c r="K1981" i="2"/>
  <c r="K1982" i="2" s="1"/>
  <c r="K1980" i="2"/>
  <c r="K1979" i="2"/>
  <c r="K1977" i="2"/>
  <c r="K1976" i="2"/>
  <c r="K1975" i="2"/>
  <c r="K1978" i="2" s="1"/>
  <c r="K1973" i="2"/>
  <c r="K1974" i="2" s="1"/>
  <c r="K1972" i="2"/>
  <c r="K1971" i="2"/>
  <c r="K1969" i="2"/>
  <c r="K1968" i="2"/>
  <c r="K1967" i="2"/>
  <c r="K1970" i="2" s="1"/>
  <c r="K1965" i="2"/>
  <c r="K1966" i="2" s="1"/>
  <c r="K1964" i="2"/>
  <c r="K1963" i="2"/>
  <c r="K1961" i="2"/>
  <c r="K1960" i="2"/>
  <c r="K1959" i="2"/>
  <c r="K1962" i="2" s="1"/>
  <c r="K1957" i="2"/>
  <c r="K1958" i="2" s="1"/>
  <c r="K1956" i="2"/>
  <c r="K1954" i="2"/>
  <c r="K1953" i="2"/>
  <c r="K1955" i="2" s="1"/>
  <c r="K1950" i="2"/>
  <c r="K1949" i="2"/>
  <c r="K1948" i="2"/>
  <c r="K1951" i="2" s="1"/>
  <c r="K1946" i="2"/>
  <c r="K1945" i="2"/>
  <c r="K1947" i="2" s="1"/>
  <c r="K1941" i="2"/>
  <c r="K1940" i="2"/>
  <c r="K1942" i="2" s="1"/>
  <c r="K1938" i="2"/>
  <c r="K1939" i="2" s="1"/>
  <c r="K1937" i="2"/>
  <c r="K1936" i="2"/>
  <c r="K1935" i="2"/>
  <c r="K1933" i="2"/>
  <c r="K1932" i="2"/>
  <c r="K1931" i="2"/>
  <c r="K1930" i="2"/>
  <c r="K1934" i="2" s="1"/>
  <c r="K1929" i="2"/>
  <c r="K1927" i="2"/>
  <c r="K1926" i="2"/>
  <c r="K1925" i="2"/>
  <c r="K1924" i="2"/>
  <c r="K1928" i="2" s="1"/>
  <c r="K1922" i="2"/>
  <c r="K1923" i="2" s="1"/>
  <c r="K1921" i="2"/>
  <c r="K1920" i="2"/>
  <c r="K1918" i="2"/>
  <c r="K1917" i="2"/>
  <c r="K1916" i="2"/>
  <c r="K1915" i="2"/>
  <c r="K1914" i="2"/>
  <c r="K1919" i="2" s="1"/>
  <c r="K1913" i="2"/>
  <c r="K1911" i="2"/>
  <c r="K1910" i="2"/>
  <c r="K1909" i="2"/>
  <c r="K1912" i="2" s="1"/>
  <c r="K1907" i="2"/>
  <c r="K1906" i="2"/>
  <c r="K1908" i="2" s="1"/>
  <c r="K1905" i="2"/>
  <c r="K1903" i="2"/>
  <c r="K1902" i="2"/>
  <c r="K1901" i="2"/>
  <c r="K1900" i="2"/>
  <c r="K1904" i="2" s="1"/>
  <c r="K1898" i="2"/>
  <c r="K1899" i="2" s="1"/>
  <c r="K1897" i="2"/>
  <c r="K1896" i="2"/>
  <c r="K1894" i="2"/>
  <c r="K1893" i="2"/>
  <c r="K1892" i="2"/>
  <c r="K1895" i="2" s="1"/>
  <c r="K1890" i="2"/>
  <c r="K1891" i="2" s="1"/>
  <c r="K1889" i="2"/>
  <c r="K1888" i="2"/>
  <c r="K1887" i="2"/>
  <c r="K1885" i="2"/>
  <c r="K1884" i="2"/>
  <c r="K1883" i="2"/>
  <c r="K1881" i="2"/>
  <c r="K1880" i="2"/>
  <c r="K1879" i="2"/>
  <c r="K1877" i="2"/>
  <c r="K1876" i="2"/>
  <c r="K1875" i="2"/>
  <c r="K1874" i="2"/>
  <c r="K1873" i="2"/>
  <c r="K1864" i="2"/>
  <c r="K1857" i="2"/>
  <c r="K1856" i="2"/>
  <c r="K1855" i="2"/>
  <c r="K1854" i="2"/>
  <c r="K1853" i="2"/>
  <c r="K1852" i="2"/>
  <c r="K1850" i="2"/>
  <c r="K1849" i="2"/>
  <c r="K1851" i="2" s="1"/>
  <c r="K1848" i="2"/>
  <c r="K1847" i="2"/>
  <c r="K1845" i="2"/>
  <c r="K1844" i="2"/>
  <c r="K1846" i="2" s="1"/>
  <c r="K1842" i="2"/>
  <c r="K1841" i="2"/>
  <c r="K1843" i="2" s="1"/>
  <c r="K1838" i="2"/>
  <c r="K1837" i="2"/>
  <c r="K1836" i="2"/>
  <c r="K1835" i="2"/>
  <c r="K1839" i="2" s="1"/>
  <c r="K1831" i="2"/>
  <c r="K1830" i="2"/>
  <c r="K1828" i="2"/>
  <c r="K1827" i="2"/>
  <c r="K1826" i="2"/>
  <c r="K1824" i="2"/>
  <c r="K1823" i="2"/>
  <c r="K1822" i="2"/>
  <c r="K1821" i="2"/>
  <c r="K1820" i="2"/>
  <c r="K1819" i="2"/>
  <c r="K1825" i="2" s="1"/>
  <c r="K1817" i="2"/>
  <c r="K1816" i="2"/>
  <c r="K1815" i="2"/>
  <c r="K1814" i="2"/>
  <c r="K1813" i="2"/>
  <c r="K1812" i="2"/>
  <c r="K1818" i="2" s="1"/>
  <c r="K1810" i="2"/>
  <c r="K1809" i="2"/>
  <c r="K1808" i="2"/>
  <c r="K1807" i="2"/>
  <c r="K1811" i="2" s="1"/>
  <c r="K1805" i="2"/>
  <c r="K1804" i="2"/>
  <c r="K1806" i="2" s="1"/>
  <c r="K1803" i="2"/>
  <c r="K1802" i="2"/>
  <c r="K1800" i="2"/>
  <c r="K1799" i="2"/>
  <c r="K1798" i="2"/>
  <c r="K1797" i="2"/>
  <c r="K1796" i="2"/>
  <c r="K1795" i="2"/>
  <c r="K1801" i="2" s="1"/>
  <c r="K1794" i="2"/>
  <c r="K1793" i="2"/>
  <c r="K1792" i="2"/>
  <c r="K1790" i="2"/>
  <c r="K1789" i="2"/>
  <c r="K1788" i="2"/>
  <c r="K1791" i="2" s="1"/>
  <c r="K1787" i="2"/>
  <c r="K1786" i="2"/>
  <c r="K1785" i="2"/>
  <c r="K1783" i="2"/>
  <c r="K1782" i="2"/>
  <c r="K1781" i="2"/>
  <c r="K1780" i="2"/>
  <c r="K1779" i="2"/>
  <c r="K1778" i="2"/>
  <c r="K1777" i="2"/>
  <c r="K1784" i="2" s="1"/>
  <c r="K1775" i="2"/>
  <c r="K1774" i="2"/>
  <c r="K1773" i="2"/>
  <c r="K1772" i="2"/>
  <c r="K1776" i="2" s="1"/>
  <c r="K1771" i="2"/>
  <c r="K1770" i="2"/>
  <c r="K1769" i="2"/>
  <c r="K1767" i="2"/>
  <c r="K1766" i="2"/>
  <c r="K1768" i="2" s="1"/>
  <c r="K1764" i="2"/>
  <c r="K1763" i="2"/>
  <c r="K1762" i="2"/>
  <c r="K1761" i="2"/>
  <c r="K1760" i="2"/>
  <c r="K1759" i="2"/>
  <c r="K1765" i="2" s="1"/>
  <c r="K1757" i="2"/>
  <c r="K1756" i="2"/>
  <c r="K1755" i="2"/>
  <c r="K1754" i="2"/>
  <c r="K1753" i="2"/>
  <c r="K1752" i="2"/>
  <c r="K1751" i="2"/>
  <c r="K1758" i="2" s="1"/>
  <c r="K1749" i="2"/>
  <c r="K1748" i="2"/>
  <c r="K1750" i="2" s="1"/>
  <c r="K1747" i="2"/>
  <c r="K1746" i="2"/>
  <c r="K1745" i="2"/>
  <c r="K1743" i="2"/>
  <c r="K1742" i="2"/>
  <c r="K1741" i="2"/>
  <c r="K1740" i="2"/>
  <c r="K1744" i="2" s="1"/>
  <c r="K1739" i="2"/>
  <c r="K1738" i="2"/>
  <c r="K1737" i="2"/>
  <c r="K1735" i="2"/>
  <c r="K1734" i="2"/>
  <c r="K1733" i="2"/>
  <c r="K1736" i="2" s="1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19" i="2"/>
  <c r="K1718" i="2"/>
  <c r="K1717" i="2"/>
  <c r="K1716" i="2"/>
  <c r="K1720" i="2" s="1"/>
  <c r="K1712" i="2"/>
  <c r="K1711" i="2"/>
  <c r="K1710" i="2"/>
  <c r="K1709" i="2"/>
  <c r="K1713" i="2" s="1"/>
  <c r="K1707" i="2"/>
  <c r="K1706" i="2"/>
  <c r="K1708" i="2" s="1"/>
  <c r="K1705" i="2"/>
  <c r="K1704" i="2"/>
  <c r="K1702" i="2"/>
  <c r="K1701" i="2"/>
  <c r="K1700" i="2"/>
  <c r="K1703" i="2" s="1"/>
  <c r="K1698" i="2"/>
  <c r="K1699" i="2" s="1"/>
  <c r="K1697" i="2"/>
  <c r="K1696" i="2"/>
  <c r="K1695" i="2"/>
  <c r="K1693" i="2"/>
  <c r="K1692" i="2"/>
  <c r="K1691" i="2"/>
  <c r="K1694" i="2" s="1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6" i="2"/>
  <c r="K1675" i="2"/>
  <c r="K1674" i="2"/>
  <c r="K1677" i="2" s="1"/>
  <c r="K1673" i="2"/>
  <c r="K1671" i="2"/>
  <c r="K1670" i="2"/>
  <c r="K1669" i="2"/>
  <c r="K1672" i="2" s="1"/>
  <c r="K1667" i="2"/>
  <c r="K1666" i="2"/>
  <c r="K1665" i="2"/>
  <c r="K1664" i="2"/>
  <c r="K1663" i="2"/>
  <c r="K1662" i="2"/>
  <c r="K1661" i="2"/>
  <c r="K1668" i="2" s="1"/>
  <c r="K1659" i="2"/>
  <c r="K1658" i="2"/>
  <c r="K1660" i="2" s="1"/>
  <c r="K1657" i="2"/>
  <c r="K1646" i="2"/>
  <c r="K1645" i="2"/>
  <c r="K1644" i="2"/>
  <c r="K1643" i="2"/>
  <c r="K1642" i="2"/>
  <c r="K1641" i="2"/>
  <c r="K1640" i="2"/>
  <c r="K1638" i="2"/>
  <c r="K1637" i="2"/>
  <c r="K1636" i="2"/>
  <c r="K1635" i="2"/>
  <c r="K1634" i="2"/>
  <c r="K1633" i="2"/>
  <c r="K1632" i="2"/>
  <c r="K1630" i="2"/>
  <c r="K1629" i="2"/>
  <c r="K1628" i="2"/>
  <c r="K1627" i="2"/>
  <c r="K1626" i="2"/>
  <c r="K1625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0" i="2"/>
  <c r="K1609" i="2"/>
  <c r="K1608" i="2"/>
  <c r="K1607" i="2"/>
  <c r="K1606" i="2"/>
  <c r="K1604" i="2"/>
  <c r="K1603" i="2"/>
  <c r="K1602" i="2"/>
  <c r="K1601" i="2"/>
  <c r="K1600" i="2"/>
  <c r="K1599" i="2"/>
  <c r="K1598" i="2"/>
  <c r="K1597" i="2"/>
  <c r="K1596" i="2"/>
  <c r="K1605" i="2" s="1"/>
  <c r="K1595" i="2"/>
  <c r="K1594" i="2"/>
  <c r="K1593" i="2"/>
  <c r="K1592" i="2"/>
  <c r="K1590" i="2"/>
  <c r="K1589" i="2"/>
  <c r="K1588" i="2"/>
  <c r="K1587" i="2"/>
  <c r="K1586" i="2"/>
  <c r="K1585" i="2"/>
  <c r="K1584" i="2"/>
  <c r="K1583" i="2"/>
  <c r="K1591" i="2" s="1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69" i="2"/>
  <c r="K1568" i="2"/>
  <c r="K1567" i="2"/>
  <c r="K1570" i="2" s="1"/>
  <c r="K1565" i="2"/>
  <c r="K1564" i="2"/>
  <c r="K1566" i="2" s="1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49" i="2"/>
  <c r="K1550" i="2" s="1"/>
  <c r="K1548" i="2"/>
  <c r="K1547" i="2"/>
  <c r="K1546" i="2"/>
  <c r="K1544" i="2"/>
  <c r="K1543" i="2"/>
  <c r="K1542" i="2"/>
  <c r="K1545" i="2" s="1"/>
  <c r="K1540" i="2"/>
  <c r="K1539" i="2"/>
  <c r="K1538" i="2"/>
  <c r="K1537" i="2"/>
  <c r="K1536" i="2"/>
  <c r="K1535" i="2"/>
  <c r="K1541" i="2" s="1"/>
  <c r="K1533" i="2"/>
  <c r="K1532" i="2"/>
  <c r="K1534" i="2" s="1"/>
  <c r="K1531" i="2"/>
  <c r="K1529" i="2"/>
  <c r="K1528" i="2"/>
  <c r="K1527" i="2"/>
  <c r="K1526" i="2"/>
  <c r="K1525" i="2"/>
  <c r="K1524" i="2"/>
  <c r="K1530" i="2" s="1"/>
  <c r="K1522" i="2"/>
  <c r="K1521" i="2"/>
  <c r="K1520" i="2"/>
  <c r="K1519" i="2"/>
  <c r="K1518" i="2"/>
  <c r="K1523" i="2" s="1"/>
  <c r="K1516" i="2"/>
  <c r="K1517" i="2" s="1"/>
  <c r="K1515" i="2"/>
  <c r="K1514" i="2"/>
  <c r="K1513" i="2"/>
  <c r="K1511" i="2"/>
  <c r="K1510" i="2"/>
  <c r="K1509" i="2"/>
  <c r="K1508" i="2"/>
  <c r="K1512" i="2" s="1"/>
  <c r="K1507" i="2"/>
  <c r="K1506" i="2"/>
  <c r="K1505" i="2"/>
  <c r="K1503" i="2"/>
  <c r="K1502" i="2"/>
  <c r="K1501" i="2"/>
  <c r="K1504" i="2" s="1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6" i="2"/>
  <c r="K1485" i="2"/>
  <c r="K1484" i="2"/>
  <c r="K1487" i="2" s="1"/>
  <c r="K1483" i="2"/>
  <c r="K1482" i="2"/>
  <c r="K1481" i="2"/>
  <c r="K1479" i="2"/>
  <c r="K1478" i="2"/>
  <c r="K1477" i="2"/>
  <c r="K1476" i="2"/>
  <c r="K1480" i="2" s="1"/>
  <c r="K1475" i="2"/>
  <c r="K1474" i="2"/>
  <c r="K1472" i="2"/>
  <c r="K1471" i="2"/>
  <c r="K1470" i="2"/>
  <c r="K1469" i="2"/>
  <c r="K1468" i="2"/>
  <c r="K1473" i="2" s="1"/>
  <c r="K1467" i="2"/>
  <c r="K1465" i="2"/>
  <c r="K1464" i="2"/>
  <c r="K1463" i="2"/>
  <c r="K1462" i="2"/>
  <c r="K1466" i="2" s="1"/>
  <c r="K1460" i="2"/>
  <c r="K1459" i="2"/>
  <c r="K1458" i="2"/>
  <c r="K1457" i="2"/>
  <c r="K1461" i="2" s="1"/>
  <c r="K1455" i="2"/>
  <c r="K1454" i="2"/>
  <c r="K1453" i="2"/>
  <c r="K1452" i="2"/>
  <c r="K1456" i="2" s="1"/>
  <c r="K1450" i="2"/>
  <c r="K1449" i="2"/>
  <c r="K1448" i="2"/>
  <c r="K1447" i="2"/>
  <c r="K1451" i="2" s="1"/>
  <c r="K1443" i="2"/>
  <c r="K1442" i="2"/>
  <c r="K1441" i="2"/>
  <c r="K1440" i="2"/>
  <c r="K1438" i="2"/>
  <c r="K1437" i="2"/>
  <c r="K1436" i="2"/>
  <c r="K1435" i="2"/>
  <c r="K1434" i="2"/>
  <c r="K1433" i="2"/>
  <c r="K1431" i="2"/>
  <c r="K1430" i="2"/>
  <c r="K1429" i="2"/>
  <c r="K1428" i="2"/>
  <c r="K1427" i="2"/>
  <c r="K1425" i="2"/>
  <c r="K1424" i="2"/>
  <c r="K1423" i="2"/>
  <c r="K1422" i="2"/>
  <c r="K1421" i="2"/>
  <c r="K1420" i="2"/>
  <c r="K1418" i="2"/>
  <c r="K1417" i="2"/>
  <c r="K1419" i="2" s="1"/>
  <c r="K1415" i="2"/>
  <c r="K1414" i="2"/>
  <c r="K1416" i="2" s="1"/>
  <c r="K1413" i="2"/>
  <c r="K1412" i="2"/>
  <c r="K1411" i="2"/>
  <c r="K1407" i="2"/>
  <c r="K1408" i="2" s="1"/>
  <c r="K1406" i="2"/>
  <c r="K1404" i="2"/>
  <c r="K1403" i="2"/>
  <c r="K1405" i="2" s="1"/>
  <c r="K1401" i="2"/>
  <c r="K1400" i="2"/>
  <c r="K1402" i="2" s="1"/>
  <c r="K1398" i="2"/>
  <c r="K1397" i="2"/>
  <c r="K1396" i="2"/>
  <c r="K1395" i="2"/>
  <c r="K1394" i="2"/>
  <c r="K1393" i="2"/>
  <c r="K1392" i="2"/>
  <c r="K1391" i="2"/>
  <c r="K1399" i="2" s="1"/>
  <c r="K1389" i="2"/>
  <c r="K1388" i="2"/>
  <c r="K1387" i="2"/>
  <c r="K1386" i="2"/>
  <c r="K1385" i="2"/>
  <c r="K1384" i="2"/>
  <c r="K1383" i="2"/>
  <c r="K1382" i="2"/>
  <c r="K1390" i="2" s="1"/>
  <c r="K1380" i="2"/>
  <c r="K1379" i="2"/>
  <c r="K1378" i="2"/>
  <c r="K1381" i="2" s="1"/>
  <c r="K1376" i="2"/>
  <c r="K1375" i="2"/>
  <c r="K1377" i="2" s="1"/>
  <c r="K1374" i="2"/>
  <c r="K1372" i="2"/>
  <c r="K1373" i="2" s="1"/>
  <c r="K1371" i="2"/>
  <c r="K1370" i="2"/>
  <c r="K1369" i="2"/>
  <c r="K1368" i="2"/>
  <c r="K1366" i="2"/>
  <c r="K1365" i="2"/>
  <c r="K1364" i="2"/>
  <c r="K1367" i="2" s="1"/>
  <c r="K1363" i="2"/>
  <c r="K1362" i="2"/>
  <c r="K1361" i="2"/>
  <c r="K1360" i="2"/>
  <c r="K1358" i="2"/>
  <c r="K1357" i="2"/>
  <c r="K1356" i="2"/>
  <c r="K1359" i="2" s="1"/>
  <c r="K1355" i="2"/>
  <c r="K1353" i="2"/>
  <c r="K1352" i="2"/>
  <c r="K1351" i="2"/>
  <c r="K1354" i="2" s="1"/>
  <c r="K1349" i="2"/>
  <c r="K1348" i="2"/>
  <c r="K1350" i="2" s="1"/>
  <c r="K1347" i="2"/>
  <c r="K1345" i="2"/>
  <c r="K1344" i="2"/>
  <c r="K1343" i="2"/>
  <c r="K1346" i="2" s="1"/>
  <c r="K1341" i="2"/>
  <c r="K1340" i="2"/>
  <c r="K1342" i="2" s="1"/>
  <c r="K1339" i="2"/>
  <c r="K1334" i="2"/>
  <c r="K1333" i="2"/>
  <c r="K1332" i="2"/>
  <c r="K1331" i="2"/>
  <c r="K1330" i="2"/>
  <c r="K1329" i="2"/>
  <c r="K1328" i="2"/>
  <c r="K1326" i="2"/>
  <c r="K1325" i="2"/>
  <c r="K1324" i="2"/>
  <c r="K1322" i="2"/>
  <c r="K1321" i="2"/>
  <c r="K1320" i="2"/>
  <c r="K1318" i="2"/>
  <c r="K1317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16" i="2" s="1"/>
  <c r="K1301" i="2"/>
  <c r="K1300" i="2"/>
  <c r="K1299" i="2"/>
  <c r="K1298" i="2"/>
  <c r="K1297" i="2"/>
  <c r="K1296" i="2"/>
  <c r="K1295" i="2"/>
  <c r="K1293" i="2"/>
  <c r="K1294" i="2" s="1"/>
  <c r="K1292" i="2"/>
  <c r="K1291" i="2"/>
  <c r="K1290" i="2"/>
  <c r="K1289" i="2"/>
  <c r="K1285" i="2"/>
  <c r="K1284" i="2"/>
  <c r="K1283" i="2"/>
  <c r="K1282" i="2"/>
  <c r="K1281" i="2"/>
  <c r="K1280" i="2"/>
  <c r="K1279" i="2"/>
  <c r="K1278" i="2"/>
  <c r="K1286" i="2" s="1"/>
  <c r="K1276" i="2"/>
  <c r="K1275" i="2"/>
  <c r="K1277" i="2" s="1"/>
  <c r="K1274" i="2"/>
  <c r="K1273" i="2"/>
  <c r="K1271" i="2"/>
  <c r="K1270" i="2"/>
  <c r="K1269" i="2"/>
  <c r="K1268" i="2"/>
  <c r="K1272" i="2" s="1"/>
  <c r="K1267" i="2"/>
  <c r="K1266" i="2"/>
  <c r="K1265" i="2"/>
  <c r="K1264" i="2"/>
  <c r="K1263" i="2"/>
  <c r="K1261" i="2"/>
  <c r="K1260" i="2"/>
  <c r="K1259" i="2"/>
  <c r="K1262" i="2" s="1"/>
  <c r="K1258" i="2"/>
  <c r="K1257" i="2"/>
  <c r="K1256" i="2"/>
  <c r="K1255" i="2"/>
  <c r="K1254" i="2"/>
  <c r="K1253" i="2"/>
  <c r="K1252" i="2"/>
  <c r="K1249" i="2"/>
  <c r="K1248" i="2"/>
  <c r="K1247" i="2"/>
  <c r="K1246" i="2"/>
  <c r="K1245" i="2"/>
  <c r="K1243" i="2"/>
  <c r="K1242" i="2"/>
  <c r="K1241" i="2"/>
  <c r="K1244" i="2" s="1"/>
  <c r="K1240" i="2"/>
  <c r="K1239" i="2"/>
  <c r="K1238" i="2"/>
  <c r="K1236" i="2"/>
  <c r="K1235" i="2"/>
  <c r="K1237" i="2" s="1"/>
  <c r="K1233" i="2"/>
  <c r="K1232" i="2"/>
  <c r="K1231" i="2"/>
  <c r="K1230" i="2"/>
  <c r="K1229" i="2"/>
  <c r="K1228" i="2"/>
  <c r="K1227" i="2"/>
  <c r="K1223" i="2"/>
  <c r="K1222" i="2"/>
  <c r="K1221" i="2"/>
  <c r="K1220" i="2"/>
  <c r="K1218" i="2"/>
  <c r="K1217" i="2"/>
  <c r="K1216" i="2"/>
  <c r="K1215" i="2"/>
  <c r="K1219" i="2" s="1"/>
  <c r="K1213" i="2"/>
  <c r="K1214" i="2" s="1"/>
  <c r="K1212" i="2"/>
  <c r="K1211" i="2"/>
  <c r="K1210" i="2"/>
  <c r="K1208" i="2"/>
  <c r="K1207" i="2"/>
  <c r="K1206" i="2"/>
  <c r="K1205" i="2"/>
  <c r="K1209" i="2" s="1"/>
  <c r="K1203" i="2"/>
  <c r="K1202" i="2"/>
  <c r="K1201" i="2"/>
  <c r="K1200" i="2"/>
  <c r="K1199" i="2"/>
  <c r="K1198" i="2"/>
  <c r="K1197" i="2"/>
  <c r="K1196" i="2"/>
  <c r="K1204" i="2" s="1"/>
  <c r="K1194" i="2"/>
  <c r="K1193" i="2"/>
  <c r="K1192" i="2"/>
  <c r="K1191" i="2"/>
  <c r="K1190" i="2"/>
  <c r="K1189" i="2"/>
  <c r="K1195" i="2" s="1"/>
  <c r="K1188" i="2"/>
  <c r="K1187" i="2"/>
  <c r="K1186" i="2"/>
  <c r="K1184" i="2"/>
  <c r="K1183" i="2"/>
  <c r="K1182" i="2"/>
  <c r="K1181" i="2"/>
  <c r="K1180" i="2"/>
  <c r="K1185" i="2" s="1"/>
  <c r="K1178" i="2"/>
  <c r="K1177" i="2"/>
  <c r="K1176" i="2"/>
  <c r="K1179" i="2" s="1"/>
  <c r="K1175" i="2"/>
  <c r="K1173" i="2"/>
  <c r="K1172" i="2"/>
  <c r="K1171" i="2"/>
  <c r="K1170" i="2"/>
  <c r="K1169" i="2"/>
  <c r="K1168" i="2"/>
  <c r="K1174" i="2" s="1"/>
  <c r="K1167" i="2"/>
  <c r="K1165" i="2"/>
  <c r="K1164" i="2"/>
  <c r="K1163" i="2"/>
  <c r="K1162" i="2"/>
  <c r="K1161" i="2"/>
  <c r="K1160" i="2"/>
  <c r="K1166" i="2" s="1"/>
  <c r="K1159" i="2"/>
  <c r="K1157" i="2"/>
  <c r="K1156" i="2"/>
  <c r="K1155" i="2"/>
  <c r="K1154" i="2"/>
  <c r="K1153" i="2"/>
  <c r="K1152" i="2"/>
  <c r="K1158" i="2" s="1"/>
  <c r="K1151" i="2"/>
  <c r="K1149" i="2"/>
  <c r="K1148" i="2"/>
  <c r="K1147" i="2"/>
  <c r="K1146" i="2"/>
  <c r="K1145" i="2"/>
  <c r="K1144" i="2"/>
  <c r="K1150" i="2" s="1"/>
  <c r="K1141" i="2"/>
  <c r="K1140" i="2"/>
  <c r="K1139" i="2"/>
  <c r="K1138" i="2"/>
  <c r="K1142" i="2" s="1"/>
  <c r="K1137" i="2"/>
  <c r="K1136" i="2"/>
  <c r="K1135" i="2"/>
  <c r="K1134" i="2"/>
  <c r="K1132" i="2"/>
  <c r="K1131" i="2"/>
  <c r="K1130" i="2"/>
  <c r="K1128" i="2"/>
  <c r="K1127" i="2"/>
  <c r="K1126" i="2"/>
  <c r="K1125" i="2"/>
  <c r="K1124" i="2"/>
  <c r="K1123" i="2"/>
  <c r="K1122" i="2"/>
  <c r="K1120" i="2"/>
  <c r="K1119" i="2"/>
  <c r="K1118" i="2"/>
  <c r="K1117" i="2"/>
  <c r="K1116" i="2"/>
  <c r="K1115" i="2"/>
  <c r="K1114" i="2"/>
  <c r="K1112" i="2"/>
  <c r="K1111" i="2"/>
  <c r="K1110" i="2"/>
  <c r="K1109" i="2"/>
  <c r="K1107" i="2"/>
  <c r="K1106" i="2"/>
  <c r="K1105" i="2"/>
  <c r="K1104" i="2"/>
  <c r="K1103" i="2"/>
  <c r="K1102" i="2"/>
  <c r="K1100" i="2"/>
  <c r="K1099" i="2"/>
  <c r="K1098" i="2"/>
  <c r="K1097" i="2"/>
  <c r="K1095" i="2"/>
  <c r="K1094" i="2"/>
  <c r="K1093" i="2"/>
  <c r="K1092" i="2"/>
  <c r="K1091" i="2"/>
  <c r="K1089" i="2"/>
  <c r="K1088" i="2"/>
  <c r="K1087" i="2"/>
  <c r="K1086" i="2"/>
  <c r="K1085" i="2"/>
  <c r="K1083" i="2"/>
  <c r="K1082" i="2"/>
  <c r="K1081" i="2"/>
  <c r="K1080" i="2"/>
  <c r="K1078" i="2"/>
  <c r="K1077" i="2"/>
  <c r="K1076" i="2"/>
  <c r="K1075" i="2"/>
  <c r="K1073" i="2"/>
  <c r="K1072" i="2"/>
  <c r="K1071" i="2"/>
  <c r="K1069" i="2"/>
  <c r="K1068" i="2"/>
  <c r="K1062" i="2"/>
  <c r="K1061" i="2"/>
  <c r="K1059" i="2"/>
  <c r="K1058" i="2"/>
  <c r="K1057" i="2"/>
  <c r="K1056" i="2"/>
  <c r="K1054" i="2"/>
  <c r="K1053" i="2"/>
  <c r="K1052" i="2"/>
  <c r="K1051" i="2"/>
  <c r="K1050" i="2"/>
  <c r="K1049" i="2"/>
  <c r="K1048" i="2"/>
  <c r="K1047" i="2"/>
  <c r="K1046" i="2"/>
  <c r="K1044" i="2"/>
  <c r="K1043" i="2"/>
  <c r="K1042" i="2"/>
  <c r="K1040" i="2"/>
  <c r="K1039" i="2"/>
  <c r="K1038" i="2"/>
  <c r="K1037" i="2"/>
  <c r="K1036" i="2"/>
  <c r="K1034" i="2"/>
  <c r="K1033" i="2"/>
  <c r="K1032" i="2"/>
  <c r="K1031" i="2"/>
  <c r="K1030" i="2"/>
  <c r="K1029" i="2"/>
  <c r="K1028" i="2"/>
  <c r="K1026" i="2"/>
  <c r="K1025" i="2"/>
  <c r="K1024" i="2"/>
  <c r="K1023" i="2"/>
  <c r="K1022" i="2"/>
  <c r="K1020" i="2"/>
  <c r="K1019" i="2"/>
  <c r="K1018" i="2"/>
  <c r="K1017" i="2"/>
  <c r="K1015" i="2"/>
  <c r="K1016" i="2" s="1"/>
  <c r="K1014" i="2"/>
  <c r="K1013" i="2"/>
  <c r="K1012" i="2"/>
  <c r="K1011" i="2"/>
  <c r="K1010" i="2"/>
  <c r="K1007" i="2"/>
  <c r="K1006" i="2"/>
  <c r="K1005" i="2"/>
  <c r="K1004" i="2"/>
  <c r="K1002" i="2"/>
  <c r="K1001" i="2"/>
  <c r="K1000" i="2"/>
  <c r="K996" i="2"/>
  <c r="K995" i="2"/>
  <c r="K994" i="2"/>
  <c r="K993" i="2"/>
  <c r="K992" i="2"/>
  <c r="K991" i="2"/>
  <c r="K997" i="2" s="1"/>
  <c r="K989" i="2"/>
  <c r="K988" i="2"/>
  <c r="K987" i="2"/>
  <c r="K986" i="2"/>
  <c r="K985" i="2"/>
  <c r="K984" i="2"/>
  <c r="K990" i="2" s="1"/>
  <c r="K983" i="2"/>
  <c r="K982" i="2"/>
  <c r="K981" i="2"/>
  <c r="K980" i="2"/>
  <c r="K978" i="2"/>
  <c r="K977" i="2"/>
  <c r="K976" i="2"/>
  <c r="K975" i="2"/>
  <c r="K979" i="2" s="1"/>
  <c r="K973" i="2"/>
  <c r="K972" i="2"/>
  <c r="K971" i="2"/>
  <c r="K970" i="2"/>
  <c r="K974" i="2" s="1"/>
  <c r="K963" i="2"/>
  <c r="K962" i="2"/>
  <c r="K961" i="2"/>
  <c r="K960" i="2"/>
  <c r="K959" i="2"/>
  <c r="K958" i="2"/>
  <c r="K964" i="2" s="1"/>
  <c r="K957" i="2"/>
  <c r="K956" i="2"/>
  <c r="K955" i="2"/>
  <c r="K951" i="2"/>
  <c r="K950" i="2"/>
  <c r="K949" i="2"/>
  <c r="K948" i="2"/>
  <c r="K946" i="2"/>
  <c r="K947" i="2" s="1"/>
  <c r="K945" i="2"/>
  <c r="K944" i="2"/>
  <c r="K943" i="2"/>
  <c r="K942" i="2"/>
  <c r="K941" i="2"/>
  <c r="K936" i="2"/>
  <c r="K935" i="2"/>
  <c r="K934" i="2"/>
  <c r="K933" i="2"/>
  <c r="K932" i="2"/>
  <c r="K937" i="2" s="1"/>
  <c r="K930" i="2"/>
  <c r="K929" i="2"/>
  <c r="K928" i="2"/>
  <c r="K927" i="2"/>
  <c r="K931" i="2" s="1"/>
  <c r="K923" i="2"/>
  <c r="K922" i="2"/>
  <c r="K924" i="2" s="1"/>
  <c r="K921" i="2"/>
  <c r="K920" i="2"/>
  <c r="K911" i="2"/>
  <c r="K910" i="2"/>
  <c r="K909" i="2"/>
  <c r="K907" i="2"/>
  <c r="K906" i="2"/>
  <c r="K905" i="2"/>
  <c r="K903" i="2"/>
  <c r="K902" i="2"/>
  <c r="K900" i="2"/>
  <c r="K899" i="2"/>
  <c r="K898" i="2"/>
  <c r="K895" i="2"/>
  <c r="K894" i="2"/>
  <c r="K896" i="2" s="1"/>
  <c r="K892" i="2"/>
  <c r="K891" i="2"/>
  <c r="K893" i="2" s="1"/>
  <c r="K889" i="2"/>
  <c r="K888" i="2"/>
  <c r="K887" i="2"/>
  <c r="K886" i="2"/>
  <c r="K890" i="2" s="1"/>
  <c r="K885" i="2"/>
  <c r="K883" i="2"/>
  <c r="K882" i="2"/>
  <c r="K881" i="2"/>
  <c r="K880" i="2"/>
  <c r="K879" i="2"/>
  <c r="K878" i="2"/>
  <c r="K884" i="2" s="1"/>
  <c r="K876" i="2"/>
  <c r="K875" i="2"/>
  <c r="K874" i="2"/>
  <c r="K873" i="2"/>
  <c r="K872" i="2"/>
  <c r="K877" i="2" s="1"/>
  <c r="K870" i="2"/>
  <c r="K869" i="2"/>
  <c r="K868" i="2"/>
  <c r="K867" i="2"/>
  <c r="K866" i="2"/>
  <c r="K865" i="2"/>
  <c r="K871" i="2" s="1"/>
  <c r="K862" i="2"/>
  <c r="K861" i="2"/>
  <c r="K860" i="2"/>
  <c r="K859" i="2"/>
  <c r="K858" i="2"/>
  <c r="K855" i="2"/>
  <c r="K854" i="2"/>
  <c r="K853" i="2"/>
  <c r="K852" i="2"/>
  <c r="K851" i="2"/>
  <c r="K843" i="2"/>
  <c r="K842" i="2"/>
  <c r="K841" i="2"/>
  <c r="K840" i="2"/>
  <c r="K839" i="2"/>
  <c r="K837" i="2"/>
  <c r="K836" i="2"/>
  <c r="K835" i="2"/>
  <c r="K838" i="2" s="1"/>
  <c r="K834" i="2"/>
  <c r="K832" i="2"/>
  <c r="K831" i="2"/>
  <c r="K830" i="2"/>
  <c r="K833" i="2" s="1"/>
  <c r="K829" i="2"/>
  <c r="K827" i="2"/>
  <c r="K826" i="2"/>
  <c r="K825" i="2"/>
  <c r="K824" i="2"/>
  <c r="K828" i="2" s="1"/>
  <c r="K822" i="2"/>
  <c r="K823" i="2" s="1"/>
  <c r="K821" i="2"/>
  <c r="K820" i="2"/>
  <c r="K819" i="2"/>
  <c r="K818" i="2"/>
  <c r="K817" i="2"/>
  <c r="K816" i="2"/>
  <c r="K814" i="2"/>
  <c r="K813" i="2"/>
  <c r="K812" i="2"/>
  <c r="K811" i="2"/>
  <c r="K815" i="2" s="1"/>
  <c r="K809" i="2"/>
  <c r="K808" i="2"/>
  <c r="K807" i="2"/>
  <c r="K810" i="2" s="1"/>
  <c r="K805" i="2"/>
  <c r="K804" i="2"/>
  <c r="K803" i="2"/>
  <c r="K806" i="2" s="1"/>
  <c r="K801" i="2"/>
  <c r="K800" i="2"/>
  <c r="K799" i="2"/>
  <c r="K802" i="2" s="1"/>
  <c r="K797" i="2"/>
  <c r="K796" i="2"/>
  <c r="K795" i="2"/>
  <c r="K798" i="2" s="1"/>
  <c r="K792" i="2"/>
  <c r="K791" i="2"/>
  <c r="K790" i="2"/>
  <c r="K789" i="2"/>
  <c r="K793" i="2" s="1"/>
  <c r="K788" i="2"/>
  <c r="K787" i="2"/>
  <c r="K786" i="2"/>
  <c r="K785" i="2"/>
  <c r="K784" i="2"/>
  <c r="K778" i="2"/>
  <c r="K777" i="2"/>
  <c r="K776" i="2"/>
  <c r="K775" i="2"/>
  <c r="K774" i="2"/>
  <c r="K779" i="2" s="1"/>
  <c r="K772" i="2"/>
  <c r="K771" i="2"/>
  <c r="K770" i="2"/>
  <c r="K769" i="2"/>
  <c r="K768" i="2"/>
  <c r="K767" i="2"/>
  <c r="K766" i="2"/>
  <c r="K765" i="2"/>
  <c r="K773" i="2" s="1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64" i="2" s="1"/>
  <c r="K748" i="2"/>
  <c r="K747" i="2"/>
  <c r="K746" i="2"/>
  <c r="K745" i="2"/>
  <c r="K749" i="2" s="1"/>
  <c r="K744" i="2"/>
  <c r="K742" i="2"/>
  <c r="K741" i="2"/>
  <c r="K740" i="2"/>
  <c r="K743" i="2" s="1"/>
  <c r="K739" i="2"/>
  <c r="K738" i="2"/>
  <c r="K737" i="2"/>
  <c r="K736" i="2"/>
  <c r="K734" i="2"/>
  <c r="K733" i="2"/>
  <c r="K732" i="2"/>
  <c r="K731" i="2"/>
  <c r="K735" i="2" s="1"/>
  <c r="K721" i="2"/>
  <c r="K720" i="2"/>
  <c r="K719" i="2"/>
  <c r="K718" i="2"/>
  <c r="K717" i="2"/>
  <c r="K716" i="2"/>
  <c r="K715" i="2"/>
  <c r="K714" i="2"/>
  <c r="K713" i="2"/>
  <c r="K712" i="2"/>
  <c r="K711" i="2"/>
  <c r="K709" i="2"/>
  <c r="K708" i="2"/>
  <c r="K707" i="2"/>
  <c r="K706" i="2"/>
  <c r="K705" i="2"/>
  <c r="K703" i="2"/>
  <c r="K702" i="2"/>
  <c r="K701" i="2"/>
  <c r="K699" i="2"/>
  <c r="K698" i="2"/>
  <c r="K697" i="2"/>
  <c r="K696" i="2"/>
  <c r="K695" i="2"/>
  <c r="K693" i="2"/>
  <c r="K692" i="2"/>
  <c r="K690" i="2"/>
  <c r="K689" i="2"/>
  <c r="K687" i="2"/>
  <c r="K686" i="2"/>
  <c r="K685" i="2"/>
  <c r="K683" i="2"/>
  <c r="K682" i="2"/>
  <c r="K680" i="2"/>
  <c r="K679" i="2"/>
  <c r="K678" i="2"/>
  <c r="K677" i="2"/>
  <c r="K675" i="2"/>
  <c r="K674" i="2"/>
  <c r="K673" i="2"/>
  <c r="K672" i="2"/>
  <c r="K670" i="2"/>
  <c r="K669" i="2"/>
  <c r="K668" i="2"/>
  <c r="K667" i="2"/>
  <c r="K665" i="2"/>
  <c r="K664" i="2"/>
  <c r="K663" i="2"/>
  <c r="K662" i="2"/>
  <c r="K666" i="2" s="1"/>
  <c r="K661" i="2"/>
  <c r="K660" i="2"/>
  <c r="K659" i="2"/>
  <c r="K658" i="2"/>
  <c r="K657" i="2"/>
  <c r="K656" i="2"/>
  <c r="K655" i="2"/>
  <c r="K653" i="2"/>
  <c r="K652" i="2"/>
  <c r="K651" i="2"/>
  <c r="K654" i="2" s="1"/>
  <c r="K650" i="2"/>
  <c r="K649" i="2"/>
  <c r="K648" i="2"/>
  <c r="K646" i="2"/>
  <c r="K647" i="2" s="1"/>
  <c r="K645" i="2"/>
  <c r="K643" i="2"/>
  <c r="K642" i="2"/>
  <c r="K641" i="2"/>
  <c r="K640" i="2"/>
  <c r="K644" i="2" s="1"/>
  <c r="K638" i="2"/>
  <c r="K637" i="2"/>
  <c r="K636" i="2"/>
  <c r="K635" i="2"/>
  <c r="K634" i="2"/>
  <c r="K639" i="2" s="1"/>
  <c r="K632" i="2"/>
  <c r="K631" i="2"/>
  <c r="K630" i="2"/>
  <c r="K633" i="2" s="1"/>
  <c r="K629" i="2"/>
  <c r="K627" i="2"/>
  <c r="K626" i="2"/>
  <c r="K628" i="2" s="1"/>
  <c r="K624" i="2"/>
  <c r="K623" i="2"/>
  <c r="K622" i="2"/>
  <c r="K625" i="2" s="1"/>
  <c r="K621" i="2"/>
  <c r="K619" i="2"/>
  <c r="K618" i="2"/>
  <c r="K617" i="2"/>
  <c r="K616" i="2"/>
  <c r="K620" i="2" s="1"/>
  <c r="K614" i="2"/>
  <c r="K613" i="2"/>
  <c r="K612" i="2"/>
  <c r="K611" i="2"/>
  <c r="K615" i="2" s="1"/>
  <c r="K609" i="2"/>
  <c r="K608" i="2"/>
  <c r="K607" i="2"/>
  <c r="K606" i="2"/>
  <c r="K610" i="2" s="1"/>
  <c r="K605" i="2"/>
  <c r="K603" i="2"/>
  <c r="K602" i="2"/>
  <c r="K601" i="2"/>
  <c r="K600" i="2"/>
  <c r="K599" i="2"/>
  <c r="K598" i="2"/>
  <c r="K597" i="2"/>
  <c r="K596" i="2"/>
  <c r="K595" i="2"/>
  <c r="K594" i="2"/>
  <c r="K604" i="2" s="1"/>
  <c r="K593" i="2"/>
  <c r="K591" i="2"/>
  <c r="K590" i="2"/>
  <c r="K589" i="2"/>
  <c r="K588" i="2"/>
  <c r="K587" i="2"/>
  <c r="K592" i="2" s="1"/>
  <c r="K586" i="2"/>
  <c r="K585" i="2"/>
  <c r="K584" i="2"/>
  <c r="K583" i="2"/>
  <c r="K582" i="2"/>
  <c r="K580" i="2"/>
  <c r="K579" i="2"/>
  <c r="K578" i="2"/>
  <c r="K577" i="2"/>
  <c r="K581" i="2" s="1"/>
  <c r="K576" i="2"/>
  <c r="K575" i="2"/>
  <c r="K574" i="2"/>
  <c r="K573" i="2"/>
  <c r="K572" i="2"/>
  <c r="K571" i="2"/>
  <c r="K570" i="2"/>
  <c r="K569" i="2"/>
  <c r="K568" i="2"/>
  <c r="K566" i="2"/>
  <c r="K567" i="2" s="1"/>
  <c r="K564" i="2"/>
  <c r="K563" i="2"/>
  <c r="K565" i="2" s="1"/>
  <c r="K561" i="2"/>
  <c r="K560" i="2"/>
  <c r="K559" i="2"/>
  <c r="K558" i="2"/>
  <c r="K557" i="2"/>
  <c r="K556" i="2"/>
  <c r="K555" i="2"/>
  <c r="K554" i="2"/>
  <c r="K553" i="2"/>
  <c r="K562" i="2" s="1"/>
  <c r="K551" i="2"/>
  <c r="K550" i="2"/>
  <c r="K549" i="2"/>
  <c r="K548" i="2"/>
  <c r="K547" i="2"/>
  <c r="K546" i="2"/>
  <c r="K545" i="2"/>
  <c r="K544" i="2"/>
  <c r="K552" i="2" s="1"/>
  <c r="K543" i="2"/>
  <c r="K541" i="2"/>
  <c r="K540" i="2"/>
  <c r="K539" i="2"/>
  <c r="K538" i="2"/>
  <c r="K537" i="2"/>
  <c r="K536" i="2"/>
  <c r="K542" i="2" s="1"/>
  <c r="K535" i="2"/>
  <c r="K533" i="2"/>
  <c r="K532" i="2"/>
  <c r="K531" i="2"/>
  <c r="K534" i="2" s="1"/>
  <c r="K530" i="2"/>
  <c r="K529" i="2"/>
  <c r="K528" i="2"/>
  <c r="K527" i="2"/>
  <c r="K526" i="2"/>
  <c r="K524" i="2"/>
  <c r="K523" i="2"/>
  <c r="K522" i="2"/>
  <c r="K521" i="2"/>
  <c r="K520" i="2"/>
  <c r="K519" i="2"/>
  <c r="K525" i="2" s="1"/>
  <c r="K518" i="2"/>
  <c r="K517" i="2"/>
  <c r="K516" i="2"/>
  <c r="K515" i="2"/>
  <c r="K514" i="2"/>
  <c r="K513" i="2"/>
  <c r="K512" i="2"/>
  <c r="K511" i="2"/>
  <c r="K510" i="2"/>
  <c r="K508" i="2"/>
  <c r="K507" i="2"/>
  <c r="K506" i="2"/>
  <c r="K504" i="2"/>
  <c r="K503" i="2"/>
  <c r="K502" i="2"/>
  <c r="K501" i="2"/>
  <c r="K505" i="2" s="1"/>
  <c r="K500" i="2"/>
  <c r="K498" i="2"/>
  <c r="K497" i="2"/>
  <c r="K496" i="2"/>
  <c r="K495" i="2"/>
  <c r="K494" i="2"/>
  <c r="K493" i="2"/>
  <c r="K492" i="2"/>
  <c r="K499" i="2" s="1"/>
  <c r="K490" i="2"/>
  <c r="K489" i="2"/>
  <c r="K488" i="2"/>
  <c r="K487" i="2"/>
  <c r="K491" i="2" s="1"/>
  <c r="K485" i="2"/>
  <c r="K484" i="2"/>
  <c r="K486" i="2" s="1"/>
  <c r="K482" i="2"/>
  <c r="K481" i="2"/>
  <c r="K480" i="2"/>
  <c r="K479" i="2"/>
  <c r="K483" i="2" s="1"/>
  <c r="K478" i="2"/>
  <c r="K476" i="2"/>
  <c r="K475" i="2"/>
  <c r="K474" i="2"/>
  <c r="K477" i="2" s="1"/>
  <c r="K473" i="2"/>
  <c r="K472" i="2"/>
  <c r="K471" i="2"/>
  <c r="K470" i="2"/>
  <c r="K468" i="2"/>
  <c r="K467" i="2"/>
  <c r="K466" i="2"/>
  <c r="K465" i="2"/>
  <c r="K464" i="2"/>
  <c r="K463" i="2"/>
  <c r="K462" i="2"/>
  <c r="K461" i="2"/>
  <c r="K469" i="2" s="1"/>
  <c r="K459" i="2"/>
  <c r="K458" i="2"/>
  <c r="K457" i="2"/>
  <c r="K456" i="2"/>
  <c r="K455" i="2"/>
  <c r="K454" i="2"/>
  <c r="K453" i="2"/>
  <c r="K452" i="2"/>
  <c r="K451" i="2"/>
  <c r="K460" i="2" s="1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4" i="2"/>
  <c r="K433" i="2"/>
  <c r="K432" i="2"/>
  <c r="K431" i="2"/>
  <c r="K430" i="2"/>
  <c r="K429" i="2"/>
  <c r="K435" i="2" s="1"/>
  <c r="K428" i="2"/>
  <c r="K426" i="2"/>
  <c r="K425" i="2"/>
  <c r="K424" i="2"/>
  <c r="K423" i="2"/>
  <c r="K422" i="2"/>
  <c r="K421" i="2"/>
  <c r="K427" i="2" s="1"/>
  <c r="K419" i="2"/>
  <c r="K418" i="2"/>
  <c r="K417" i="2"/>
  <c r="K416" i="2"/>
  <c r="K415" i="2"/>
  <c r="K414" i="2"/>
  <c r="K413" i="2"/>
  <c r="K412" i="2"/>
  <c r="K411" i="2"/>
  <c r="K420" i="2" s="1"/>
  <c r="K409" i="2"/>
  <c r="K408" i="2"/>
  <c r="K407" i="2"/>
  <c r="K406" i="2"/>
  <c r="K405" i="2"/>
  <c r="K404" i="2"/>
  <c r="K402" i="2"/>
  <c r="K401" i="2"/>
  <c r="K403" i="2" s="1"/>
  <c r="K400" i="2"/>
  <c r="K399" i="2"/>
  <c r="K398" i="2"/>
  <c r="K397" i="2"/>
  <c r="K396" i="2"/>
  <c r="K394" i="2"/>
  <c r="K393" i="2"/>
  <c r="K395" i="2" s="1"/>
  <c r="K392" i="2"/>
  <c r="K391" i="2"/>
  <c r="K390" i="2"/>
  <c r="K388" i="2"/>
  <c r="K387" i="2"/>
  <c r="K386" i="2"/>
  <c r="K385" i="2"/>
  <c r="K389" i="2" s="1"/>
  <c r="K384" i="2"/>
  <c r="K383" i="2"/>
  <c r="K381" i="2"/>
  <c r="K380" i="2"/>
  <c r="K379" i="2"/>
  <c r="K378" i="2"/>
  <c r="K377" i="2"/>
  <c r="K382" i="2" s="1"/>
  <c r="K376" i="2"/>
  <c r="K374" i="2"/>
  <c r="K373" i="2"/>
  <c r="K372" i="2"/>
  <c r="K375" i="2" s="1"/>
  <c r="K370" i="2"/>
  <c r="K369" i="2"/>
  <c r="K371" i="2" s="1"/>
  <c r="K368" i="2"/>
  <c r="K366" i="2"/>
  <c r="K367" i="2" s="1"/>
  <c r="K365" i="2"/>
  <c r="K364" i="2"/>
  <c r="K362" i="2"/>
  <c r="K361" i="2"/>
  <c r="K363" i="2" s="1"/>
  <c r="K360" i="2"/>
  <c r="K359" i="2"/>
  <c r="K358" i="2"/>
  <c r="K357" i="2"/>
  <c r="K354" i="2"/>
  <c r="K353" i="2"/>
  <c r="K352" i="2"/>
  <c r="K351" i="2"/>
  <c r="K350" i="2"/>
  <c r="K349" i="2"/>
  <c r="K348" i="2"/>
  <c r="K347" i="2"/>
  <c r="K355" i="2" s="1"/>
  <c r="K345" i="2"/>
  <c r="K344" i="2"/>
  <c r="K346" i="2" s="1"/>
  <c r="K342" i="2"/>
  <c r="K341" i="2"/>
  <c r="K340" i="2"/>
  <c r="K339" i="2"/>
  <c r="K338" i="2"/>
  <c r="K343" i="2" s="1"/>
  <c r="K335" i="2"/>
  <c r="K334" i="2"/>
  <c r="K336" i="2" s="1"/>
  <c r="K332" i="2"/>
  <c r="K331" i="2"/>
  <c r="K330" i="2"/>
  <c r="K333" i="2" s="1"/>
  <c r="K327" i="2"/>
  <c r="K326" i="2"/>
  <c r="K328" i="2" s="1"/>
  <c r="K325" i="2"/>
  <c r="K324" i="2"/>
  <c r="K322" i="2"/>
  <c r="K321" i="2"/>
  <c r="K320" i="2"/>
  <c r="K319" i="2"/>
  <c r="K318" i="2"/>
  <c r="K323" i="2" s="1"/>
  <c r="K315" i="2"/>
  <c r="K314" i="2"/>
  <c r="K316" i="2" s="1"/>
  <c r="K312" i="2"/>
  <c r="K311" i="2"/>
  <c r="K313" i="2" s="1"/>
  <c r="K309" i="2"/>
  <c r="K308" i="2"/>
  <c r="K307" i="2"/>
  <c r="K306" i="2"/>
  <c r="K310" i="2" s="1"/>
  <c r="K304" i="2"/>
  <c r="K303" i="2"/>
  <c r="K305" i="2" s="1"/>
  <c r="K302" i="2"/>
  <c r="K301" i="2"/>
  <c r="K300" i="2"/>
  <c r="K299" i="2"/>
  <c r="K298" i="2"/>
  <c r="K297" i="2"/>
  <c r="K294" i="2"/>
  <c r="K293" i="2"/>
  <c r="K292" i="2"/>
  <c r="K289" i="2"/>
  <c r="K288" i="2"/>
  <c r="K287" i="2"/>
  <c r="K286" i="2"/>
  <c r="K285" i="2"/>
  <c r="K284" i="2"/>
  <c r="K281" i="2"/>
  <c r="K280" i="2"/>
  <c r="K282" i="2" s="1"/>
  <c r="K279" i="2"/>
  <c r="K276" i="2"/>
  <c r="K275" i="2"/>
  <c r="K277" i="2" s="1"/>
  <c r="K269" i="2"/>
  <c r="K268" i="2"/>
  <c r="K267" i="2"/>
  <c r="K270" i="2" s="1"/>
  <c r="K263" i="2"/>
  <c r="K262" i="2"/>
  <c r="K261" i="2"/>
  <c r="K264" i="2" s="1"/>
  <c r="K258" i="2"/>
  <c r="K257" i="2"/>
  <c r="K256" i="2"/>
  <c r="K259" i="2" s="1"/>
  <c r="K254" i="2"/>
  <c r="K253" i="2"/>
  <c r="K255" i="2" s="1"/>
  <c r="K251" i="2"/>
  <c r="K250" i="2"/>
  <c r="K252" i="2" s="1"/>
  <c r="K248" i="2"/>
  <c r="K247" i="2"/>
  <c r="K246" i="2"/>
  <c r="K245" i="2"/>
  <c r="K249" i="2" s="1"/>
  <c r="K243" i="2"/>
  <c r="K242" i="2"/>
  <c r="K241" i="2"/>
  <c r="K240" i="2"/>
  <c r="K244" i="2" s="1"/>
  <c r="K237" i="2"/>
  <c r="K236" i="2"/>
  <c r="K238" i="2" s="1"/>
  <c r="K234" i="2"/>
  <c r="K233" i="2"/>
  <c r="K235" i="2" s="1"/>
  <c r="K230" i="2"/>
  <c r="K229" i="2"/>
  <c r="K231" i="2" s="1"/>
  <c r="K227" i="2"/>
  <c r="K226" i="2"/>
  <c r="K225" i="2"/>
  <c r="K228" i="2" s="1"/>
  <c r="K223" i="2"/>
  <c r="K222" i="2"/>
  <c r="K224" i="2" s="1"/>
  <c r="K221" i="2"/>
  <c r="K219" i="2"/>
  <c r="K218" i="2"/>
  <c r="K217" i="2"/>
  <c r="K216" i="2"/>
  <c r="K215" i="2"/>
  <c r="K220" i="2" s="1"/>
  <c r="K212" i="2"/>
  <c r="K211" i="2"/>
  <c r="K210" i="2"/>
  <c r="K209" i="2"/>
  <c r="K208" i="2"/>
  <c r="K207" i="2"/>
  <c r="K203" i="2"/>
  <c r="K202" i="2"/>
  <c r="K201" i="2"/>
  <c r="K200" i="2"/>
  <c r="K199" i="2"/>
  <c r="K198" i="2"/>
  <c r="K197" i="2"/>
  <c r="K196" i="2"/>
  <c r="K195" i="2"/>
  <c r="K194" i="2"/>
  <c r="K204" i="2" s="1"/>
  <c r="K192" i="2"/>
  <c r="K191" i="2"/>
  <c r="K190" i="2"/>
  <c r="K189" i="2"/>
  <c r="K188" i="2"/>
  <c r="K187" i="2"/>
  <c r="K193" i="2" s="1"/>
  <c r="K186" i="2"/>
  <c r="K185" i="2"/>
  <c r="K184" i="2"/>
  <c r="K183" i="2"/>
  <c r="K180" i="2"/>
  <c r="K179" i="2"/>
  <c r="K178" i="2"/>
  <c r="K177" i="2"/>
  <c r="K181" i="2" s="1"/>
  <c r="K176" i="2"/>
  <c r="K174" i="2"/>
  <c r="K173" i="2"/>
  <c r="K175" i="2" s="1"/>
  <c r="K171" i="2"/>
  <c r="K170" i="2"/>
  <c r="K169" i="2"/>
  <c r="K172" i="2" s="1"/>
  <c r="K168" i="2"/>
  <c r="K167" i="2"/>
  <c r="K166" i="2"/>
  <c r="K165" i="2"/>
  <c r="K164" i="2"/>
  <c r="K163" i="2"/>
  <c r="K162" i="2"/>
  <c r="K161" i="2"/>
  <c r="K160" i="2"/>
  <c r="K159" i="2"/>
  <c r="K158" i="2"/>
  <c r="K157" i="2"/>
  <c r="K155" i="2"/>
  <c r="K154" i="2"/>
  <c r="K153" i="2"/>
  <c r="K156" i="2" s="1"/>
  <c r="K151" i="2"/>
  <c r="K150" i="2"/>
  <c r="K149" i="2"/>
  <c r="K148" i="2"/>
  <c r="K152" i="2" s="1"/>
  <c r="K146" i="2"/>
  <c r="K145" i="2"/>
  <c r="K144" i="2"/>
  <c r="K143" i="2"/>
  <c r="K142" i="2"/>
  <c r="K147" i="2" s="1"/>
  <c r="K140" i="2"/>
  <c r="K141" i="2" s="1"/>
  <c r="K139" i="2"/>
  <c r="K138" i="2"/>
  <c r="K137" i="2"/>
  <c r="K136" i="2"/>
  <c r="K135" i="2"/>
  <c r="K134" i="2"/>
  <c r="K133" i="2"/>
  <c r="K132" i="2"/>
  <c r="K129" i="2"/>
  <c r="K128" i="2"/>
  <c r="K130" i="2" s="1"/>
  <c r="K127" i="2"/>
  <c r="K126" i="2"/>
  <c r="K124" i="2"/>
  <c r="K123" i="2"/>
  <c r="K122" i="2"/>
  <c r="K121" i="2"/>
  <c r="K120" i="2"/>
  <c r="K125" i="2" s="1"/>
  <c r="K119" i="2"/>
  <c r="K118" i="2"/>
  <c r="K117" i="2"/>
  <c r="K116" i="2"/>
  <c r="K115" i="2"/>
  <c r="K113" i="2"/>
  <c r="K112" i="2"/>
  <c r="K114" i="2" s="1"/>
  <c r="K110" i="2"/>
  <c r="K109" i="2"/>
  <c r="K108" i="2"/>
  <c r="K107" i="2"/>
  <c r="K106" i="2"/>
  <c r="K105" i="2"/>
  <c r="K104" i="2"/>
  <c r="K103" i="2"/>
  <c r="K102" i="2"/>
  <c r="K101" i="2"/>
  <c r="K100" i="2"/>
  <c r="K99" i="2"/>
  <c r="K111" i="2" s="1"/>
  <c r="K97" i="2"/>
  <c r="K96" i="2"/>
  <c r="K95" i="2"/>
  <c r="K94" i="2"/>
  <c r="K93" i="2"/>
  <c r="K98" i="2" s="1"/>
  <c r="K91" i="2"/>
  <c r="K92" i="2" s="1"/>
  <c r="K90" i="2"/>
  <c r="K87" i="2"/>
  <c r="K88" i="2" s="1"/>
  <c r="K86" i="2"/>
  <c r="K84" i="2"/>
  <c r="K83" i="2"/>
  <c r="K82" i="2"/>
  <c r="K81" i="2"/>
  <c r="K80" i="2"/>
  <c r="K79" i="2"/>
  <c r="K85" i="2" s="1"/>
  <c r="K77" i="2"/>
  <c r="K76" i="2"/>
  <c r="K75" i="2"/>
  <c r="K74" i="2"/>
  <c r="K73" i="2"/>
  <c r="K78" i="2" s="1"/>
  <c r="K71" i="2"/>
  <c r="K70" i="2"/>
  <c r="K69" i="2"/>
  <c r="K68" i="2"/>
  <c r="K72" i="2" s="1"/>
  <c r="K66" i="2"/>
  <c r="K67" i="2" s="1"/>
  <c r="K65" i="2"/>
  <c r="K63" i="2"/>
  <c r="K62" i="2"/>
  <c r="K61" i="2"/>
  <c r="K60" i="2"/>
  <c r="K59" i="2"/>
  <c r="K58" i="2"/>
  <c r="K57" i="2"/>
  <c r="K56" i="2"/>
  <c r="K55" i="2"/>
  <c r="K54" i="2"/>
  <c r="K53" i="2"/>
  <c r="K52" i="2"/>
  <c r="K64" i="2" s="1"/>
  <c r="K50" i="2"/>
  <c r="K51" i="2" s="1"/>
  <c r="K49" i="2"/>
  <c r="K47" i="2"/>
  <c r="K48" i="2" s="1"/>
  <c r="K46" i="2"/>
  <c r="K44" i="2"/>
  <c r="K43" i="2"/>
  <c r="K42" i="2"/>
  <c r="K41" i="2"/>
  <c r="K40" i="2"/>
  <c r="K45" i="2" s="1"/>
  <c r="K39" i="2"/>
  <c r="K38" i="2"/>
  <c r="K37" i="2"/>
  <c r="K36" i="2"/>
  <c r="K35" i="2"/>
  <c r="K33" i="2"/>
  <c r="K32" i="2"/>
  <c r="K31" i="2"/>
  <c r="K34" i="2" s="1"/>
  <c r="K29" i="2"/>
  <c r="K28" i="2"/>
  <c r="K27" i="2"/>
  <c r="K26" i="2"/>
  <c r="K30" i="2" s="1"/>
  <c r="K24" i="2"/>
  <c r="K23" i="2"/>
  <c r="K25" i="2" s="1"/>
  <c r="K22" i="2"/>
  <c r="K21" i="2"/>
  <c r="K19" i="2"/>
  <c r="K18" i="2"/>
  <c r="K17" i="2"/>
  <c r="K16" i="2"/>
  <c r="K15" i="2"/>
  <c r="K14" i="2"/>
  <c r="K13" i="2"/>
  <c r="K12" i="2"/>
  <c r="K20" i="2" s="1"/>
  <c r="K10" i="2"/>
  <c r="K9" i="2"/>
  <c r="K8" i="2"/>
  <c r="K7" i="2"/>
  <c r="K11" i="2" s="1"/>
  <c r="K6" i="2"/>
  <c r="J81" i="1"/>
  <c r="F73" i="1"/>
  <c r="D73" i="1"/>
  <c r="C73" i="1"/>
  <c r="B73" i="1"/>
  <c r="A73" i="1"/>
  <c r="D72" i="1"/>
  <c r="B72" i="1"/>
  <c r="J71" i="1"/>
  <c r="H71" i="1"/>
  <c r="E71" i="1"/>
  <c r="D71" i="1"/>
  <c r="B71" i="1"/>
  <c r="A71" i="1"/>
  <c r="J70" i="1"/>
  <c r="H70" i="1"/>
  <c r="F70" i="1"/>
  <c r="E70" i="1"/>
  <c r="D70" i="1"/>
  <c r="B70" i="1"/>
  <c r="J69" i="1"/>
  <c r="E69" i="1"/>
  <c r="D69" i="1"/>
  <c r="C69" i="1"/>
  <c r="B69" i="1"/>
  <c r="J68" i="1"/>
  <c r="H68" i="1"/>
  <c r="G68" i="1"/>
  <c r="F68" i="1"/>
  <c r="E68" i="1"/>
  <c r="D68" i="1"/>
  <c r="B68" i="1"/>
  <c r="J67" i="1"/>
  <c r="H67" i="1"/>
  <c r="F67" i="1"/>
  <c r="E67" i="1"/>
  <c r="D67" i="1"/>
  <c r="B67" i="1"/>
  <c r="J66" i="1"/>
  <c r="H66" i="1"/>
  <c r="F66" i="1"/>
  <c r="E66" i="1"/>
  <c r="D66" i="1"/>
  <c r="B66" i="1"/>
  <c r="J65" i="1"/>
  <c r="H65" i="1"/>
  <c r="G65" i="1"/>
  <c r="F65" i="1"/>
  <c r="E65" i="1"/>
  <c r="D65" i="1"/>
  <c r="B65" i="1"/>
  <c r="D64" i="1"/>
  <c r="C64" i="1"/>
  <c r="B64" i="1"/>
  <c r="A64" i="1"/>
  <c r="K63" i="1"/>
  <c r="J63" i="1"/>
  <c r="I63" i="1"/>
  <c r="H63" i="1"/>
  <c r="F63" i="1"/>
  <c r="E63" i="1"/>
  <c r="D63" i="1"/>
  <c r="C63" i="1"/>
  <c r="B63" i="1"/>
  <c r="K62" i="1"/>
  <c r="J62" i="1"/>
  <c r="I62" i="1"/>
  <c r="H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F60" i="1"/>
  <c r="E60" i="1"/>
  <c r="D60" i="1"/>
  <c r="C60" i="1"/>
  <c r="B60" i="1"/>
  <c r="J59" i="1"/>
  <c r="F59" i="1"/>
  <c r="D59" i="1"/>
  <c r="B59" i="1"/>
  <c r="J58" i="1"/>
  <c r="H58" i="1"/>
  <c r="G58" i="1"/>
  <c r="F58" i="1"/>
  <c r="E58" i="1"/>
  <c r="D58" i="1"/>
  <c r="B58" i="1"/>
  <c r="J57" i="1"/>
  <c r="H57" i="1"/>
  <c r="F57" i="1"/>
  <c r="E57" i="1"/>
  <c r="D57" i="1"/>
  <c r="B57" i="1"/>
  <c r="J56" i="1"/>
  <c r="I56" i="1"/>
  <c r="H56" i="1"/>
  <c r="F56" i="1"/>
  <c r="E56" i="1"/>
  <c r="D56" i="1"/>
  <c r="B56" i="1"/>
  <c r="J55" i="1"/>
  <c r="H55" i="1"/>
  <c r="F55" i="1"/>
  <c r="E55" i="1"/>
  <c r="D55" i="1"/>
  <c r="B55" i="1"/>
  <c r="J54" i="1"/>
  <c r="H54" i="1"/>
  <c r="F54" i="1"/>
  <c r="E54" i="1"/>
  <c r="D54" i="1"/>
  <c r="B54" i="1"/>
  <c r="J53" i="1"/>
  <c r="H53" i="1"/>
  <c r="F53" i="1"/>
  <c r="E53" i="1"/>
  <c r="D53" i="1"/>
  <c r="B53" i="1"/>
  <c r="J52" i="1"/>
  <c r="H52" i="1"/>
  <c r="F52" i="1"/>
  <c r="E52" i="1"/>
  <c r="D52" i="1"/>
  <c r="B52" i="1"/>
  <c r="J51" i="1"/>
  <c r="H51" i="1"/>
  <c r="F51" i="1"/>
  <c r="E51" i="1"/>
  <c r="D51" i="1"/>
  <c r="B51" i="1"/>
  <c r="J50" i="1"/>
  <c r="H50" i="1"/>
  <c r="G50" i="1"/>
  <c r="F50" i="1"/>
  <c r="E50" i="1"/>
  <c r="D50" i="1"/>
  <c r="B50" i="1"/>
  <c r="J49" i="1"/>
  <c r="H49" i="1"/>
  <c r="F49" i="1"/>
  <c r="E49" i="1"/>
  <c r="D49" i="1"/>
  <c r="B49" i="1"/>
  <c r="F48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J73" i="1" s="1"/>
  <c r="H32" i="1"/>
  <c r="H73" i="1" s="1"/>
  <c r="F32" i="1"/>
  <c r="E32" i="1"/>
  <c r="E73" i="1" s="1"/>
  <c r="F30" i="1"/>
  <c r="F71" i="1" s="1"/>
  <c r="G29" i="1"/>
  <c r="I29" i="1" s="1"/>
  <c r="J28" i="1"/>
  <c r="H28" i="1"/>
  <c r="H69" i="1" s="1"/>
  <c r="E28" i="1"/>
  <c r="G27" i="1"/>
  <c r="I27" i="1" s="1"/>
  <c r="G26" i="1"/>
  <c r="G67" i="1" s="1"/>
  <c r="G25" i="1"/>
  <c r="G66" i="1" s="1"/>
  <c r="G24" i="1"/>
  <c r="I24" i="1" s="1"/>
  <c r="J23" i="1"/>
  <c r="J64" i="1" s="1"/>
  <c r="H23" i="1"/>
  <c r="H64" i="1" s="1"/>
  <c r="F23" i="1"/>
  <c r="F64" i="1" s="1"/>
  <c r="E23" i="1"/>
  <c r="G23" i="1" s="1"/>
  <c r="G22" i="1"/>
  <c r="G63" i="1" s="1"/>
  <c r="G21" i="1"/>
  <c r="G62" i="1" s="1"/>
  <c r="G20" i="1"/>
  <c r="G19" i="1"/>
  <c r="G60" i="1" s="1"/>
  <c r="I18" i="1"/>
  <c r="K18" i="1" s="1"/>
  <c r="H18" i="1"/>
  <c r="H59" i="1" s="1"/>
  <c r="G18" i="1"/>
  <c r="G59" i="1" s="1"/>
  <c r="F18" i="1"/>
  <c r="E18" i="1"/>
  <c r="E59" i="1" s="1"/>
  <c r="I17" i="1"/>
  <c r="K17" i="1" s="1"/>
  <c r="G17" i="1"/>
  <c r="I16" i="1"/>
  <c r="G16" i="1"/>
  <c r="G57" i="1" s="1"/>
  <c r="I15" i="1"/>
  <c r="K15" i="1" s="1"/>
  <c r="G15" i="1"/>
  <c r="G56" i="1" s="1"/>
  <c r="G14" i="1"/>
  <c r="I14" i="1" s="1"/>
  <c r="G13" i="1"/>
  <c r="G12" i="1"/>
  <c r="I12" i="1" s="1"/>
  <c r="K11" i="1"/>
  <c r="G11" i="1"/>
  <c r="I11" i="1" s="1"/>
  <c r="I52" i="1" s="1"/>
  <c r="G10" i="1"/>
  <c r="I10" i="1" s="1"/>
  <c r="I9" i="1"/>
  <c r="K9" i="1" s="1"/>
  <c r="G9" i="1"/>
  <c r="I8" i="1"/>
  <c r="G8" i="1"/>
  <c r="G49" i="1" s="1"/>
  <c r="J7" i="1"/>
  <c r="J79" i="1" s="1"/>
  <c r="H7" i="1"/>
  <c r="H48" i="1" s="1"/>
  <c r="G7" i="1"/>
  <c r="F7" i="1"/>
  <c r="E7" i="1"/>
  <c r="E31" i="1" s="1"/>
  <c r="I70" i="1" l="1"/>
  <c r="K29" i="1"/>
  <c r="I49" i="1"/>
  <c r="K8" i="1"/>
  <c r="G54" i="1"/>
  <c r="I13" i="1"/>
  <c r="L17" i="1"/>
  <c r="M17" i="1" s="1"/>
  <c r="K58" i="1"/>
  <c r="I65" i="1"/>
  <c r="K24" i="1"/>
  <c r="I55" i="1"/>
  <c r="K14" i="1"/>
  <c r="L9" i="1"/>
  <c r="M9" i="1" s="1"/>
  <c r="K50" i="1"/>
  <c r="K27" i="1"/>
  <c r="I68" i="1"/>
  <c r="E72" i="1"/>
  <c r="L15" i="1"/>
  <c r="M15" i="1" s="1"/>
  <c r="K56" i="1"/>
  <c r="I51" i="1"/>
  <c r="K10" i="1"/>
  <c r="K12" i="1"/>
  <c r="I53" i="1"/>
  <c r="G48" i="1"/>
  <c r="I7" i="1"/>
  <c r="G64" i="1"/>
  <c r="I23" i="1"/>
  <c r="K52" i="1"/>
  <c r="L11" i="1"/>
  <c r="M11" i="1" s="1"/>
  <c r="I57" i="1"/>
  <c r="K16" i="1"/>
  <c r="L18" i="1"/>
  <c r="M18" i="1" s="1"/>
  <c r="K59" i="1"/>
  <c r="I26" i="1"/>
  <c r="G30" i="1"/>
  <c r="H31" i="1"/>
  <c r="H72" i="1" s="1"/>
  <c r="J48" i="1"/>
  <c r="G51" i="1"/>
  <c r="I50" i="1"/>
  <c r="G52" i="1"/>
  <c r="I58" i="1"/>
  <c r="E64" i="1"/>
  <c r="J80" i="1"/>
  <c r="F28" i="1"/>
  <c r="F69" i="1" s="1"/>
  <c r="J31" i="1"/>
  <c r="J72" i="1" s="1"/>
  <c r="G53" i="1"/>
  <c r="I59" i="1"/>
  <c r="G70" i="1"/>
  <c r="I25" i="1"/>
  <c r="E48" i="1"/>
  <c r="G55" i="1"/>
  <c r="G32" i="1"/>
  <c r="L27" i="1" l="1"/>
  <c r="M27" i="1" s="1"/>
  <c r="K68" i="1"/>
  <c r="F31" i="1"/>
  <c r="G71" i="1"/>
  <c r="I30" i="1"/>
  <c r="I64" i="1"/>
  <c r="K23" i="1"/>
  <c r="I80" i="1"/>
  <c r="G28" i="1"/>
  <c r="I54" i="1"/>
  <c r="K13" i="1"/>
  <c r="G73" i="1"/>
  <c r="I32" i="1"/>
  <c r="K26" i="1"/>
  <c r="I67" i="1"/>
  <c r="K25" i="1"/>
  <c r="I66" i="1"/>
  <c r="K51" i="1"/>
  <c r="L10" i="1"/>
  <c r="M10" i="1" s="1"/>
  <c r="K49" i="1"/>
  <c r="L8" i="1"/>
  <c r="M8" i="1" s="1"/>
  <c r="K57" i="1"/>
  <c r="L16" i="1"/>
  <c r="M16" i="1" s="1"/>
  <c r="K65" i="1"/>
  <c r="L24" i="1"/>
  <c r="M24" i="1" s="1"/>
  <c r="K70" i="1"/>
  <c r="L29" i="1"/>
  <c r="M29" i="1" s="1"/>
  <c r="I48" i="1"/>
  <c r="I79" i="1"/>
  <c r="K7" i="1"/>
  <c r="K55" i="1"/>
  <c r="L14" i="1"/>
  <c r="M14" i="1" s="1"/>
  <c r="K53" i="1"/>
  <c r="L12" i="1"/>
  <c r="M12" i="1" s="1"/>
  <c r="L7" i="1" l="1"/>
  <c r="M7" i="1" s="1"/>
  <c r="K48" i="1"/>
  <c r="K79" i="1"/>
  <c r="I73" i="1"/>
  <c r="K32" i="1"/>
  <c r="K64" i="1"/>
  <c r="L23" i="1"/>
  <c r="M23" i="1" s="1"/>
  <c r="K80" i="1"/>
  <c r="K54" i="1"/>
  <c r="L13" i="1"/>
  <c r="M13" i="1" s="1"/>
  <c r="F72" i="1"/>
  <c r="G31" i="1"/>
  <c r="K67" i="1"/>
  <c r="L26" i="1"/>
  <c r="M26" i="1" s="1"/>
  <c r="I71" i="1"/>
  <c r="K30" i="1"/>
  <c r="L25" i="1"/>
  <c r="M25" i="1" s="1"/>
  <c r="K66" i="1"/>
  <c r="I28" i="1"/>
  <c r="G69" i="1"/>
  <c r="K73" i="1" l="1"/>
  <c r="L32" i="1"/>
  <c r="M32" i="1" s="1"/>
  <c r="G72" i="1"/>
  <c r="I31" i="1"/>
  <c r="L30" i="1"/>
  <c r="M30" i="1" s="1"/>
  <c r="K71" i="1"/>
  <c r="I81" i="1"/>
  <c r="I69" i="1"/>
  <c r="K28" i="1"/>
  <c r="I72" i="1" l="1"/>
  <c r="K31" i="1"/>
  <c r="K72" i="1" s="1"/>
  <c r="K81" i="1"/>
  <c r="K69" i="1"/>
  <c r="L28" i="1"/>
  <c r="M28" i="1" s="1"/>
</calcChain>
</file>

<file path=xl/sharedStrings.xml><?xml version="1.0" encoding="utf-8"?>
<sst xmlns="http://schemas.openxmlformats.org/spreadsheetml/2006/main" count="5964" uniqueCount="2743">
  <si>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</si>
  <si>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</si>
  <si>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</si>
  <si>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</si>
  <si>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</si>
  <si>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</si>
  <si>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</si>
  <si>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</si>
  <si>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</si>
  <si>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</si>
  <si>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</si>
  <si>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</si>
  <si>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</si>
  <si>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</si>
  <si>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</si>
  <si>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</si>
  <si>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</si>
  <si>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</si>
  <si>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</si>
  <si>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</si>
  <si>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</si>
  <si>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</si>
  <si>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</si>
  <si>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</si>
  <si>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</si>
  <si>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</si>
  <si>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</si>
  <si>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</si>
  <si>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</si>
  <si>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ยืนยันข้อมูลตรงกัน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</si>
  <si>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</si>
  <si>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</si>
  <si>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</si>
  <si>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</si>
  <si>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</si>
  <si>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</si>
  <si>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หน่วยงานเจ้าภาพมีผลการดำเนินงานมากกว่า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</si>
  <si>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</si>
  <si>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</si>
  <si>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</si>
  <si>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</si>
  <si>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กลุ่มวิทย์สุขภาพ</t>
  </si>
  <si>
    <t>5) วิทยาลัยนวัตกรรมและการจัดการ</t>
  </si>
  <si>
    <t>6) วิทยาลัยโลจิสติกส์และซัพพลายเชน</t>
  </si>
  <si>
    <t>ยืนยันข้อมูลตามหน่วยงานเจ้าภาพ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</si>
  <si>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</si>
  <si>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</si>
  <si>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</si>
  <si>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</si>
  <si>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</si>
  <si>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วิทยาลัยการเมืองการปกครอง</t>
  </si>
  <si>
    <t>11.2) วิทยาลัยการจัดการอุตสาหกรรมบริการ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</si>
  <si>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</si>
  <si>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</si>
  <si>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</si>
  <si>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</si>
  <si>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</si>
  <si>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</si>
  <si>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</si>
  <si>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</si>
  <si>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</si>
  <si>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</si>
  <si>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</si>
  <si>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</si>
  <si>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</si>
  <si>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</si>
  <si>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</si>
  <si>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</si>
  <si>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</si>
  <si>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</si>
  <si>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</si>
  <si>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</si>
  <si>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</si>
  <si>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</si>
  <si>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</si>
  <si>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</si>
  <si>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</si>
  <si>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</si>
  <si>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</si>
  <si>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</si>
  <si>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</si>
  <si>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</si>
  <si>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</si>
  <si>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</si>
  <si>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</si>
  <si>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</si>
  <si>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</si>
  <si>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</si>
  <si>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</si>
  <si>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</si>
  <si>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</si>
  <si>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</si>
  <si>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</si>
  <si>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</si>
  <si>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</si>
  <si>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</si>
  <si>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</si>
  <si>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</si>
  <si>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</si>
  <si>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</si>
  <si>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</si>
  <si>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</si>
  <si>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</si>
  <si>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</si>
  <si>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</si>
  <si>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</si>
  <si>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พัฒนาออกแบบบรรจุภัณฑ์ผลิตภัณฑ์แปรรูปทางการเกษตรตามลักษณะบ่งชี้ทางภูมิศาสตร์ จังหวัดสมุทรสงคราม</t>
  </si>
  <si>
    <t>งบประมาณภายใน (รายได้)</t>
  </si>
  <si>
    <t xml:space="preserve">
</t>
  </si>
  <si>
    <t xml:space="preserve">อาจารย์ศุภวรรณ พันธ์เกาะเลิ่ง  96%
</t>
  </si>
  <si>
    <t xml:space="preserve"> คณะเทคโนโลยีอุตสาหกรรม
</t>
  </si>
  <si>
    <t>มหาวิทยาลัยราชภัฏสวนสุนันทา</t>
  </si>
  <si>
    <t>10824/2565</t>
  </si>
  <si>
    <t>อาจารย์ดวงรัตน์ ด่านไทยนำ  1%</t>
  </si>
  <si>
    <t>รองศาสตราจารย์ ดร.นารีนาถ รักสุนทร  1%</t>
  </si>
  <si>
    <t>ผู้ช่วยศาสตราจารย์ ดร. สหภพ กลีบลำเจียก  1%</t>
  </si>
  <si>
    <t>อาจารย์ภาณุพงศ์ จันทน์ผลิน  1%</t>
  </si>
  <si>
    <t xml:space="preserve"> คณะเทคโนโลยีอุตสาหกรรม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</si>
  <si>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</si>
  <si>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 xml:space="preserve">อาจารย์ ดร.ไสว ศิริทองถาวร  20%
</t>
  </si>
  <si>
    <t>10516/2565</t>
  </si>
  <si>
    <t>รองศาสตราจารย์ ดร. สมเกียรติ กอบัวแก้ว  15%</t>
  </si>
  <si>
    <t>รองศาตราจารย์ ดร.ฤดี นิยมรัตน์  10%</t>
  </si>
  <si>
    <t>ผู้ช่วยศาสตราจารย์อรัญ ขวัญปาน  15%</t>
  </si>
  <si>
    <t>ผู้ช่วยศาสตราจารย์ ดร.ศุภโยธิน ณ สงขลา  10%</t>
  </si>
  <si>
    <t>อาจารย์พิชา ศรีพระจันทร์ 10%</t>
  </si>
  <si>
    <t xml:space="preserve"> วิทยาลัยสถาปัตยกรรมศาสตร์
</t>
  </si>
  <si>
    <t>อาจารย์ ดร.รวิ อุตตมธนินทร์ 10%</t>
  </si>
  <si>
    <t>ผู้ช่วยศาสตราจารย์ขวัญเรือน รัศมี  10%</t>
  </si>
  <si>
    <t>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</si>
  <si>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 xml:space="preserve">รองศาสตราจารย์ ดร. สมเกียรติ กอบัวแก้ว  40%
</t>
  </si>
  <si>
    <t>10522/2565</t>
  </si>
  <si>
    <t xml:space="preserve">รองศาตราจารย์ ดร.ฤดี นิยมรัตน์  30%
</t>
  </si>
  <si>
    <t xml:space="preserve">อาจารย์ ดร.ไสว ศิริทองถาวร  20%
</t>
  </si>
  <si>
    <t>อาจารย์พิชา ศรีพระจันทร์  10%</t>
  </si>
  <si>
    <t xml:space="preserve"> วิทยาลัยสถาปัตยกรรมศาสตร์</t>
  </si>
  <si>
    <t>การศึกษาแนวทางการบริหารจัดการขยะเพื่อแปลงให้เป็นพลังงานเชื้อเพลิงและพลังงานไฟฟ้า</t>
  </si>
  <si>
    <t xml:space="preserve">
</t>
  </si>
  <si>
    <t xml:space="preserve">ผู้ช่วยศาตราจารย์ ดร.พรภวิษย์ บุญศรีเมือง  50%
</t>
  </si>
  <si>
    <t>10903/2565</t>
  </si>
  <si>
    <t xml:space="preserve">อาจารย์ณัฐิดา จันหอม  40%
</t>
  </si>
  <si>
    <t>ผู้ช่วยศาสตราจารย์ ดร.อธิสมัย โสพันธ์  5%</t>
  </si>
  <si>
    <t>อาจารย์ทศพร  นาคย้อย 5%</t>
  </si>
  <si>
    <t>การศึกษาการแปรสภาพขยะพลาสติกให้เป็นพลังงานเชื้อเพลิงด้วยกระบวนการไพโรไลซิส</t>
  </si>
  <si>
    <t xml:space="preserve">ผู้ช่วยศาตราจารย์ ดร.พรภวิษย์ บุญศรีเมือง 50%
</t>
  </si>
  <si>
    <t xml:space="preserve"> คณะเทคโนโลยีอุตสาหกรรม
 </t>
  </si>
  <si>
    <t>10921/2565</t>
  </si>
  <si>
    <t xml:space="preserve">คณะเทคโนโลยีอุตสาหกรรม
</t>
  </si>
  <si>
    <t>ผู้ช่วยศาสตราจารย์ ดร.อธิสมัย โสพันธ์  10%</t>
  </si>
  <si>
    <t>การออกแบบสภาพแวดล้อมภายในที่พักนักท่องเที่ยวที่สื่ออัตลักษณ์เชิงพื้นที่ เพื่อการท่องเที่ยวเชิงวัฒนธรรม กรณีศึกษา จังหวัดจันทบุรี</t>
  </si>
  <si>
    <t xml:space="preserve">ผู้ช่วยศาตราจารย์ปรีชญา ครูเกษตร  85%
</t>
  </si>
  <si>
    <t>10502/2565</t>
  </si>
  <si>
    <t>อาจารย์กิตติศักดิ์ เตชะกาญจนกิจ  5%</t>
  </si>
  <si>
    <t xml:space="preserve">อาจารย์ปิยะวรรค์ ปิ่นแก้ว  5%
</t>
  </si>
  <si>
    <t>อาจารย์ศุภโชค สนธิไชย 5%</t>
  </si>
  <si>
    <t>โครงการออกแบบสื่อประชาสัมพันธ์เพื่ออนุรักษ์รูปแบบสถาปัตยกรรมและวัฒนธรรมของชาวไทยทรงดำบ้านหัวเขาจีน จังหวัดราชบุรี</t>
  </si>
  <si>
    <t xml:space="preserve">ผู้ช่วยศาสตราจารย์กันยพัชร์ ธนกุลวุฒิโรจน์  35%
</t>
  </si>
  <si>
    <t>10491/2565</t>
  </si>
  <si>
    <t xml:space="preserve">ผู้ช่วยศาสตราจารย์วินัย หมั่นคติธรรม  10%
</t>
  </si>
  <si>
    <t xml:space="preserve">อาจารย์ดวงใจ ลิ้มศักดิ์ศรี  5%
</t>
  </si>
  <si>
    <t xml:space="preserve">อาจารย์วิสุทธิ์ ศิริพรนพคุณ  45%
</t>
  </si>
  <si>
    <t>อาจารย์นราทัศน์ ประมวลสุข  5%</t>
  </si>
  <si>
    <t>การยกระดับตราสัญลักษณ์และบรรจุภัณฑ์เพื่อส่งเสริมผลิตภัณฑ์กลุ่มธุรกิจสินค้าสปา บนฐานภูมิปัญญาท้องถิ่นและวัฒนธรรมชุมชน จังหวัดระนอง</t>
  </si>
  <si>
    <t>งบประมาณภายใน (แผ่นดิน)</t>
  </si>
  <si>
    <t xml:space="preserve">
</t>
  </si>
  <si>
    <t xml:space="preserve">อาจารย์ ดร.ไกรพ เจริญโสภา  60%
</t>
  </si>
  <si>
    <t>ทุนวิจัยด้านวิทยาศาสตร์ วิจัย และนวัตกรรม (ววน.)</t>
  </si>
  <si>
    <t>งป 11033/2565</t>
  </si>
  <si>
    <t>ผู้ช่วยศาสตราจารย์ ดร.วัฒน์ พลอยศรี  40%</t>
  </si>
  <si>
    <t>การยกระดับตราสัญลักษณ์และบรรจุภัณฑ์เพื่อสร้างมาตรฐานสินค้าสําหรับการท่องเที่ยว Green Travel สู่การเพิ่มขีดความสามารถในการแข่งขันได้อย่างยั่งยืน จังหวัดอุดรธานี</t>
  </si>
  <si>
    <t>อาจารย์ ดร.ไกรพ เจริญโสภา  60%</t>
  </si>
  <si>
    <t>งป 11044/2565</t>
  </si>
  <si>
    <t>การพัฒนาพื้นที่ “วิถีถิ่น วิถีไทย บางคนที Model” ด้วยการนำอัตลักษณ์ด้านวัฒนธรรม ประเพณี และการจัดการทรัพยากรไปสู่สินค้าของฝากของที่ระลึกผ่านการท่องเที่ยวโดยชุมชนในการยกระดับเศรษฐกิจฐานรากแบบมีส่วนร่วมในจังหวัดสมุทรสงคราม</t>
  </si>
  <si>
    <t xml:space="preserve">รองศาสตราจารย์ ดร.วิทยา เมฆขำ  45%
</t>
  </si>
  <si>
    <t>งป 11060/2565</t>
  </si>
  <si>
    <t xml:space="preserve">อาจารย์ ดร.วลีรักษ์ สิทธิสม  5%
</t>
  </si>
  <si>
    <t xml:space="preserve">วิทยาลัยนวัตกรรมและการจัดการ
</t>
  </si>
  <si>
    <t xml:space="preserve">อาจารย์ ดร.ธรรมรักษ์ ศรีมารุต  5%
</t>
  </si>
  <si>
    <t xml:space="preserve">รองศาสตราจารย์ ดร. นิศากร สังวาระนที  5%
</t>
  </si>
  <si>
    <t xml:space="preserve">คณะวิทยาศาสตร์และเทคโนโลยี
</t>
  </si>
  <si>
    <t xml:space="preserve">อาจารย์นภาศรี สุวรรณโชติ  5%
</t>
  </si>
  <si>
    <t xml:space="preserve">คณะมนุษยศาสตร์และสังคมศาสตร์
</t>
  </si>
  <si>
    <t xml:space="preserve">อาจารย์ ดร.ณิชานันทน์ เสริมศรี  5%
</t>
  </si>
  <si>
    <t xml:space="preserve">คณะศิลปกรรมศาสตร์
</t>
  </si>
  <si>
    <t xml:space="preserve">ผู้ช่วยศาตราจารย์นภดล แช่มช้อย 5%
</t>
  </si>
  <si>
    <t xml:space="preserve">อาจารย์ ดร.ศิริเพ็ญ เยี่ยมจรรยา  5%
</t>
  </si>
  <si>
    <t xml:space="preserve">วิทยาลัยการจัดการอุตสาหกรรมบริการ
</t>
  </si>
  <si>
    <t xml:space="preserve">ผู้ช่วยศาสตราจารย์ ดร.ชนมภัทร โตระสะ  5%
</t>
  </si>
  <si>
    <t xml:space="preserve">รองศาสตราจารย์ ดร.ณรงค์ สังวาระนที  5%
</t>
  </si>
  <si>
    <t>อาจารย์อลิสา เมฆขำ  5%</t>
  </si>
  <si>
    <t>คณะมนุษยศาสตร์และสังคมศาสตร์</t>
  </si>
  <si>
    <t>ผู้ช่วยศาสตราจารย์ วีระ โชติธรรมาภรณ์ 5%</t>
  </si>
  <si>
    <t>พัฒนาผลิตภัณฑ์ชุมชนของกลุ่มชาติพันธุ์มอแกน บ้านเกาะเหลา จังหวัดระนอง บนฐานชุมชนวิถีพอเพียง</t>
  </si>
  <si>
    <t xml:space="preserve">รองศาตราจารย์ ดร.ฤดี นิยมรัตน์  50%
</t>
  </si>
  <si>
    <t>งป 11068/2565</t>
  </si>
  <si>
    <t>อาจารย์ดวงรัตน์ ด่านไทยนำ  50%</t>
  </si>
  <si>
    <t>คณะเทคโนโลยีอุตสาหกรรม</t>
  </si>
  <si>
    <t>พัฒนาการผลิตผลิตภัณฑ์กะปิของชุมชนบ้านเกาะเหลา จังหวัดระนอง</t>
  </si>
  <si>
    <t xml:space="preserve">รองศาตราจารย์ ดร.ฤดี นิยมรัตน์  85%
</t>
  </si>
  <si>
    <t>งป 11069/2565</t>
  </si>
  <si>
    <t xml:space="preserve">รองศาสตราจารย์ ดร. สมเกียรติ กอบัวแก้ว  5%
</t>
  </si>
  <si>
    <t xml:space="preserve">อาจารย์ ดร.ไสว ศิริทองถาวร  5%
</t>
  </si>
  <si>
    <t>ผู้ช่วยศาสตราจารย์ ดร. ศุภโยธิน ณ สงขลา 5%</t>
  </si>
  <si>
    <t>การสรางมูลคาเพิ่มดวยอัตลักษณสินคาและการพัฒนากลยุทธการออกแบบสื่อ ประชาสัมพันธเพื่อสงเสริมการตลาดใหกับผลิตภัณฑชุมชนบานเกาะเหลา จังหวัดระนอง</t>
  </si>
  <si>
    <t xml:space="preserve">อาจารย์ดวงรัตน์ ด่านไทยนำ  80%
</t>
  </si>
  <si>
    <t>งป 11070/2565</t>
  </si>
  <si>
    <t xml:space="preserve">รองศาสตราจารย์ ดร. นารีนาถ รักสุนทร  5%
</t>
  </si>
  <si>
    <t xml:space="preserve">ผู้ช่วยศาสตราจารย์จิติมา เสือทอง  5%
</t>
  </si>
  <si>
    <t xml:space="preserve">อาจารย์ ดร.ฟาริดา วิรุฬหผล  5%
</t>
  </si>
  <si>
    <t xml:space="preserve"> คณะศิลปกรรมศาสตร์
</t>
  </si>
  <si>
    <t>ผู้ช่วยศาสตราจารย์ ดร.พิบูล ไวจิตรกรรม  5%</t>
  </si>
  <si>
    <t>คณะศิลปกรรมศาสตร์</t>
  </si>
  <si>
    <t>การจัดการสวนปาล์มน้ำมันและผลิตภัณฑ์เกษตรแบบผสมผสานตามหลักปรัชญาเศรษฐกิจพอเพียงด้วยการผสมผสานเทคโนโลยีเพื่อเพิ่มความได้เปรียบทางการผลิตและการตลาด</t>
  </si>
  <si>
    <t xml:space="preserve">ผู้ช่วยศาสตราจารย์ ดร. ชนมภัทร โตระสะ  50%
</t>
  </si>
  <si>
    <t>งป 11130/2565</t>
  </si>
  <si>
    <t xml:space="preserve">อาจารย์ ดร.เศรษฐกาล โปร่งนุช  10%
</t>
  </si>
  <si>
    <t xml:space="preserve">อาจารย์ณัฐิดา จันหอม  10%
</t>
  </si>
  <si>
    <t xml:space="preserve">อาจารย์ปฏิญญาณ์ แสงอรุณ  10%
</t>
  </si>
  <si>
    <t xml:space="preserve">ผู้ช่ววยศาสตราจารย์ ดร.พิบูล ไวจิตรกรรม  10%
</t>
  </si>
  <si>
    <t>ผู้ช่วยศาสตราจารย์ ดร.กันยพัชร์ ธนกุลวุฒิโรจน์  10%</t>
  </si>
  <si>
    <t>การพัฒนาระบบจัดการนํ้าพลังงานแสงอาทิตย์ภายในสวนปาล์มนํ้ามัน</t>
  </si>
  <si>
    <t xml:space="preserve">ผู้ช่วยศาสตราจารย์ ดร. ชนมภัทร โตระสะ   90%
</t>
  </si>
  <si>
    <t>งป 11131/2565</t>
  </si>
  <si>
    <t>อาจารย์ ดร.ณิชานันทน์ เสริมศรี  10%</t>
  </si>
  <si>
    <t xml:space="preserve"> คณะศิลปกรรมศาสตร์</t>
  </si>
  <si>
    <t>การศึกษาแนวทางวิธีการเดินรถแทรกเตอร์ขนาดเล็กสําหรับตัดหญ้าเพื่อการลดต้นทุน</t>
  </si>
  <si>
    <t>อาจารย์เศรษฐกาล โปร่งนุช</t>
  </si>
  <si>
    <t>งป 11132/2565</t>
  </si>
  <si>
    <t>การวิเคราะห์อายุการเก็บผลิตภัณฑ์อาหารและผลผลิตการเกษตร เพื่อเพิ่มมูลค่าด้วยบรรจุภัณฑ์ศูนย์เรียนรู้การเพิ่มประสิทธิภาพการผลิตสินค้าเกษตรจังหวัด ระนอง</t>
  </si>
  <si>
    <t xml:space="preserve">อาจารย์ปฏิญญาณ์  แสงอรุณ 90%
</t>
  </si>
  <si>
    <t>อาจารย์อภิรักษ์ ธิตินฤมิต 10%</t>
  </si>
  <si>
    <t>นวัตกรรมเตาเผาถ่านไร้ควันและการผลิตถ่านชีวภาพจากเศษวัสดุปาล์มนํ้ามัน</t>
  </si>
  <si>
    <t xml:space="preserve">อาจารย์ณัฐิดา จันหอม  80%
</t>
  </si>
  <si>
    <t>งป 11134/2565</t>
  </si>
  <si>
    <t xml:space="preserve">อาจารย์ ดร.เปี่ยมจันทร์ ดวงมณี  5%
</t>
  </si>
  <si>
    <t xml:space="preserve">อาจารย์พิชา ศรีพระจันทร์  5%
</t>
  </si>
  <si>
    <t xml:space="preserve">วิทยาลัยสถาปัตยกรรมศาสตร์
</t>
  </si>
  <si>
    <t xml:space="preserve">ผู้ช่วยศาสตราจารย์ ดร.ศุภโยธิน ณ สงขลา  5%
</t>
  </si>
  <si>
    <t>ผู้ช่วยศาสตราจารย์ ดร.พรภวิษย์ บุญศรีเมือง  5%</t>
  </si>
  <si>
    <t>การคาดการณ์ผลผลิตปาล์มนํ้ามัน จ.ระนอง</t>
  </si>
  <si>
    <t xml:space="preserve">
</t>
  </si>
  <si>
    <t xml:space="preserve">ผู้ช่วยศาสตราจาร์ ดร. กันยพัชร์ ธนกุลวุฒิโรจน์  50%
</t>
  </si>
  <si>
    <t>งป 11136/2565</t>
  </si>
  <si>
    <t xml:space="preserve">อาจารย์วิสุทธิ์ ศิริพรนพคุณ 5%
</t>
  </si>
  <si>
    <t xml:space="preserve">อาจารย์นราทัศน์ ประมวลสุข  5%
</t>
  </si>
  <si>
    <t xml:space="preserve">ผู้ช่วยศาสตราจารย์วินัย หมั่นคติธรรม  5%
</t>
  </si>
  <si>
    <t xml:space="preserve">ผู้ช่วยศาสตราจารย์มรกต วรชัยรุ่งเรือง  15%
</t>
  </si>
  <si>
    <t xml:space="preserve"> คณะมนุษยศาสตร์และสังคมศาสตร์
</t>
  </si>
  <si>
    <t xml:space="preserve">อาจารย์ณยศ กุลพานิช  5%
</t>
  </si>
  <si>
    <t xml:space="preserve">ผู้ช่วยศาสตราจารย์วีระ โชติธรรมาภรณ์ 2%
</t>
  </si>
  <si>
    <t xml:space="preserve">ผู้ช่วยศาสตราจารย์อพิณญา มุ่งอ้อมกลาง  2%
</t>
  </si>
  <si>
    <t xml:space="preserve">อาจารย์พิชา ศรีพระจันทร์  2%
</t>
  </si>
  <si>
    <t xml:space="preserve">ผู้ช่วยศาสตราจารย์ ดร. ศิริลักษณ์ เกตุฉาย  2%
</t>
  </si>
  <si>
    <t>อาจารย์ศุภวรรณ พันธ์เกาะเลิ่ง  2%</t>
  </si>
  <si>
    <t>กลยุทธ์การออกแบบเพื่อสื่อสารกับผู้บริโภคยุคดิจิตอลสำหรับผลิตภัณฑ์อัตลักษณ์ชุมชน จังหวัดสมุทรสงคราม</t>
  </si>
  <si>
    <t xml:space="preserve">ผู้ช่วยศาสตราจารย์สุภัทรา ลูกรักษ์  90%
</t>
  </si>
  <si>
    <t>10709/2565</t>
  </si>
  <si>
    <t>ผู้ช่วยศาสตราจารย์พิบูล ไวจิตรกรรม  10%</t>
  </si>
  <si>
    <t>การออกแบบกราฟิกด้วยกลไกปัญญาประดิษฐ์เพื่อเพิ่มมูลค่าสินค้าตามแนวคิดเศรษฐกิจสร้างสรรค์ กรณีศึกษา : ของที่ระลึกประเภทสินค้าไลฟ์สไตล์ ตลาดน้ำอัมพวา จังหวัดสมุทรสงคราม</t>
  </si>
  <si>
    <t xml:space="preserve">ผู้ช่วยศาสตราจารย์ขวัญใจ สุขก้อน  35%
</t>
  </si>
  <si>
    <t>10684/2565</t>
  </si>
  <si>
    <t>อาจารย์เศรษฐกาล โปร่งนุช  25%</t>
  </si>
  <si>
    <t>ผู้ช่วยศาสตราจารย์จิติมา เสือทอง  5%</t>
  </si>
  <si>
    <t>ผู้ช่วยศาสตราจารย์สุภัทรา ลูกรักษ์ 5%</t>
  </si>
  <si>
    <t>ผู้ช่วยศาสตราจารย์ปรีชญา ครูเกษตร 5%</t>
  </si>
  <si>
    <t>อาจารย์ปิยะวรรค์ ปิ่นแก้ว  5%</t>
  </si>
  <si>
    <t>อาจารย์ศุภโชค สนธิไชย  5%</t>
  </si>
  <si>
    <t>ผู้ช่วยศาสตราจารย์จิตราวดี รุ่งอินทร์ กันกา  5%</t>
  </si>
  <si>
    <t>อาจารย์อภิรักษ์ ธิตินฤมิต  5%</t>
  </si>
  <si>
    <t>เศรษฐกิจสร้างสรรค์บนฐานงานสถาปัตยกรรมในพื้นที่เขตดุสิต กรุงเทพมหานคร</t>
  </si>
  <si>
    <t xml:space="preserve">อาจารย์เปี่ยมจันทร์ ดวงมณี  70%
</t>
  </si>
  <si>
    <t xml:space="preserve"> คณะเทคโนโลยีอุตสาหกรรม
</t>
  </si>
  <si>
    <t>10842/2565</t>
  </si>
  <si>
    <t>อาจารย์ศิริวรรณ ศักดิ์ศิริฤทัย  10%</t>
  </si>
  <si>
    <t xml:space="preserve"> คณะวิทยาการจัดการ</t>
  </si>
  <si>
    <t>ผู้ช่วยศาสตราจารย์จิตราวดี รุ่งอินทร์ กันกา   10%</t>
  </si>
  <si>
    <t>อาจารย์ธงชัย ทองมา  10%</t>
  </si>
  <si>
    <t>การใช้หลักการบริหารทรัพยากรอาคาร สถานที่ในงานสถาปัตยกรรม เพื่อส่งเสริมเศรษฐกิจสร้างสรรค์ ในพื้นที่เขตดุสิต กรุงเทพมหานคร</t>
  </si>
  <si>
    <t>อาจารย์เปี่ยมจันทร์ ดวงมณี</t>
  </si>
  <si>
    <t>10853/2565</t>
  </si>
  <si>
    <t>การจัดการด้านความปลอดภัยในการทำงาน : กรณีศึกษา กระบวนการผลิตน้ำตาลมะพร้าว</t>
  </si>
  <si>
    <t>ผู้ช่วยศาสตราจารย์อรัญ ขวัญปาน  35%</t>
  </si>
  <si>
    <t>10605/2565</t>
  </si>
  <si>
    <t>ผู้ช่วยศาสตราจารย์รุจิพรรณ แฝงจันดา  20%</t>
  </si>
  <si>
    <t>ผู้ช่วยศาสตราจารย์ณัฐพร อารีรัชชกุล  15%</t>
  </si>
  <si>
    <t>อาจารย์ธรรมรักษ์ ศรีมารุต  15%</t>
  </si>
  <si>
    <t>อาจารย์เศรษฐกาล โปร่งนุช  15%</t>
  </si>
  <si>
    <t>การศึกษาเปรียบเทียบมูลค่าทางเศรษฐกิจของการแปรสภาพขยะให้เป็นพลังงานไฟฟ้ากับการใช้ประโยชน์ทุกมิติ</t>
  </si>
  <si>
    <t xml:space="preserve">ผู้ช่วยศาสตราจารย์อธิสมัย โสพันธ์ 70%
</t>
  </si>
  <si>
    <t>10946/2565</t>
  </si>
  <si>
    <t>อาจารย์ณรงค์ ณรงค์รัตน์ 15%</t>
  </si>
  <si>
    <t>อาจารย์ณัฐิดา จันหอม  15%</t>
  </si>
  <si>
    <t>สร้างสื่อประชาสัมพันธ์อาคารพื้นถิ่นลาวเวียง ตำบลบ้านเลือก อำเภอโพธาราม จังหวัดราชบุรี</t>
  </si>
  <si>
    <t>อาจารย์ดวงใจ ลิ้มศักดิ์ศรี  80%</t>
  </si>
  <si>
    <t>10510/2565</t>
  </si>
  <si>
    <t>ผู้ช่วยศาสตราจาร์ ดร.กันยพัชร์ ธนกุลวุฒิโรจน์  5%</t>
  </si>
  <si>
    <t>ผู้ช่วยศาสตราจารย์วินัย หมั่นคติธรรม  5%</t>
  </si>
  <si>
    <t>อาจารย์วิสุทธิ์ ศิริพรนพคุณ  5%</t>
  </si>
  <si>
    <t>การจัดการทรัพยากรกายภาพอาคาร รพ.สต.คลองโยง 2  เพื่อรองรับการจัดตั้งศูนย์การเรียนรู้การออกแบบและพัฒนาอัตลักษณ์ผลิตภัณฑ์ชุมชนคลองโยง.จังหวัดนครปฐม</t>
  </si>
  <si>
    <t xml:space="preserve">ผู้ช่วยศาสตราจารย์จิตราวดี รุ่งอินทร์ กันกา  70%
</t>
  </si>
  <si>
    <t>10530/2565</t>
  </si>
  <si>
    <t>อาจารย์ธงชัย ทองมา   20%</t>
  </si>
  <si>
    <t>อาจารย์พิชา ศรีพระจันทร์  5%</t>
  </si>
  <si>
    <t>วิทยาลัยสถาปัตยกรรมศาสตร์</t>
  </si>
  <si>
    <t>อาจารย์เปี่ยมจันทร์ ดวงมณี  5%</t>
  </si>
  <si>
    <t>โครงการออกแบบของที่ระลึกเซรามิกโดยใช้เปลือกหอยแมลงภู่เป็นวัตถุดิบสำหรับมูลนิธิฟื้นฟูทรัพยากร ทะเลสยาม</t>
  </si>
  <si>
    <t>ผู้ช่วยศาสตราจารย์สุรพันธุ์ รัตนาวะดี 60%</t>
  </si>
  <si>
    <t>10900/2565</t>
  </si>
  <si>
    <t>รองศาสตราจารย์ ดร.จง บุญประชา 20%</t>
  </si>
  <si>
    <t>อาจารย์จิรวุฒิ ด้วงอินทร์ 20%</t>
  </si>
  <si>
    <t>โครงการเสนอแนะการออกแบบตกแต่งภายในศูนย์บำบัดสุขภาพด้วยวิธี ธรรมชาติจากเกลือ จ.สมุทรสงคราม</t>
  </si>
  <si>
    <t xml:space="preserve">อาจารย์ปิยะวรรค์ ปิ่นแก้ว70%
</t>
  </si>
  <si>
    <t>10920/2565</t>
  </si>
  <si>
    <t>อาจารย์ศุภโชค สนธิไชย 10%</t>
  </si>
  <si>
    <t>ผู้ช่วยศาสตราจารย์ปรีชญา ครูเกษตร 10%</t>
  </si>
  <si>
    <t>อาจารย์กิตติศักดิ์ เตชะกาญจนกิจ  10%</t>
  </si>
  <si>
    <t>ระบบปลูกผักไฮโดรโปนิกส์แนวตั้งควบคุมผ่านสมาร์ทโฟน</t>
  </si>
  <si>
    <t xml:space="preserve">อาจารย์อภิรักษ์ ธิตินฤมิต  50%
</t>
  </si>
  <si>
    <t>10493/2565</t>
  </si>
  <si>
    <t>ผู้ช่วยศาสตราจารย์ชนมภัทร โตระสะ  40%</t>
  </si>
  <si>
    <t>อาจารย์ณิชานันทน์ เสริมศรี 5%</t>
  </si>
  <si>
    <t>อาจารย์กฤษกร อินต๊ะวิชัย  5%</t>
  </si>
  <si>
    <t>กลยุทธ์การออกแบบสื่อประชาสัมพันธ์และมัลติมีเดีย เพื่อเพิ่มช่องทางการจัด จำหน่ายสินค้าแปรรูปทางการเกษตรของศูนย์การเรียนรู้การเพิ่มประสิทธิภาพการผลิตสินค้า การเกษตร จ.ระนอง</t>
  </si>
  <si>
    <t xml:space="preserve">ผู้ช่วยศาสตราจารย์พิบูล ไวจิตรกรรม 60%
</t>
  </si>
  <si>
    <t>ทุนวิจัยด้านวิทยาศาสตร์ วิจัยและนวัตกรรม (ววน.)</t>
  </si>
  <si>
    <t>งป 11135/2565</t>
  </si>
  <si>
    <t>ผู้ช่วยศาสตราจารย์ขวัญใจ สุขก้อน  10%</t>
  </si>
  <si>
    <t>อาจารย์ดวงรัตน์ ด่านไทยนำ  10%</t>
  </si>
  <si>
    <t>ผู้ช่วยศาสตราจารย์จิติมา เสือทอง  10%</t>
  </si>
  <si>
    <t>ผู้ช่วยศาสตราจารย์สุภัทรา ลูกรักษ์  10%</t>
  </si>
  <si>
    <t>หมึกพิมพ์ออฟเซตฐานน้ำมันเมล็ดดอกทานตะวัน</t>
  </si>
  <si>
    <t>อาจารย์ ดร.ไกรพ เจริญโสภา60%</t>
  </si>
  <si>
    <t>11003/2565</t>
  </si>
  <si>
    <t>ผู้ช่วยศาสตราจารย์ ดร.วัฒน์ พลอยศรี 40%</t>
  </si>
  <si>
    <t>ศึกษาและออกแบบสื่อประชาสัมพันธ์รูปแบบสถาปัตยกรรมบ้านมอญโบราณ อำเภอโพธาราม จังหวัดราชบุรี</t>
  </si>
  <si>
    <t>อาจารย์ ดวงใจ ลิ้มศักดิ์ศรี 80%</t>
  </si>
  <si>
    <t>10513/2565</t>
  </si>
  <si>
    <t>ผู้ช่วยศาสตราจารย์ ดร.กันยพัชร์ ธนกุลวุฒิโรจน์ 5%</t>
  </si>
  <si>
    <t>อาจารย์ นราทัศน์ ประมวลสุข 5%</t>
  </si>
  <si>
    <t>ผู้ช่วยศาสตราจารย์ วินัย หมั่นคติธรรม 5%</t>
  </si>
  <si>
    <t>อาจารย์ วิสุทธิ์ ศิริพรนพคุณ 5%</t>
  </si>
  <si>
    <t>การพัฒนาระบบตรวจสอบความผิดปกติของตัวอักษรบนงานที่พิมพ์ด้วยการประมวลผลภาพแบบอัตโนมัติ</t>
  </si>
  <si>
    <t>บริษัททีเอ็ม เมนเทนแนนซ์ เทรดดิ้ง จำกัด</t>
  </si>
  <si>
    <t>อาจารย์ทศพล นาคย้อย</t>
  </si>
  <si>
    <t>28 กุมภาพันธ์ 2565</t>
  </si>
  <si>
    <t xml:space="preserve">โครงการจ้างที่ปรึกษาโครงการวิจัยการศึกษาคุณภาพชีวิตและประสบการณ์ของนักศึกษามหาวิทยาลัยศิลปากร พ.ศ. 2564 </t>
  </si>
  <si>
    <t>มหาวิทยาลัยศิลปากร</t>
  </si>
  <si>
    <t>อาจารย์ ดร.ธงชัย ทองมา  50%</t>
  </si>
  <si>
    <t>สวพ.1-2565</t>
  </si>
  <si>
    <t>ผู้ช่วยศาสตราจารย์สุรพันธุ์ รัตนาวะดี  25%</t>
  </si>
  <si>
    <t>ผู้ช่วยศาสตราจารย์จิตราวดี รุ่งอินทร์ กันกา  25%</t>
  </si>
  <si>
    <t>ตู้ต้นแบบขนาดเล็กสำหรับดูแลต้นสตรอว์เบอร์รีควบคุมผ่านเว็บแอปพลิเคชัน</t>
  </si>
  <si>
    <t>อาจารย์ ดร.รวิ อุตตมธนินทร์ 50%</t>
  </si>
  <si>
    <t>10786/2565</t>
  </si>
  <si>
    <t>อาจารย์ ดร.เศรษฐกาล โปร่งนุช 10%</t>
  </si>
  <si>
    <t>ผู้ช่วยศาสตราจารย์ ขวัญเรือน รัศมี 10%</t>
  </si>
  <si>
    <t>อาจารย์ วรณัน วรมงคล 10%</t>
  </si>
  <si>
    <t>ผู้ช่วยศาสตราจารย์ จิตราวดี รุ่งอินทร์ กันกา 10%</t>
  </si>
  <si>
    <t>ผู้ช่วยศาสตราจารย์ ดร.พรภวิษย์ บุญศรีเมือง 10%</t>
  </si>
  <si>
    <t>นวัตกรรมการพัฒนาผลิตภัณฑ์แปรรูปเพื่อสร้างมูลค่าเพิ่มแผ่นวุ้นมะพร้าวที่ไม่ได้มาตรฐานจากกระบวนการผลิตด้วยภูมิปัญญาท้องถิ่น</t>
  </si>
  <si>
    <t>หน่วยบริหารและจัดการทุนด้านการเพิ่มความสามารถในการแข่งขันของประเทศ (บพข.)</t>
  </si>
  <si>
    <t>ภาครัฐ</t>
  </si>
  <si>
    <t xml:space="preserve">รองศาสตราจารย์ ดร.วิทยา เมฆขำ 20%
</t>
  </si>
  <si>
    <t>C10F650092</t>
  </si>
  <si>
    <t>ดร.วลีรักษ์ สิทธิสม 10%</t>
  </si>
  <si>
    <t>วิทยาลัยนวัตกรรมและการจัดการ</t>
  </si>
  <si>
    <t>ผู้ช่วยศาสตราจารย์ ดร.รินรดา พัฒนใหญ่ยิ่ง 10%</t>
  </si>
  <si>
    <t>คณะวิทยาศาสตร์และเทคโนโลยี</t>
  </si>
  <si>
    <t>ผู้ช่วยศาสตราจารย์ ดร. โสพิศ สว่างจิตร 10%</t>
  </si>
  <si>
    <t>อาจารย์อลิสา เมฆขำ 10%</t>
  </si>
  <si>
    <t xml:space="preserve">ผู้ช่วยศาสตราจารย์ ดร.ชนมภัทร โตระสะ 10%
</t>
  </si>
  <si>
    <t>ดร.ธรรมรักษ์ ศรีมารุต 10%</t>
  </si>
  <si>
    <t>ผู้ช่วยศาสตราจารย์ ดร.วิลาสินี จินตลิขิตดี 10%</t>
  </si>
  <si>
    <t>วิทยาลัยการเมืองและการปกครอง</t>
  </si>
  <si>
    <t>รองศาสตราจารย์ ดร.ชัยศรี ธาราสวัสดิ์พิพัฒน์ 5%</t>
  </si>
  <si>
    <t>อาจารย์นภาศรี สุวรรณโชติ 5%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</si>
  <si>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</si>
  <si>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>ผู้ช่วยศาสตราจารย์ ดร.สุมาลี เทียนทองดี</t>
  </si>
  <si>
    <t xml:space="preserve"> คณะครุศาสตร์</t>
  </si>
  <si>
    <t>10607/2565</t>
  </si>
  <si>
    <t>Development of Presentation Skills for 4-Year English Majors by Using Task-Based Instruction</t>
  </si>
  <si>
    <t>อาจารย์ ABIGAIL MELAD ESSIEN</t>
  </si>
  <si>
    <t>11021/2565</t>
  </si>
  <si>
    <t>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</si>
  <si>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 xml:space="preserve">ผู้ช่วยศาสตราจารย์กรกมล ชูช่วย  80%
</t>
  </si>
  <si>
    <t xml:space="preserve"> คณะครุศาสตร์
</t>
  </si>
  <si>
    <t>10865/2565</t>
  </si>
  <si>
    <t>อาจารย์ ดร.สุดารัตน์ ศรีมา  20%</t>
  </si>
  <si>
    <t>รูปแบบการจัดการเรียนรู้แบบไฮบริดที่เสริมสร้างสมรรถนะด้านการพัฒนาสื่อนวัตกรรมการเรียนรู้ของนักศึกษาวิชาชีพครู</t>
  </si>
  <si>
    <t>ผู้ช่วยศาสตราจารย์ ดร.ทับทิมทอง กอบัวแก้ว  80%.</t>
  </si>
  <si>
    <t>10579/2565</t>
  </si>
  <si>
    <t>รองศาสตราจาร์ ดร. สมเกียรติ กอบัวแก้ว  20%</t>
  </si>
  <si>
    <t>การส่งเสริมสมรรถนะการสร้างนวัตกรรมการเรียนรู้ภาษาอังกฤษของนักศึกษาโดยใช้รูปแบบการเรียนรู้แบบไฮบริดกับการโค้ชแบบเพื่อนช่วยเพื่อน</t>
  </si>
  <si>
    <t>อาจารย์ธีราภรณ์ พลายเล็ก</t>
  </si>
  <si>
    <t>10615/2565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</si>
  <si>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</si>
  <si>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รองศาสตราจารย์ ดร.นันทิยา น้อยจันทร์</t>
  </si>
  <si>
    <t>10780/2565</t>
  </si>
  <si>
    <t>ถอดบทเรียนกระบวนการกลายเป็นครูมืออาชีพระดับการศึกษาขั้นพื้นฐาน</t>
  </si>
  <si>
    <t xml:space="preserve">ผู้ช่วยศาสตราจารย์ ดร.บุญฤดี อุดมผล  60%
</t>
  </si>
  <si>
    <t>11013/2565</t>
  </si>
  <si>
    <t xml:space="preserve">ผู้ช่วยศาสตราจารย์ ดร.สมหมาย ปวะบุตร  10%
</t>
  </si>
  <si>
    <t xml:space="preserve">ผู้ช่วยศาสตราจารย์สงกรานณ์ ขุนทิพย์ทอง 10%
</t>
  </si>
  <si>
    <t xml:space="preserve">อาจารย์มาลัย ประดับศรี  10%
</t>
  </si>
  <si>
    <t>อาจารย์เอกภพ อินทรภู่  10%</t>
  </si>
  <si>
    <t>การพัฒนาสมรรถนะวิจัยของนักศึกษาครูสาขาวิชาการศึกษาปฐมวัย ด้วยกระบวนการโค้ชซึ่งกันและกัน</t>
  </si>
  <si>
    <t xml:space="preserve">ผู้ช่วยศาสตราจารย์สิริมณี บรรจง  60%
</t>
  </si>
  <si>
    <t>11016/2565</t>
  </si>
  <si>
    <t xml:space="preserve">อาจารย์ณัฐกา สุทธิธนกูล  20%
</t>
  </si>
  <si>
    <t>อาจารย์พัชราภรณ์ พิลาสมบัติ  20%</t>
  </si>
  <si>
    <t>การพัฒนาสมรรถนะการเขียนของนักศึกษาชั้นปีที่1 สาขาวิชาภาษาไทย โดยใช้แนวคิดการฝึกทางปัญญาจากต้นแบบร่วมกับการให้ข้อมูลย้อนกลับแบบ 360 องศา</t>
  </si>
  <si>
    <t xml:space="preserve">อาจารย์สิริอร จุลทรัพย์ แก้วมรกฎ  80%
</t>
  </si>
  <si>
    <t>11007/2565</t>
  </si>
  <si>
    <t xml:space="preserve">อาจารย์เสาวลักษณ์ แซ่ลี้  10%
</t>
  </si>
  <si>
    <t>อาจารย์อาทิมา พงศ์ไพบูลย์  10%</t>
  </si>
  <si>
    <t xml:space="preserve"> คณะมนุษยศาสตร์และสังคมศาสตร์</t>
  </si>
  <si>
    <t>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</si>
  <si>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 xml:space="preserve">ผู้ช่วยศาสตราจารย์สุพันธ์วดี ไวยรูป  80%
</t>
  </si>
  <si>
    <t>10697/2565</t>
  </si>
  <si>
    <t>ผู้ช่วยศาสตราจารย์ ภาวิณี โฆมานะสิน  20%</t>
  </si>
  <si>
    <t>การพัฒนาแบบทดสอบเชิงสถานการณ์เพื่อวัดสมรรถนะการให้คำปรึกษาวัยรุ่นของนักศึกษาฝึกประสบการณ์ทางวิชาชีพครู</t>
  </si>
  <si>
    <t>อาจารย์เพียงฤทัย พุฒิคุณเกษม</t>
  </si>
  <si>
    <t>11019/2565</t>
  </si>
  <si>
    <t>การประเมินความต้องการจำเป็นในการพัฒนาสมรรถนะการเขียนเพื่อการสื่อสารของนักศึกษาชั้นปีที่ 1 สาขาวิชาภาษาไทย</t>
  </si>
  <si>
    <t xml:space="preserve">อาจารย์ธิดาดาว เดชศรี  60%
</t>
  </si>
  <si>
    <t>11014/2565</t>
  </si>
  <si>
    <t>ผู้ช่วยศาสตราจารย์ ดร.วิภาวรรณ เอกวรรณัง  40%</t>
  </si>
  <si>
    <t>การพัฒนาศักยภาพของนักศึกษาครูในการสร้างสรรค์ผลงานโดยใช้รูปแบบการเรียนรู้เชิงผลิตภาพและกระบวนการพัฒนาสติปัญญาของบลูมสู่การเป็นครูมืออาชีพแห่งศตวรรษที่ 21</t>
  </si>
  <si>
    <t xml:space="preserve">ผู้ช่วยศาสตราจารย์ ดร.สุทธิพงศ์ บุญผดุง  50%
</t>
  </si>
  <si>
    <t>10566/2565</t>
  </si>
  <si>
    <t>อาจารย์พิณทิพา สืบแสง   50%</t>
  </si>
  <si>
    <t>การพัฒนาความสามารถของนักศึกษาครูในการสร้างสรรค์งานเขียนภาษาอังกฤษโดยใช้รูปแบบการเรียนรู้เชิงผลิตภาพร่วมกับกระบวนการพัฒนาสติปัญญาของบลูม</t>
  </si>
  <si>
    <t>อาจารย์พิณทิพา สืบแสง</t>
  </si>
  <si>
    <t>10568/2565</t>
  </si>
  <si>
    <t>การพัฒนาหลักสูตรเสริมสร้างสมรรถนะการให้คำปรึกษาวัยรุ่นสำหรับนักศึกษาฝึกประสบการณ์วิชาชีพครู</t>
  </si>
  <si>
    <t xml:space="preserve">อาจารย์สุทธิพร แท่นทอง  40%
</t>
  </si>
  <si>
    <t xml:space="preserve"> คณะครุศาสตร์
 </t>
  </si>
  <si>
    <t>11018/2565</t>
  </si>
  <si>
    <t xml:space="preserve">อาจารย์ธีรารัตน์ ทิพย์จรัสเมธา  20%
</t>
  </si>
  <si>
    <t xml:space="preserve">อาจารย์กุลทราภรณ์ สุพงษ์  20%
</t>
  </si>
  <si>
    <t>อาจารย์เพียงฤทัย พุฒิคุณเกษม  20%</t>
  </si>
  <si>
    <t>การพัฒนาสมรรถนะการให้คำปรึกษาวัยรุ่นของนักศึกษาฝึกประสบการณ์วิชาชีพครูโดยใช้โปรแกรมฝึกอบรมแบบผสมผสานตามแนวคิดการเรียนรู้เพื่อการเปลี่ยนแปลง</t>
  </si>
  <si>
    <t>11009/2565</t>
  </si>
  <si>
    <t>การพัฒนารูปแบบการสอนการเขียนโดยใช้แนวคิดการฝึกทางปัญญาจากต้นแบบร่วมกับการให้ข้อมูลย้อนกลับแบบ 360 องศา สำหรับนักศึกษาสาขาวิชาภาษาไทย</t>
  </si>
  <si>
    <t xml:space="preserve">อาจารย์สุมนา เขียนนิล  50%
</t>
  </si>
  <si>
    <t>11015/2565</t>
  </si>
  <si>
    <t>ผู้ช่วยศาสตราจารย์ ดร.ทัศนีย์ เศรษฐพงษ์  50%</t>
  </si>
  <si>
    <t>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</si>
  <si>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 xml:space="preserve">ผู้ช่วยศาสตราจารย์ ดร.เจษฎา ราษฎร์นิยม  70%
</t>
  </si>
  <si>
    <t>10535/2565</t>
  </si>
  <si>
    <t>ผู้ช่วยศาสตราจารย์ ดร.กรกมล ชูช่วย  30%</t>
  </si>
  <si>
    <t>ผลการใช้เทคนิคการตั้งคำถามร่วมกับการให้ข้อมูลย้อนกลับในการจัดการเรียนรู้แบบออนไลน์ที่มีต่อผลสัมฤทธิ์ทางการเรียนวิชาคณิตศาสตร์ของนักศึกษาชั้นปีที่ 1 สาขาวิชาคณิตศาสตร์ คณะครุศาสตร์ มหาวิทยาลัยราชภัฏกลุ่มรัตนโกสินทร์</t>
  </si>
  <si>
    <t xml:space="preserve">ผู้ช่วยศาสตราจารย์ธนวัฒน์ ศรีศิริวัฒน์  80%
</t>
  </si>
  <si>
    <t>10722/2565</t>
  </si>
  <si>
    <t xml:space="preserve">รองศาสตราจารย์ ดร. สมเกียรติ กอบัวแก้ว  10%
</t>
  </si>
  <si>
    <t>ผู้ช่วยศาสตราจารย์ปุณยพล จันทร์ฝอย  10%</t>
  </si>
  <si>
    <t>การพัฒนารูปแบบการเรียนรู้แบบปลั๊กอินไฮบริดเพื่อส่งเสริมความรู้ด้านการใช้ภาษาอังกฤษในงานวิชาการสำหรับนักศึกษาครู</t>
  </si>
  <si>
    <t>อาจารย์ธรรศนันต์ อุนนะนันทน์</t>
  </si>
  <si>
    <t>10608/2565</t>
  </si>
  <si>
    <t>การศึกษาผลการจัดการเรียนรู้แบบออนไลน์ของนักศึกษาสาขาวิชาคณิตศาสตร์ชั้นปีที่ 1 คณะครุศาสตร์ มหาวิทยาลัยราชภัฏสวนสุนันทา</t>
  </si>
  <si>
    <t xml:space="preserve">ผู้ช่วยศาสตราจารย์ปุณยพล จันทร์ฝอย   80%
</t>
  </si>
  <si>
    <t>10597/2565</t>
  </si>
  <si>
    <t xml:space="preserve">อาจารย์ ดร.สุรนนท์ เย็นศิริ  10%
</t>
  </si>
  <si>
    <t>ผู้ช่วยศาสตราจารย์ธนวัฒน์ ศรีศิริวัฒน์  10%</t>
  </si>
  <si>
    <t>การพัฒนารูปแบบการจัดการเรียนรู้แบบไฮบริดโดยการใช้การจัดนิทรรศการเสมือนจริงสำหรับนักศึกษาสาขาเทคโนโลยีดิจิทัล มหาวิทยาลัยราชภัฏสวนสุนันทา</t>
  </si>
  <si>
    <t>อาจารย์ ดร.ศิลป์ชัย พูลคล้าย</t>
  </si>
  <si>
    <t>10590/2565</t>
  </si>
  <si>
    <t>การพัฒนาความสามารถในการสร้างสรรค์งานวิจัยของนักศึกษาครู โดยใช้รูปแบบการเรียนรู้เชิงผลิตภาพร่วมกับกระบวนการพัฒนาสติปัญญาของบลูม</t>
  </si>
  <si>
    <t>ผู้ช่วยศาสตราจารย์ ดร.สุทธิพงศ์ บุญผดุง</t>
  </si>
  <si>
    <t>10567/2565</t>
  </si>
  <si>
    <t>การใช้รูปแบบการเรียนรู้แบบไฮบริดปลั๊กอิน ในยุควิถีใหม่ของการเรียนรู้</t>
  </si>
  <si>
    <t xml:space="preserve">อาจารย์ชัยวัฒน์ จิวพานิชย์  80%
</t>
  </si>
  <si>
    <t>10585/2565</t>
  </si>
  <si>
    <t>ผู้ช่วยศาสตราจารย์เสถียร จันทร์ปลา  10%</t>
  </si>
  <si>
    <t>อาจารย์บุตรศิรินทร์ จิวพานิชย์ 10%</t>
  </si>
  <si>
    <t xml:space="preserve"> โรงเรียนประถมสาธิต</t>
  </si>
  <si>
    <t>ผลการพัฒนาทักษะการจัดกิจกรรมทางคณิตศาสตร์แบบออนไลน์ โดยใช้วิจัยเป็นฐาน ของนักศึกษาครูคณิตศาสตร์ คณะครุศาสตร์ มหาวิทยาลัยราชภัฏสวนสุนันทา</t>
  </si>
  <si>
    <t>อาจารย์ช่อเอื้อง อุทิตะสาร</t>
  </si>
  <si>
    <t>10723/2565</t>
  </si>
  <si>
    <t>การพัฒนาสมรรถนะการสร้างนวัตกรรมเพื่อส่งเสริมคุณธรรมจริยธรรมของนักศึกษาครู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</si>
  <si>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ผู้ช่วยศาสตราจารย์กรรณิการ์ ภิรมย์รัตน์</t>
  </si>
  <si>
    <t>10677/2565</t>
  </si>
  <si>
    <t>การพัฒนาเครื่องมือประเมินสมรรถนะการสร้างนวัตกรรมเพื่อส่งเสริมคุณธรรมจริยธรรมของนักศึกษาครู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</si>
  <si>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10693/2565</t>
  </si>
  <si>
    <t>การสร้างเกมประกอบการสอนเพื่อส่งเสริมคุณธรรม จริยธรรมของนักศึกษาครูสาขาวิชาสังคมศึกษา คณะครุศาสตร์ มหาวิทยาลัยราชภัฏสวนสุนันทา  โดยใช้การจัดการเรียนรู้แบบโครงงานเป็นฐาน</t>
  </si>
  <si>
    <t>อาจารย์วีรพจน์ รัตนวาร</t>
  </si>
  <si>
    <t>10730/2565</t>
  </si>
  <si>
    <t>การพัฒนาทักษะการเรียนรู้แห่งศตวรรษที่ 21 โดยการจัดการเรียนรู้แบบ Active learning โรงเรียนขนาดเล็ก</t>
  </si>
  <si>
    <t xml:space="preserve">อาจารย์สุดารัตน์ ศรีมา  80%
</t>
  </si>
  <si>
    <t>10875/2565</t>
  </si>
  <si>
    <t>ผู้ช่วยศาสตราจารย์กรกมล ชูช่วย  20%</t>
  </si>
  <si>
    <t>การพัฒนาสมรรถนะวิจัยของนักศึกษาครู สาขาวิชาการศึกษาปฐมวัย คณะครุศาสตร์    มหาวิทยาลัยราชภัฎสวนสุนันทา</t>
  </si>
  <si>
    <t>อาจารย์ดวงกมล จงเจริญ</t>
  </si>
  <si>
    <t>11008/2565</t>
  </si>
  <si>
    <t>การพัฒนาสมรรถนะวิจัยของนักศึกษาครู สาขาวิชาการศึกษาปฐมวัย ผ่านกระบวนการสืบสอบแบบร่วมมือ</t>
  </si>
  <si>
    <t xml:space="preserve">อาจารย์ดวงกมล จงเจริญ  60%
</t>
  </si>
  <si>
    <t>11017/2565</t>
  </si>
  <si>
    <t>อาจารย์ธิติกาญจน์ ฐิติโสภณศักดิ์  20%</t>
  </si>
  <si>
    <t>อาจารย์ดิษิรา ผางสง่า  20%</t>
  </si>
  <si>
    <t>การพัฒนาสมรรถนะนักศึกษาครูสาขาวิชาภาษาอังกฤษโดยใช้การสอนแบบเน้นภาระงาน</t>
  </si>
  <si>
    <t>อาจารย์วิภาดา ประสารทรัพย์</t>
  </si>
  <si>
    <t>11010/2565</t>
  </si>
  <si>
    <t>การศึกษากลวิธีสอนที่ส่งผลต่อสมรรถนะของนักศึกษาครุศาสตรบัณฑิต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</si>
  <si>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 xml:space="preserve">	ผู้ช่วยศาสตราจารย์ตีรวิชช์ ทินประภา 50%</t>
  </si>
  <si>
    <t>11023/2565</t>
  </si>
  <si>
    <t>อาจารย์ ดร.สุรนนท์ เย็นศิริ 50%</t>
  </si>
  <si>
    <t>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ดาราศาสตร์และอวกาศของนักเรียนชั้นมัธยมศึกษาปีที่3 โรงเรียนกุศลศึกษา</t>
  </si>
  <si>
    <t>อาจารย์ ดร.ธัชชา ศุกระจันทร์ 70%</t>
  </si>
  <si>
    <t>10641/2565</t>
  </si>
  <si>
    <t>อาจารย์ ดร.พันทิพา พงศ์สัมพันธ์ 30%</t>
  </si>
  <si>
    <t>การพัฒนาความสามารถในการอ่านบทความวิจัยภาษาอังกฤษของนักศึกษาครูสาขาวิชาภาษาอังกฤษโดยใช้วิธีสอนแบบเน้นภาระงาน</t>
  </si>
  <si>
    <t>ผู้ช่วยศาสตราจารย์ ดร.วิภาดา ประสารทรัพย์ 100%</t>
  </si>
  <si>
    <t>11020/2565</t>
  </si>
  <si>
    <t>การประเมินสมรรถนะของนักศึกษาคณะครุศาสตร์ ตามหลักสูตรครุศาสตรบัณฑิต สาขาวิชาคณิตศาสตร์ (หลักสูตรปรับปรุง พ.ศ.2562)</t>
  </si>
  <si>
    <t>ผู้ช่วยศาสตราจารย์ตีรวิชช์ ทินประภา 100%</t>
  </si>
  <si>
    <t>11011/2565</t>
  </si>
  <si>
    <t>การประเมินสมรรถนะของนักศึกษาครุศาสตรบัณฑิต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</si>
  <si>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>ผู้ช่วยศาสตราจารย์ ดร.ธนัชยศ จำปาหวาย 50%</t>
  </si>
  <si>
    <t>11022/2565</t>
  </si>
  <si>
    <t>อาจารย์ช่อเอื้อง อุทิตะสาร 50%</t>
  </si>
  <si>
    <t>การพัฒนารูปแบบการเรียนการสอนตามแนวคิดการเรียนรู้ทางอารมณ์และสังคมและการสอนแบบผู้เรียนเป็นหุ้นส่วนร่วมเรียนรู้เพื่อเสริมสร้างความสามารถทางอารมณ์และสังคมของนักศึกษาครู สาขาวิชาการศึกษาปฐมวัย</t>
  </si>
  <si>
    <t>อาจารย์ธิติกาญจน์ ฐิติโสภณศักดิ์ 100%</t>
  </si>
  <si>
    <t>10994/2565</t>
  </si>
  <si>
    <t>แผนงานวิจัยและพัฒนาโปรแกรมเสริมสร้างความเป็นมืออาชีพของครูมือใหม่: ระยะพัฒนา</t>
  </si>
  <si>
    <t>รองศาสตราจารย์ ดร.สุชีรา มะหิเมือง</t>
  </si>
  <si>
    <t>11006/2565</t>
  </si>
  <si>
    <t>การศึกษาความต้องการจำเป็นของครูมือใหม่ด้านการเสริมสร้างความเป็นครูมืออาชีพ</t>
  </si>
  <si>
    <t>รศ.ดร.สุชีรา มะหิเมือง 70%</t>
  </si>
  <si>
    <t>11012/2565</t>
  </si>
  <si>
    <t>ผู้ช่วยศาสตราจารย์ ดร.วิภาวรรณ เอกวรรณัง 10%</t>
  </si>
  <si>
    <t>อาจารย์ ภาณุวัฒน์ ศิวะสกุลราช 10%</t>
  </si>
  <si>
    <t>อาจารย์ กลัญญู เพชราภรณ์ 10%</t>
  </si>
  <si>
    <t>รายการคำศัพท์ที่มีความถี่สูงสุดในข้อสอบโทอิค</t>
  </si>
  <si>
    <t xml:space="preserve">อาจารย์ ดร.อังค์วรา เหลืองนภา 90%
</t>
  </si>
  <si>
    <t>10695/2565</t>
  </si>
  <si>
    <t>อาจารย์ปทิตตา อัคราธนกุล  5%</t>
  </si>
  <si>
    <t>หลักไวยากรณ์ภาษาอังกฤษที่พบบ่อยในข้อสอบโทอิค</t>
  </si>
  <si>
    <t xml:space="preserve">อาจารย์จินต์จิรา บุญชูตระกูล  70%
</t>
  </si>
  <si>
    <t>10806/2565</t>
  </si>
  <si>
    <t xml:space="preserve">ผู้ช่วยศาสตราจารย์ ดร.สุวรีย์ ยอดฉิม  10%
</t>
  </si>
  <si>
    <t xml:space="preserve">ผู้ช่วยศาสตราจารย์อนันตชัย เอกะ  10%
</t>
  </si>
  <si>
    <t>ผู้ช่วยศาสตราจารย์ ดร.สุณัฐา กรุดทอง  10%</t>
  </si>
  <si>
    <t>การวิเคราะห์ความหมายและการใช้คำศัพท์สำหรับการสอบวัดระดับภาษาจีนเพื่อพัฒนาหนังสืออิเล็กทรอนิกส์ (E-book)</t>
  </si>
  <si>
    <t>อาจารย์ ดร.ชนิชา คิดประเสริฐ 60%</t>
  </si>
  <si>
    <t>10654/2565</t>
  </si>
  <si>
    <t>อาจารย์กัณฑริกา จึงสง่าสม 40%</t>
  </si>
  <si>
    <t>การวิเคราะห์ความหมายและการใช้คำคล้ายในภาษาจีนเพื่อพัฒนาหนังสืออิเล็กทรอนิกส์ (E-book)</t>
  </si>
  <si>
    <t>10663/2565</t>
  </si>
  <si>
    <t>กวีนิพนธ์การเมือง : การศึกษากลวิธีทางวรรณศิลป์กับแนวคิดทางการเมืองในมติชนสุดสัปดาห์ออนไลน์ช่วง พ.ศ. 2557-2564</t>
  </si>
  <si>
    <t>อาจารย์นพวรรณ งามรุ่งโรจน์</t>
  </si>
  <si>
    <t>10701/2565</t>
  </si>
  <si>
    <t>การศึกษาคำยืมที่ปรากฏในการสื่อสารข้ามวัฒนธรรม</t>
  </si>
  <si>
    <t xml:space="preserve">อาจารย์นันท์นลิน อินเสมียน 40%
</t>
  </si>
  <si>
    <t>10678/2565</t>
  </si>
  <si>
    <t>อาจารย์อังคณา สุขวิเศษ 20%</t>
  </si>
  <si>
    <t>อาจารย์กัญชลิกา ตรีกลางดอน 20%</t>
  </si>
  <si>
    <t>อาจารย์ Guillaume Paul, Napoleon 10%</t>
  </si>
  <si>
    <t>อาจารย์ James E.Harris 10%</t>
  </si>
  <si>
    <t>ประสิทธิผลของการสอนด้วยคลังข้อมูลภาษาเพื่อการเตรียมสอบโทอิค</t>
  </si>
  <si>
    <t xml:space="preserve">ผู้ช่วยศาสตราจารย์ ดร.สุวรีย์ ยอดฉิม 20%
</t>
  </si>
  <si>
    <t>10698/2565</t>
  </si>
  <si>
    <t>อาจารย์ ดร.อังค์วรา เหลืองนภา 15%</t>
  </si>
  <si>
    <t>อาจารย์จินต์จิรา บุญชูตระกูล 15%</t>
  </si>
  <si>
    <t>อาจารย์ปทิตตา อัคราธนกุล 50%</t>
  </si>
  <si>
    <t>การศึกษาภาษาอังกฤษในบริบทวัฒนธรรมไทย</t>
  </si>
  <si>
    <t>อาจารย์อังคณา สุขวิเศษ 100%</t>
  </si>
  <si>
    <t>10609/2565</t>
  </si>
  <si>
    <t>การศึกษาสภาพปัญหาและความต้องการของกลุ่มเกษตรกรรม กลุ่มบ้านโฉนด ชุมชนคลองโยง - ลานตากฟ้า อ.นครชัยศรี จ.นครปฐม เพื่อการพัฒนาอย่างยั่งยืน</t>
  </si>
  <si>
    <t>อาจารย์ ดร.อาริยา ภู่ระหงษ์ 50%</t>
  </si>
  <si>
    <t>10735/2565</t>
  </si>
  <si>
    <t>อาจารย์ ดร.วาสนา สุรีย์เดชะกุล 25%</t>
  </si>
  <si>
    <t>อาจารย์ศศิธร เจตานนท์ 25%</t>
  </si>
  <si>
    <t xml:space="preserve"> วิทยาลัยการจัดการอุตสาหกรรมบริการ</t>
  </si>
  <si>
    <t>โครงการวิจัยเพื่อพัฒนาทักษะทางด้านภาษาญี่ปุ่นผ่านการประยุกต์ใช้การสอนออนไลน์เต็มรูปแบบสำหรับผู้เรียนภาษาญี่ปุ่นเป็นวิชาเอก</t>
  </si>
  <si>
    <t>อาจารย์คชาภัช หลิมเจริญ 70%</t>
  </si>
  <si>
    <t>10497/2565</t>
  </si>
  <si>
    <t>ผู้ช่วยศาสตราจารย์ ดร.เปรมวดี ณ นครพนม 30%</t>
  </si>
  <si>
    <t>ปัจจัยที่ส่งผลกระทบต่อความสามารถการเรียนไวยากรณ์ภาษาญี่ปุ่นผ่านการเรียนการสอนรูปแบบออนไลน์</t>
  </si>
  <si>
    <t>อาจารย์ไพลิน กลิ่นเกษร 100%</t>
  </si>
  <si>
    <t>10578/2565</t>
  </si>
  <si>
    <t>การศึกษาคำประสมภาษาอังกฤษทางวัฒนธรรมประเพณีไทย</t>
  </si>
  <si>
    <t>ผู้ช่วยศาสตราจารย์วิชุดา ขุนหนู 20%</t>
  </si>
  <si>
    <t>10715/2565</t>
  </si>
  <si>
    <t>อาจารย์นิธิวดี โฆสรัสวดี 20%</t>
  </si>
  <si>
    <t>ผู้ช่วยศาสตราจารย์ดนยา ด่านสวัสดิ์ 20%</t>
  </si>
  <si>
    <t>ผู้ช่วยศาสตราจารย์จันทิมา หวังสมโชค 20%</t>
  </si>
  <si>
    <t>อาจารย์พัชราพรรณ ภูบุญศรี 20%</t>
  </si>
  <si>
    <t>ปัจจัยที่ส่งผลกระทบต่อความสามารถในการแปลภาษาญี่ปุ่นผ่านการเรียนการสอนรูปแบบออนไลน์</t>
  </si>
  <si>
    <t>11177/2565</t>
  </si>
  <si>
    <t>อาจารย์วิรุตม์ อินทร์ชูรันต์ 30%</t>
  </si>
  <si>
    <t>ปัจจัยแห่งความสำเร็จของยุทธศาสตร์การพัฒนาองค์กรปกครองส่วนท้องถิ่น</t>
  </si>
  <si>
    <t>ผู้ช่วยศาสตราจารย์ ดร.มารดารัตน์ สุขสง่า 65%</t>
  </si>
  <si>
    <t xml:space="preserve"> วิทยาลัยการเมืองและการปกครอง</t>
  </si>
  <si>
    <t>10480/2565</t>
  </si>
  <si>
    <t>อาจารย์ ดร.ขันทอง ใจดี 5%</t>
  </si>
  <si>
    <t>อาจารย์สันต์ชัย รัตนะขวัญ 5%</t>
  </si>
  <si>
    <t>อาจารย์ศรัณย์ จิระพงษ์สุวรรณ 5%</t>
  </si>
  <si>
    <t>อาจารย์กฤษณ์ วงศ์วิเศษธร 5%</t>
  </si>
  <si>
    <t>ผู้ช่วยศาสตราจารย์ ดร.ณัฐพล ใจจริง 5%</t>
  </si>
  <si>
    <t>อาจารย์หัชชากร วงศ์สายัณห์ 5%</t>
  </si>
  <si>
    <t>อาจารย์อัยรวี วีระพันธ์พงศ์ 5%</t>
  </si>
  <si>
    <t>โครงการวิจัยเพื่อหันเหผู้กระทำผิดออกจากกระบวนการบุติธรรม:แนวทางการลดปริมาณคดีอาญาของกระบวนการยุติธรรม : บทบาทของยุติธรรมชุมชน</t>
  </si>
  <si>
    <t>สำนักงานกิจการยุติธรรม</t>
  </si>
  <si>
    <t>อาจารย์ ดร.นัดดาภา จิตต์แจ้ง</t>
  </si>
  <si>
    <t>สัญญา 5-2565</t>
  </si>
  <si>
    <t>ภาพแทนสังคมและการเมืองไทยในกวีนิพนธ์ร่วมสมัยของไทย ปี พ.ศ. 2557-2564</t>
  </si>
  <si>
    <t xml:space="preserve">อาจารย์วรุณญา อัจฉริยบดี </t>
  </si>
  <si>
    <t>10623/2565</t>
  </si>
  <si>
    <t>ภาพแทนสังคมและการเมืองไทยในกวีนิพนธ์ในวรรณกรรมรางวัลพานแว่นฟ้า ตั้งแต่ปี พ.ศ.2557-2564</t>
  </si>
  <si>
    <t>อาจารย์วรุณญา อัจฉริยบดี</t>
  </si>
  <si>
    <t>10660/2565</t>
  </si>
  <si>
    <t>แนวทางในการพัฒนาความยั่งยืนของเกษตรกรรมในกลุ่มบ้านโฉนดชุมชนคลองโยง-ลานตากฟ้า กรณีศึกษา โรงสีชุมชนวิสาหกิจชุมชนบ้านโฉนดชุมชนคลองโยง-ลานตากฟ้า ตำบลลานตากฟ้า อำเภอนครชัยศรี จังหวัดนครปฐม</t>
  </si>
  <si>
    <t>อาจารย์ ดร.วาสนา สุรีย์เดชะกุล 50%</t>
  </si>
  <si>
    <t>10748/2565</t>
  </si>
  <si>
    <t>ผู้ช่วยศาสตราจารย์ ดร.ชินวัฒน์ ศาสนนันทน์ 20%</t>
  </si>
  <si>
    <t>อาจารย์ ดร.อาริยา ภู่ระหงษ์ 20%</t>
  </si>
  <si>
    <t>อาจารย์ ดร.สุจิตรา ริมดุสิต 10%</t>
  </si>
  <si>
    <t>วิทยาลัยการจัดการอุตสาหกรรมบริการ</t>
  </si>
  <si>
    <t>การวิเคราะห์ความหมายและการใช้สุภาษิตสำนวนจีนเพื่อพัฒนาหนังสืออิเล็กทรอนิกส์ (E-Book)</t>
  </si>
  <si>
    <t>อาจารย์ ว่าที่ ร.ต. ดร.เกรียงไกร กองเส็ง</t>
  </si>
  <si>
    <t>10633/2565</t>
  </si>
  <si>
    <t>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</si>
  <si>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 90%</t>
  </si>
  <si>
    <t>10763/2565</t>
  </si>
  <si>
    <t>อาจารย์ ดร.ศิริมาลย์ วัฒนา 10%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</si>
  <si>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</si>
  <si>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อาจารย์ ดร.ศิริมาลย์ วัฒนา 30%</t>
  </si>
  <si>
    <t>10716/2565</t>
  </si>
  <si>
    <t>ผู้ช่วยศาสตราจารย์อนันตชัย เอกะ 40%</t>
  </si>
  <si>
    <t>อาจารย์ ดร.สุวรรณฤทธิ์ วงศ์ชะอุ่ม 30%</t>
  </si>
  <si>
    <t>การพัฒนาผลิตภัณฑ์ทางวัฒนธรรมสร้างสรรค์จากงานช่างฝีมือหัวโขน วัดใหม่ผดุงเขต</t>
  </si>
  <si>
    <t>อาจารย์ ดร.ศิริมาลย์ วัฒนา 40%</t>
  </si>
  <si>
    <t>10749/2565</t>
  </si>
  <si>
    <t>ผู้ช่วยศาสตราจารย์อนันตชัย เอกะ 50%</t>
  </si>
  <si>
    <t>อาจารย์ ดร.สุวรรณฤทธิ์ วงศ์ชะอุ่ม 10%</t>
  </si>
  <si>
    <t>สองทศวรรษแห่งการเปลี่ยนแปลงการใช้ประโยชน์ที่ดิน  บริเวณเกาะช้าง จังหวัดตราด ประเทศไทย</t>
  </si>
  <si>
    <t>อาจารย์คธาวุฒิ ไวยสุศรี</t>
  </si>
  <si>
    <t>10496/2565</t>
  </si>
  <si>
    <t>การเรียนรู้ของเครื่องเพื่อติดตามภัยแล้งทางการเกษตรในจังหวัดนครราชสีมาโดยใช้ข้อมูลการสำรวจระยะไกล</t>
  </si>
  <si>
    <t>ผู้ช่วยศาสตราจารย์มรกต วรชัยรุ่งเรือง 80%</t>
  </si>
  <si>
    <t>10544/2565</t>
  </si>
  <si>
    <t>อาจารย์พรสมิทธิ์ ฉายสมิทธิกุล 5%</t>
  </si>
  <si>
    <t>อาจารย์ณยศ กุลพานิช 5%</t>
  </si>
  <si>
    <t>อาจารย์พรเพิ่ม แซ่โง้ว 5%</t>
  </si>
  <si>
    <t>อาจารย์คธาวุฒิ ไวยสุศรี 5%</t>
  </si>
  <si>
    <t>การสร้างสรรค์นวัตกรรมการแข่งขันผ่านเกมและอีสปอร์ต เพื่อส่งเสริมกีฬาอีสปอร์ตไทยสู่สากล ภายใต้แนวคิด University eSports Championship</t>
  </si>
  <si>
    <t>ผู้ช่วยศาสตราจาร์ ดร.สุวรีย์ ยอดฉิม</t>
  </si>
  <si>
    <t>งป 11048/2565</t>
  </si>
  <si>
    <t>กลยุทธ์การสื่อสารภาษาอังกฤษและการศึกษาอุปสงค์ทางการตลาด เพื่อส่งเสริมการแข่งขันเกมและกีฬาอีสปอร์ตระดับสากล</t>
  </si>
  <si>
    <t>ผู้ช่วยศาสตราจารย์ ดร.สุวรีย์ ยอดฉิม</t>
  </si>
  <si>
    <t>งป 11049/2565</t>
  </si>
  <si>
    <t>การพัฒนาเศรษฐกิจฐานรากบนวิถีความหลากหลายของทุนทางปัญญาเพื่อยกระดับผลิตผลชุมชนเมืองเชิงคุณค่าสู่การสร้างมูลค่าของผลิตภัณฑ์อัตลักษณ์ดุสิตแบรนด์</t>
  </si>
  <si>
    <t>ผู้ช่วยศาสตราจารย์ ดร.ภูสิทธ์ ภูคำชะโนด 55%</t>
  </si>
  <si>
    <t>งป 11086/2565</t>
  </si>
  <si>
    <t>ผู้ช่วยศาสตราจารย์ ว่าที่ ร.ต.เพ็ญนภา ปาละปิน 15%</t>
  </si>
  <si>
    <t>ผู้ช่วยศาสตราจารย์ ดร.สุมิตรา นวลมีศรี 15%</t>
  </si>
  <si>
    <t>อาจารย์ พท.ป.วรรณี พรมด้าว 15%</t>
  </si>
  <si>
    <t xml:space="preserve"> วิทยาลัยสหเวชศาสตร์</t>
  </si>
  <si>
    <t>การมีส่วนร่วมของผู้นําชุมชนเมืองในการออกแบบผลิตผลจากความหลากหลายของทุนทางปัญญาทุนมนุษย์เพื่อสร้างศักยภาพการพึ่งตนบนวิถีพอเพียง</t>
  </si>
  <si>
    <t>ผู้ช่วยศาสตราจารย์ ดร.ภูสิทธ์ ภูคำชะโนด</t>
  </si>
  <si>
    <t>งป 11087/2565</t>
  </si>
  <si>
    <t>การยกระดับสมรรถนะผู้ประกอบการในสร้างมนต์เสน่ห์ทางวัฒนธรรมของผลิตภัณฑ์ชุมชนเมืองเพื่อสร้างมูลค่าเพิ่มเป็นสินค้าดุสิตแบรนด์</t>
  </si>
  <si>
    <t>ผู้ช่วยศาสตราจารย์ ว่าที่ ร.ต.เพ็ญนภา ปาละปิน 85%</t>
  </si>
  <si>
    <t>งป 11089/2565</t>
  </si>
  <si>
    <t>ผู้ช่วยศาสตราจารย์ ดร.ภูสิทธ์ ภูคำชะโนด 5%</t>
  </si>
  <si>
    <t>อาจารย์ไพลิน กลิ่นเกษร 5%</t>
  </si>
  <si>
    <t>อาจารย์ภาชญา เชี่ยวชาญ 5%</t>
  </si>
  <si>
    <t>A Study on Estimating Land Value Distribution for the Talingchan District, Bangkok Using Points-of-Interest Data and Machine Learning Classiﬁcation</t>
  </si>
  <si>
    <t>ผู้ช่วยศาสตราจารย์ มรกต วรชัยรุ่งเรือง 90%</t>
  </si>
  <si>
    <t>11201/2565</t>
  </si>
  <si>
    <t>ผู้ช่วยศาสตราจารย์ ดร.กันยพัชร์ ธนกุลวุฒิโรจน์ 10%</t>
  </si>
  <si>
    <t>การถ่ายทอดองค์ความรู้และเทคโนโลยีเพื่อพัฒนาศักยภาพด้านการปลูกข้าวด้วยระบบภูมิสารสนเทศ (Geo-informatics)สู่กลุ่มเกษตรกรผู้ปลูกข้าวในจังหวัดนครปฐม</t>
  </si>
  <si>
    <t>สำนักงานการวิจัยแห่งชาติ</t>
  </si>
  <si>
    <t>อาจารย์ณยศ กุลพานิช 50%</t>
  </si>
  <si>
    <t>N71B650084</t>
  </si>
  <si>
    <t>ผู้ช่วยศาสตราจารย์ มรกต วรชัยรุ่งเรือง 20%</t>
  </si>
  <si>
    <t>ผู้ช่วยศาสตราจารย์ ดร.กันยพัชร์ ธนกุลวุฒิโรจน์  20%</t>
  </si>
  <si>
    <t>ผู้ช่วยศาสตราจารย์ ดร.วลัยพร ผ่อนผัน  10%</t>
  </si>
  <si>
    <t>การจำแนกพันธุ์ไม้ป่าชายเลนโดยใช้ภาพถ่ายดาวเทียม Sentinel 2 ด้วยชุดการเรียนรู้ของเครื่อง กรณีศึกษา อำเภออัมพวา จังหวัดสมุทรสงคราม</t>
  </si>
  <si>
    <t>ผู้ช่วยศาสตราจารย์ มรกต วรชัยรุ่งเรือง 80%</t>
  </si>
  <si>
    <t>10545/2565</t>
  </si>
  <si>
    <t>อาจารย์ พรสมิทธิ์ ฉายสมิทธิกุล 5%</t>
  </si>
  <si>
    <t>อาจารย์ พรเพิ่ม แซ่โง้ว 5%</t>
  </si>
  <si>
    <t>อาจารย์ ณยศ กุลพานิช 5%</t>
  </si>
  <si>
    <t>อาจารย์ คธาวุฒิ ไวยสุศรี 5%</t>
  </si>
  <si>
    <t>Spatial Evolution of Coastal Tourist City Using the Dyna-CLUE Model in Koh Chang of Thailand during 1990–2050</t>
  </si>
  <si>
    <t>อาจารย์ คธาวุฒิ ไวยสุศรี</t>
  </si>
  <si>
    <t>25,000.00</t>
  </si>
  <si>
    <t>11580/2565</t>
  </si>
  <si>
    <t>การออกแบบนวัตกรรมอาชีพสำหรับผู้สูงอายุในชุมชนวัดประชาระบือธรรม เขตดุสิต กรุงเทพมหานคร</t>
  </si>
  <si>
    <t>มหาวิทยาลัยราชภัฏลำปาง</t>
  </si>
  <si>
    <t>รองศาสตราจารย์ ดร.ภูสิทธ์ ภูคำชะโนด  20%</t>
  </si>
  <si>
    <t>สัญญาเลขที่ 65C085</t>
  </si>
  <si>
    <t>ผู้ช่วยศาสตราจารย์ ว่าที่ ร.ต. หญิงเพ็ญนภา ปาละปิน  10%</t>
  </si>
  <si>
    <t>อาจารย์ พท.ป.วรรณี พรมด้าว  10%</t>
  </si>
  <si>
    <t>วิทยาลัยสหเวชศาสตร์</t>
  </si>
  <si>
    <t>ผู้ช่วยศาสตราจารย์ ดร.สุมิตรา นวลมีศรี   10%</t>
  </si>
  <si>
    <t>ผู้ช่วยศาสตราจารย์ ดร.นัทนิชา โชติพิทยานนท์  10%</t>
  </si>
  <si>
    <t>อาจารย์ ดร.ศิริมาลย์ วัฒนา  10%</t>
  </si>
  <si>
    <t>อาจารย์นิธิวดี โฆสรัสวดี  10%</t>
  </si>
  <si>
    <t>อาจารย์จีรนันท์ แสงศรีจันทร์  10%</t>
  </si>
  <si>
    <t>อาจารย์พิพัฒน์ ศักดิ์ศิริเกษมกุล  10%</t>
  </si>
  <si>
    <t>กลยุทธ์ในการจำหน่ายผลิตภัณฑ์เสริมอาหารเพื่อสุขภาพของผู้บริโภคในเขตกรุงเทพมหานคร</t>
  </si>
  <si>
    <t>อาจารย์ ดร.วิทยา อินทรพิมล 75%</t>
  </si>
  <si>
    <t>10757/2565</t>
  </si>
  <si>
    <t>ผู้ช่วยศาสตราจารย์กวินพัฒน์ เลิศพงษ์มณี 5%</t>
  </si>
  <si>
    <t>อาจารย์พรรณรังสี อินทร์พยุง 5%</t>
  </si>
  <si>
    <t>อาจารย์ชัชรินทร์ ศาสตร์เสริม 5%</t>
  </si>
  <si>
    <t>อาจารย์สุภาภรณ์ วิมลชัยฤกษ์ 5%</t>
  </si>
  <si>
    <t>วิทยาลัยนิเทศศาสตร์</t>
  </si>
  <si>
    <t xml:space="preserve">	ผู้ช่วยศาสตราจารย์อาภาภรณ์ โพธิ์กระจ่าง 5%</t>
  </si>
  <si>
    <t xml:space="preserve"> วิทยาลัยนวัตกรรมและการจัดการ</t>
  </si>
  <si>
    <t>พฤติกรรมการบริโภคผลิตภัณฑ์เสริมอาหารของผู้บริโภคในเขตกรุงเทพมหานคร</t>
  </si>
  <si>
    <t>ผู้ช่วยศาสตราจารย์ ดร.อัญชนา สุขสมจิตร 5%</t>
  </si>
  <si>
    <t>10706/2565</t>
  </si>
  <si>
    <t>อาจารย์ ดร.อโนชา โรจนพานิช 5%</t>
  </si>
  <si>
    <t>อาจารย์ ดร.วิทยา อินทรพิมล 70%</t>
  </si>
  <si>
    <t>อาจารย์เปรมใจ เอื้อจิตร์ 5%</t>
  </si>
  <si>
    <t>การพัฒนารูปแบบการจัดกิจกรรมนันทนาการสำหรับผู้สูงอายุในเขตดุสิต  กรุงเทพมหานคร</t>
  </si>
  <si>
    <t>ผู้ช่วยศาสตราจารย์ ดร.มนันยา มีนคร 30%</t>
  </si>
  <si>
    <t>10592/2565</t>
  </si>
  <si>
    <t>อาจารย์ ดร.ยุทธภูมิ ธนากิจบริสุทธิ์ 5%</t>
  </si>
  <si>
    <t>อาจารย์ ดร.ขวัญชล หัสโยธิน 5%</t>
  </si>
  <si>
    <t>อาจารย์ณรงค์ อนุรักษ์ 5%</t>
  </si>
  <si>
    <t>ผู้ช่วยศาสตราจารย์ ดร.จันทร์เพ็ญ มีนคร 50%</t>
  </si>
  <si>
    <t>อาจารย์อรรณพ ปานพวง 5%</t>
  </si>
  <si>
    <t>ปัจจัยที่มีผลต่อการตัดสินใจซื้อผลิตภัณฑ์เสริมอาหารเพื่อสุขภาพของผู้บริโภคในเขตกรุงเทพมหานคร</t>
  </si>
  <si>
    <t>อาจารย์พรรณรังสี อินทร์พยุง 70%</t>
  </si>
  <si>
    <t>10798/2565</t>
  </si>
  <si>
    <t>อาจารย์ขจีรัตน์ พุ่มพฤกษ์ 5%</t>
  </si>
  <si>
    <t>อาจารย์เทพ เหมือนฟู 5%</t>
  </si>
  <si>
    <t>อาจารย์ ดร.ณัฐณิชา กลีบบัวบาน 5%</t>
  </si>
  <si>
    <t>ผู้ช่วยศาสตราจารย์อาภาภรณ์ โพธิ์กระจ่าง 5%</t>
  </si>
  <si>
    <t>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</si>
  <si>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อาจารย์รัศมี รัตนอุบล 60%</t>
  </si>
  <si>
    <t>10712/2565</t>
  </si>
  <si>
    <t>อาจารย์กนกวรรณ แก้วประเสริฐ 5%</t>
  </si>
  <si>
    <t>อาจารย์ ดร.กฤษณะ เชื้อชัยนาท 5%</t>
  </si>
  <si>
    <t>อาจารย์ประภัสรา วจีทองรัตนา 5%</t>
  </si>
  <si>
    <t>ผู้ช่วยศาสตราจารย์ ดร.ชารวี บุตรบำรุง 5%</t>
  </si>
  <si>
    <t>อาจารย์ส่งเสริม วจีทองรัตนา 5%</t>
  </si>
  <si>
    <t>ผู้ช่วยศาสตราจารย์ ดร.สมศักดิ์ คล้ายสังข์ 5%</t>
  </si>
  <si>
    <t xml:space="preserve">	ผู้ช่วยศาสตราจารย์ชุติมา คล้ายสังข์ 5%</t>
  </si>
  <si>
    <t>การจัดทำบัญชีและการจัดการความรู้ด้านการบัญชีภายใต้ความปกติใหม่ของวิสาหกิจชุมชนในกรุงเทพมหานคร</t>
  </si>
  <si>
    <t>อาจารย์รุ่งลักษมี รอดขำ 15%</t>
  </si>
  <si>
    <t>10604/2565</t>
  </si>
  <si>
    <t xml:space="preserve">	ผู้ช่วยศาสตราจารย์ลัดดา หิรัญยวา 55%</t>
  </si>
  <si>
    <t xml:space="preserve">	รองศาสตราจารย์อรุณรุ่ง วงศ์กังวาน 5%</t>
  </si>
  <si>
    <t xml:space="preserve">	ผู้ช่วยศาสตราจารย์ปราณี ตรีทศกุล 5%</t>
  </si>
  <si>
    <t xml:space="preserve">	อาจารย์ ดร.อโนชา โรจนพานิช 5%</t>
  </si>
  <si>
    <t>อาจารย์ ดร.หุดา วงษ์ยิ้ม 5%</t>
  </si>
  <si>
    <t>อาจารย์ ดร.สุภาพ อัครปทุมวงศ์ 5%</t>
  </si>
  <si>
    <t>รองศาสตราจารย์ ดร.กฤษฎา สังขมณี 5%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</si>
  <si>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</si>
  <si>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อาจารย์กนกวรรณ แก้วประเสริฐ</t>
  </si>
  <si>
    <t>10682/2565</t>
  </si>
  <si>
    <t>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</si>
  <si>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</si>
  <si>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อิทธิพลของดิจิตัลดิสรัปชั่นที่มีต่อการจัดการการเงินของประชากรวัยทำงาน เขตดุสิต กรุงเทพมหานคร</t>
  </si>
  <si>
    <t>ผู้ช่วยศาสตราจารย์ ดร.ชารวี บุตรบำรุง 80%</t>
  </si>
  <si>
    <t>10531/2565</t>
  </si>
  <si>
    <t>ผู้ช่วยศาสตราจารย์ ดร.สุพัตรา กาญจโนภาส 5%</t>
  </si>
  <si>
    <t>อาจารย์รัศมี รัตนอุบล 5%</t>
  </si>
  <si>
    <t>ศักยภาพการแข่งขันและการปรับตัวภายใต้ความปกติใหม่ของวิสาหกิจชุมชน ในกรุงเทพมหานคร</t>
  </si>
  <si>
    <t>รองศาสตราจารย์ ดร.วนิดา สุวรรณนิพนธ์ 60%</t>
  </si>
  <si>
    <t>10569/2565</t>
  </si>
  <si>
    <t>ผู้ช่วยศาสตราจารย์ ดร.ณัฐพงษ์ เตชะรัตนเสฏฐ์ 10%</t>
  </si>
  <si>
    <t>รองศาสตราจารย์ ดร.บัณฑิต ผังนิรันดร์ 10%</t>
  </si>
  <si>
    <t xml:space="preserve">	รองศาสตราจารย์อรุณรุ่ง วงศ์กังวาน 10%</t>
  </si>
  <si>
    <t>อาจารย์ ว่าที่ ร.ต. หญิงบุญญาดา พาหาสิงห์ 10%</t>
  </si>
  <si>
    <t>การจัดการการเงินและส่วนประสมทางการตลาดที่ส่งผลต่อความตั้งใจใช้กระเป๋าเงินอิเล็กทรอนิกส์: กรณีประชากรวัยทำงาน เขตดุสิต กรุงเทพมหานคร</t>
  </si>
  <si>
    <t>ผู้ช่วยศาสตราจารย์ ดร.สุพัตรา กาญจโนภาส 90%</t>
  </si>
  <si>
    <t>10721/2565</t>
  </si>
  <si>
    <t>ผู้ช่วยศาสตราจารย์ ดร.ชารวี บุตรบำรุง 10%</t>
  </si>
  <si>
    <t>ปัจจัยที่ส่งผลต่อความพึงพอใจในการใช้กระเป๋าเงินอิเล็กทรอนิกส์ของผู้บริโภควัยทำงาน ในเขตดุสิต กรุงเทพมหานคร</t>
  </si>
  <si>
    <t>ผู้ช่วยศาสตราจารย์ ดร.สุพัตรา กาญจโนภาส 70%</t>
  </si>
  <si>
    <t>10739/2565</t>
  </si>
  <si>
    <t>ผู้ช่วยศาสตราจารย์ ดร.สมศักดิ์ คล้ายสังข์ 10%</t>
  </si>
  <si>
    <t>ผู้ช่วยศาสตราจารย์ชุติมา คล้ายสังข์ 10%</t>
  </si>
  <si>
    <t>การสร้างเส้นทางการท่องเที่ยว กิจกรรมการท่องเที่ยว และการเล่าเรื่องราวทางประวัติศาสตร์ที่น่าสนใจของบ้านเชียงและคาชะโนด จังหวัดอุดรธานี</t>
  </si>
  <si>
    <t>รองศาสตราจารย์ ดร.บัณฑิต ผังนิรันดร์ 50%</t>
  </si>
  <si>
    <t>งป 11127/2565</t>
  </si>
  <si>
    <t>อาจารย์ ดร.ชญานันท์ เกิดพิทักษ์ 10%</t>
  </si>
  <si>
    <t>อาจารย์ธีรพงศ์ พงษ์เพ็ง 10%</t>
  </si>
  <si>
    <t>อาจารย์ ดร.นภัสสร เกิดพิทักษ์ 10%</t>
  </si>
  <si>
    <t>อาจารย์ ดร.นธายุ วันทยะกุล 10%</t>
  </si>
  <si>
    <t>อาจารย์โสภาวรรณ ตรีสุวรรณ์ 5%</t>
  </si>
  <si>
    <t>อาจารย์ ดร.นรินทร์ ยืนทน 5%</t>
  </si>
  <si>
    <t>การพัฒนาทุนมนุษย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</si>
  <si>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>อาจารย์สุวิตา พฤกษอาภรณ์ 80%</t>
  </si>
  <si>
    <t>คณะวิทยาการจัดการ</t>
  </si>
  <si>
    <t>งป 11159/2565</t>
  </si>
  <si>
    <t>อาจารย์ ดร.พนิดา นิลอรุณ 5%</t>
  </si>
  <si>
    <t>อาจารย์รติรัตน์ ณ สงขลา 5%</t>
  </si>
  <si>
    <t>ผู้ช่วยศาสตราจารย์ ดร.ชลภัสสรณ์ สิทธิวรงค์ชัย 5%</t>
  </si>
  <si>
    <t>อาจารย์ ดร.ธวัชชัย สู่เพื่อน 5%</t>
  </si>
  <si>
    <t>โครงการการพัฒนาเทคโนโลยีแบบชีวิตวิถีใหม่ (New Normal Lifestyle) สำหรับผู้ประกอบการท่องเที่ยวในจังหวัดสมุทรสงคราม เพื่อการแก้ไขวิกฤตสถานการณ์ COVID19 ในระยะสั้นและระยะยาว</t>
  </si>
  <si>
    <t>สำนักงานสภานโยบายการอุดมศึกษา วิทยาศาสตร์ วิจัยและนวัตกรรมแห่งชาติ(หน่วยบริหารและจัดการทุนด้านการพัฒนากำลังคน และทุนด้านการพัฒนาสถาบันอุดมศึกษาการวิจัยและการสร้างนวัตกรรม)</t>
  </si>
  <si>
    <t>ผู้ช่วยศาสตราจารย์ ดร.พิสิษฐ์ พจนจารุวิทย์ 80%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</si>
  <si>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</si>
  <si>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B17F640165</t>
  </si>
  <si>
    <t>ผู้ช่วยศาสตราจารย์ ดร. พิจิตรา จอมศรี 10%</t>
  </si>
  <si>
    <t>ดร.วัฒนา พันธุ์พืช 10%</t>
  </si>
  <si>
    <t>ศักยภาพการแข่งขันด้วยนวัตกรรมการตลาดดิจิทัลภายใต้ความปกติใหม่ของวิสาหกิจชุมชน ในกรุงเทพมหานคร</t>
  </si>
  <si>
    <t>ผู้ช่วยศาสตราจารย์ ดร.ณัฐพงษ์ เตชะรัตนเสฏฐ์ 60%</t>
  </si>
  <si>
    <t>10732/2565</t>
  </si>
  <si>
    <t>รองศาสตราจารย์ ดร.วนิดา สุวรรณนิพนธ์ 10%</t>
  </si>
  <si>
    <t>รองศาสตราจารย์อรุณรุ่ง วงศ์กังวาน 10%</t>
  </si>
  <si>
    <t>ผู้ช่วยศาสตราจารย์ปราณี ตรีทศกุล 10%</t>
  </si>
  <si>
    <t>การเพิ่มมูลค่าสินค้าน้ำตาลมะพร้าวด้วยการตลาดสมัยใหม่และแพลตฟอร์มอีคอมเมิร์ซ (E-Commerce) เพื่อพัฒนาศักยภาพเศรษฐกิจชุมชนจังหวัดสมุทรสงคราม</t>
  </si>
  <si>
    <t>อาจารย์พิชามณต์ ชาญสุไชย 80%</t>
  </si>
  <si>
    <t>10724/2565</t>
  </si>
  <si>
    <t>ผู้ช่วยศาสตราจารย์สัคพัศ แสงฉาย 20%</t>
  </si>
  <si>
    <t>แนวทางการส่งเสริมการประกอบอาชีพของกลุ่มเรือนำเที่ยวทะเลบัวแดงในสถานการณ์การแพร่ระบาดของโรคติดเชื้อไวรัสโคโรนา 2019 (COVID - 19)</t>
  </si>
  <si>
    <t>รองศาสตราจารย์ ดร. ธนสุวิทย์ ทับหิรัญรักษ์ 10%</t>
  </si>
  <si>
    <t>10818/2565</t>
  </si>
  <si>
    <t>ผู้ช่วยศาสตราจารย์ ดร.สิทธิชัย ธรรมเสน่ห์ 10%</t>
  </si>
  <si>
    <t>อาจารย์ ดร.อดุลย์ ทานาราช 10%</t>
  </si>
  <si>
    <t xml:space="preserve"> บัณฑิตวิทยาลัย (กลุ่มมนุษยศาสตร์ฯ)</t>
  </si>
  <si>
    <t>อาจารย์ ดร.ปรามศึก หวลประไพ 10%</t>
  </si>
  <si>
    <t>รองศาสตราจารย์ ดร.ดวงสมร รุ่งสวรรค์โพธิ์ 50%</t>
  </si>
  <si>
    <t>อาจารย์ ดร.พอดี สุขพันธ์ 10%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</si>
  <si>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</t>
  </si>
  <si>
    <t>กองทุนพัฒนาดิจิทัลเพื่อเศรษฐกิจและสังคม</t>
  </si>
  <si>
    <t>ผู้ช่วยศาสตราจารย์ ดร.ศิริลักษณ์ เกตุฉาย 70%</t>
  </si>
  <si>
    <t>กท1 046/64</t>
  </si>
  <si>
    <t>ผู้ช่วยศาสตราจารย์ ดร.กันยพัชร์ ธนกุลวุฒิโรจน์ 30%</t>
  </si>
  <si>
    <t>ปัญหากฎหมายเกี่ยวกับการใช้พยานหลักฐานทางวิทยาศาสตร์ในคดีอาญา</t>
  </si>
  <si>
    <t>อาจารย์ทศพล ชูโชติ 25%</t>
  </si>
  <si>
    <t xml:space="preserve"> คณะวิทยาศาสตร์และเทคโนโลยี</t>
  </si>
  <si>
    <t>10846/2565</t>
  </si>
  <si>
    <t>อาจารย์ ดร.ณิช วงศ์ส่องจ้า 25%</t>
  </si>
  <si>
    <t>อาจารย์ธนวัฒ พิสิฐจินดา 25%</t>
  </si>
  <si>
    <t>อาจารย์จตุรงค์ เพิ่มรุ่งเรือง 15%</t>
  </si>
  <si>
    <t>อาจารย์ราชพง ภูมิพงศ์ 10%</t>
  </si>
  <si>
    <t>การพัฒนานวัตกรรมต้นแบบเกม เพื่อเสริมสร้างแรงจูงใจต่อการเรียนการสอนออนไลน์ รองรับชีวิตปกติวิถีใหม่ สำหรับผู้เรียนระดับปริญญาตรี</t>
  </si>
  <si>
    <t xml:space="preserve">	ผู้ช่วยศาสตราจารย์ ดร.ปรีดาวรรณ เกษเมธีการุณ 50%</t>
  </si>
  <si>
    <t>10610/2565</t>
  </si>
  <si>
    <t>ผู้ช่วยศาสตราจารย์ ดร.พิจิตรา จอมศรี 5%</t>
  </si>
  <si>
    <t>ผู้ช่วยศาสตราจารย์ ดร.ศิริลักษณ์ เกตุฉาย 5%</t>
  </si>
  <si>
    <t>อาจารย์ ดร.บุศรินทร์ เอี่ยมธนากุล 5%</t>
  </si>
  <si>
    <t>อาจารย์ ดร.ดุลยวิทย์ ปรางชุมพล 15%</t>
  </si>
  <si>
    <t>อาจารย์ชัชพล ชอบวิทยาคุณ 5%</t>
  </si>
  <si>
    <t>การพัฒนาเกมโมบายแอปพลิเคชันเสริมสร้างแรงจูงใจต่อการเรียนการสอนออนไลน์ เพื่อรองรับชีวิตปกติวิถีใหม่</t>
  </si>
  <si>
    <t>ผู้ช่วยศาสตราจารย์ ดร.ปรีดาวรรณ เกษเมธีการุณ 50%</t>
  </si>
  <si>
    <t>10612/2565</t>
  </si>
  <si>
    <t>ผู้ช่วยศาสตราจารย์ ดร.สุมิตรา นวลมีศรี 19%</t>
  </si>
  <si>
    <t xml:space="preserve">	ผู้ช่วยศาสตราจารย์ณัฐภัทร แก้วรัตนภัทร์ 3%</t>
  </si>
  <si>
    <t>อาจารย์ ดร.ดุลยวิทย์ ปรางชุมพล 5%</t>
  </si>
  <si>
    <t>อาจารย์กมลวรรณ ตั้งเจริญบำรุงสุข 3%</t>
  </si>
  <si>
    <t>การออกแบบยูสเซอร์อินเตอร์เฟสด้านการเรียนการสอนด้วยเกม เพื่อยกระดับผลสัมฤทธิ์ต่อการเรียนออนไลน์ รองรับชีวิตปกติวิถีใหม่</t>
  </si>
  <si>
    <t>อาจารย์ ดร.ดุลยวิทย์ ปรางชุมพล 50%</t>
  </si>
  <si>
    <t>10639/2565</t>
  </si>
  <si>
    <t>ผู้ช่วยศาสตราจารย์ ดร.พิจิตรา จอมศรี 25%</t>
  </si>
  <si>
    <t>อาจารย์ ดร.บุศรินทร์ เอี่ยมธนากุล 10%</t>
  </si>
  <si>
    <t>ผู้ช่วยศาสตราจารย์ ดร.สุมิตรา นวลมีศรี 2%</t>
  </si>
  <si>
    <t>ผู้ช่วยศาสตราจารย์ ดร.ปรีดาวรรณ เกษเมธีการุณ 2%</t>
  </si>
  <si>
    <t>อาจารย์ชัชพล ชอบวิทยาคุณ 2%</t>
  </si>
  <si>
    <t>อาจารย์กิตติยา พูนศิลป์ 2%</t>
  </si>
  <si>
    <t>ผู้ช่วยศาสตราจารย์ ดร.อรวรรณ ริ้วทอง 2%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</si>
  <si>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</si>
  <si>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ผู้ช่วยศาสตราจารย์ ดร.ปิยะดา อาชายุทธการ 90%</t>
  </si>
  <si>
    <t>10622/2565</t>
  </si>
  <si>
    <t>ผู้ช่วยศาสตราจารย์ ดร.จรรยพัฒน์ แสงสุวรรณ 10%</t>
  </si>
  <si>
    <t>ผลกระทบของเวลาในการให้กระแสไฟฟ้าพัลส์ต่อคุณสมบัติทางกายภาพแป้งสาลี</t>
  </si>
  <si>
    <t>ผู้ช่วยศาสตราจารย์ ดร.ปิยะดา อาชายุทธการ 100%</t>
  </si>
  <si>
    <t>10620/2565</t>
  </si>
  <si>
    <t>การเปลี่ยนแปลงความหลากชนิดของนก และการใช้ประโยชน์พื้นที่ของนก บริเวณแนวชายฝั่งทะเล  อำเภอเมือง จังหวัดสมุทรสงคราม</t>
  </si>
  <si>
    <t xml:space="preserve">	ผู้ช่วยศาสตราจารย์นิธินาถ เจริญโภคราช 80%</t>
  </si>
  <si>
    <t>10884/2565</t>
  </si>
  <si>
    <t>อาจารย์เพชรพนม จิตมั่น 10%</t>
  </si>
  <si>
    <t>ผู้ช่วยศาสตราจารย์ ดร.วลัยพร ผ่อนผัน 10%</t>
  </si>
  <si>
    <t>การพัฒนาแอปพลิเคชันวินิจฉัย และติดตามผู้ป่วยโรคเบาหวานในชุมชน</t>
  </si>
  <si>
    <t xml:space="preserve">	รองศาสตราจารย์ ดร.กัลยณัฎฐ์ กุหลาบเพ็ชรทอง 85%</t>
  </si>
  <si>
    <t>10595/2565</t>
  </si>
  <si>
    <t>ผู้ช่วยศาสตราจารย์จารุวรรณ ฉัตรทอง 5%</t>
  </si>
  <si>
    <t>ผู้ช่วยศาสตราจารย์ ดร.จรรยพัฒน์ แสงสุวรรณ 5%</t>
  </si>
  <si>
    <t xml:space="preserve">	ผู้ช่วยศาสตราจารย์รุจิจันทร์ วิชิวานิเวศน์ 5%</t>
  </si>
  <si>
    <t>การสร้างมูลค่าเพิ่มการท่องเที่ยวสปาไทยด้วยนวัตกรรมต้นแบบผลิตภัณฑ์อาหารและเครื่องดื่มสมุนไพรแปรรูปบนฐานภูมิปัญญาท้องถิ่นจังหวัดระนอง</t>
  </si>
  <si>
    <t>อาจารย์ชเนศ วรรณะ 85%</t>
  </si>
  <si>
    <t>งป 11031/2565</t>
  </si>
  <si>
    <t xml:space="preserve">	ผู้ช่วยศาสตราจารย์ ดร.นฤมล บุญมั่น 5%</t>
  </si>
  <si>
    <t>อาจารย์ศิริรัตน์ พักปากน้ำ 5%</t>
  </si>
  <si>
    <t>ผู้ช่วยศาสตราจารย์ ดร.วชิราภรณ์ พิกุลทอง 5%</t>
  </si>
  <si>
    <t>แพลตฟอร์มท่องเที่ยวสปาสร้างสรรค์บนฐานภูมิปัญญาท้องถิ่นและวัฒนธรรมจังหวัดระนอง</t>
  </si>
  <si>
    <t>อาจารย์ณัฐชา วัฒนประภา 60%</t>
  </si>
  <si>
    <t>งป 11035/2565</t>
  </si>
  <si>
    <t>อาจารย์จิรวัฒน์ สุดสวาท 8%</t>
  </si>
  <si>
    <t>อาจารย์ภาชญา เชี่ยวชาญ 4%</t>
  </si>
  <si>
    <t>อาจารย์ ดร.ธนากร อุยพานิชย์ 4%</t>
  </si>
  <si>
    <t xml:space="preserve">	ผู้ช่วยศาสตราจารย์ณัฐภัทร แก้วรัตนภัทร์ 4%</t>
  </si>
  <si>
    <t>อาจารย์ ดร.จารุมน หนูคง 4%</t>
  </si>
  <si>
    <t>อาจารย์วรรณรัตน์ บรรจงเขียน 4%</t>
  </si>
  <si>
    <t>อาจารย์ทัศนันท์ ชูโตศรี 4%</t>
  </si>
  <si>
    <t>อาจารย์พงพิสิษฐ์ เลี้ยงอยู่ 4%</t>
  </si>
  <si>
    <t>อาจารย์พงศกร กิ่งสุวรรณกุล 4%</t>
  </si>
  <si>
    <t>การยกระดับคุณภาพมาตรฐานการท้องเที่ยวสีเขียวโดยชุมชนเขตพื้นที่จังหวัดอุดรธานีด้วยต้นแบบนวัตกรรมผลิตภัณฑ์อาหารสุขภาพแปรรูปบนฐานภูมิปัญญาท้องถิ่นอย่างยั่งยืน</t>
  </si>
  <si>
    <t>อาจารย์ชเนศ วรรณะ</t>
  </si>
  <si>
    <t>งป 11041/2565</t>
  </si>
  <si>
    <t>แพลตฟอร์มการท้องเที่ยวเชิงการอนุรักษ Ecotourism จังหวัดอุดรธานี สู่การยกระดับมาตรฐานสินค้าและบริการสู่การเพิ่มขีดความสามารถในการแข่งขันได้อย่างยั่งยืน</t>
  </si>
  <si>
    <t>งป 11046/2565</t>
  </si>
  <si>
    <t>อาจารย์ ดร.ธนากร อุยพานิชย์ 5%</t>
  </si>
  <si>
    <t xml:space="preserve">	ผู้ช่วยศาสตราจารย์ณัฐภัทร แก้วรัตนภัทร์ 5%</t>
  </si>
  <si>
    <t>อาจารย์ ดร.จารุมน หนูคง 5%</t>
  </si>
  <si>
    <t>อาจารย์ ดร.สาวิตรี ผิวงาม 4%</t>
  </si>
  <si>
    <t xml:space="preserve"> โรงเรียนมัธยมสาธิต</t>
  </si>
  <si>
    <t>การพัฒนานวัตกรรมเครื่องสําอางจากข้าวไรซ์เบอรี่</t>
  </si>
  <si>
    <t>ผู้ช่วยศาสตราจารย์ ดร.ยุทธนา สุดเจริญ 60%</t>
  </si>
  <si>
    <t>งป 11054/2565</t>
  </si>
  <si>
    <t>อาจารย์ ดร.นรินทร์ กากะทุม 20%</t>
  </si>
  <si>
    <t>ผู้ช่วยศาสตราจารย์ ดร.คณิตดา ทองขาว 10%</t>
  </si>
  <si>
    <t>รองศาสตราจารย์ ดร.รจนา จันทราสา 5%</t>
  </si>
  <si>
    <t>ผู้ช่วยศาสตราจารย์ ดร.พิมพร ทองเมือง 5%</t>
  </si>
  <si>
    <t>การพัฒนาผลิตภัณฑ์สุขภาพจากสมุนไพรท้องถิ่นเอกลักษณ์จังหวัดสมุทรสงคราม</t>
  </si>
  <si>
    <t>ผู้ช่วยศาสตราจารย์ ดร.ยุทธนา สุดเจริญ 35%</t>
  </si>
  <si>
    <t>งป 11056/2565</t>
  </si>
  <si>
    <t>ผู้ช่วยศาสตราจารย์ ดร.คณิตดา ทองขาว 30%</t>
  </si>
  <si>
    <t>อาจารย์ ดร.นรินทร์ กากะทุม 30%</t>
  </si>
  <si>
    <t>ผลิตภัณฑ์ส่งเสริมสุขภาพช่องปากและลําคอจากผลมะม่วงหาวมะนาวโห่</t>
  </si>
  <si>
    <t>ผู้ช่วยศาสตราจารย์ ดร.ยุทธนา สุดเจริญ 55%</t>
  </si>
  <si>
    <t>งป 11057/2565</t>
  </si>
  <si>
    <t>ผู้ช่วยศาสตราจารย์ ดร.คณิตดา ทองขาว 20%</t>
  </si>
  <si>
    <t>ผลิตภัณฑ์บํารุงดูแลผิวจากชะคราม</t>
  </si>
  <si>
    <t>ผู้ช่วยศาสตราจารย์ ดร.คณิตดา ทองขาว 50%</t>
  </si>
  <si>
    <t>งป 11058/2565</t>
  </si>
  <si>
    <t>ผู้ช่วยศาสตราจารย์ ดร.ยุทธนา สุดเจริญ 25%</t>
  </si>
  <si>
    <t>การจัดการเชิงพื้นที่ด้วยเทคโนโลยีภูมิสารสนเทศ สำหรับการผลิตเกลือบนพื้นฐานภูมิปัญญาท้องถิ่น จังหวัดสมุทรสงคราม</t>
  </si>
  <si>
    <t>ผู้ช่วยศาสตราจารย์ ดร.วลัยพร ผ่อนผัน 90%</t>
  </si>
  <si>
    <t>งป 11062/2565</t>
  </si>
  <si>
    <t>ผู้ช่วยศาสตราจารย์ ดร.ทัศนาวลัย อุฑารสกุล 10%</t>
  </si>
  <si>
    <t>ต้นแบบอาหารปลากัดสำเร็จรูปสูตรเร่งสี และสูตรเสริมภูมิคุ้มกันโรคปลากัด</t>
  </si>
  <si>
    <t>อาจารย์ ดร.วัฒนา พันธุ์พืช 55%</t>
  </si>
  <si>
    <t>งป 11066/2565</t>
  </si>
  <si>
    <t xml:space="preserve">	ผู้ช่วยศาสตราจารย์กานต์ชนา สิทธิ์เหล่าถาวร 15%</t>
  </si>
  <si>
    <t>ผู้ช่วยศาสตราจารย์ธนขวัญ บุษบัน 15%</t>
  </si>
  <si>
    <t>อาจารย์ ดร.มนัสวี เดชกล้า 15%</t>
  </si>
  <si>
    <t>การพัฒนาวัคซีนชนิดกินเพื่อป้องกันโรคติดเชื้อเมกาโลไซติไวรัสในปลากัดไทย</t>
  </si>
  <si>
    <t>ผู้ช่วยศาสตราจารย์ธนขวัญ บุษบัน 40%</t>
  </si>
  <si>
    <t>งป 11067/2565</t>
  </si>
  <si>
    <t>อาจารย์ ดร.วัฒนา พันธุ์พืช 30%</t>
  </si>
  <si>
    <t>ผู้ช่วยศาสตราจารย์กานต์ชนา สิทธิ์เหล่าถาวร 10%</t>
  </si>
  <si>
    <t>อาจารย์ ดร.มนัสวี เดชกล้า 10%</t>
  </si>
  <si>
    <t xml:space="preserve">	ผู้ช่วยศาสตราจารย์กัญญารัตน์ บุษบรรณ 10%</t>
  </si>
  <si>
    <t>การพัฒนาดิจิทัลการตลาดอัจฉริยะด้วยเทคโนโลยีเสมือนจริง สู่การเผยแพร่องค์ความรู้และส่งเสริมการท่องเที่ยวเชิงเกษตรสร้างสรรค์ เพื่อพัฒนาเศรษฐกิจฐานรากบ้านในวงใต้ อำเภอละอุ่น จังหวัดระนอง</t>
  </si>
  <si>
    <t xml:space="preserve">	ผู้ช่วยศาสตราจารย์ ดร.พิจิตรา จอมศรี 40%</t>
  </si>
  <si>
    <t>งป 11090/2565</t>
  </si>
  <si>
    <t>อาจารย์ ดร.ทมนี สุขใส 40%</t>
  </si>
  <si>
    <t xml:space="preserve"> วิทยาลัยโลจิสติกส์และซัพพลายเชน</t>
  </si>
  <si>
    <t>อาจารย์กิตติยา พูนศิลป์ 10%</t>
  </si>
  <si>
    <t>อาจารย์ ดร.ดุลยวิทย์ ปรางชุมพล 10%</t>
  </si>
  <si>
    <t>การพัฒนาอัตลักษณ์สินค้าดุสิตแบรนด์สู่ตลาดอัจฉริยะ (Intelligence Market) สร้างคุณค่าและมูลค่าให้เศรษฐกิจฐานรากมั่นคง ยั่งยืน</t>
  </si>
  <si>
    <t>ผู้ช่วยศาสตราจารย์ ดร.สุมิตรา นวลมีศรี 95%</t>
  </si>
  <si>
    <t>งป 11091/2565</t>
  </si>
  <si>
    <t>ผู้ช่วยศาสตราจารย์ ดร.ปรีดาวรรณ เกษเมธีการุณ 5%</t>
  </si>
  <si>
    <t>การพัฒนากระบวนการผลิตและควบคุมคุณภาพผลิตภัณฑ์เกลือทะเลจังหวัดสมุทรสงคราม เพื่อเข้าสู่มาตรฐานอุตสาหกรรม</t>
  </si>
  <si>
    <t xml:space="preserve">อาจารย์ ดร.พลอยทราย โอฮาม่า </t>
  </si>
  <si>
    <t>งป 11092/2565</t>
  </si>
  <si>
    <t>การพัฒนากระบวนการผลิตเพื่อยกระดับคุณภาพเกลือทะเลจังหวัดสมุทรสงครามเข้าสู่มาตรฐานเกลือบริโภค</t>
  </si>
  <si>
    <t>ผู้ช่วยศาสตราจารย์ ดร.จิตรลดา ชูมี 35%</t>
  </si>
  <si>
    <t>งป 11093/2565</t>
  </si>
  <si>
    <t>อาจารย์ ดร.พลอยทราย โอฮาม่า 35%</t>
  </si>
  <si>
    <t>ผู้ช่วยศาสตราจารย์ ดร.ชินวัฒน์ ศาสนนันทน์ 10%</t>
  </si>
  <si>
    <t>อาจารย์ ดร.สาริสา ปิ่นคำ 10%</t>
  </si>
  <si>
    <t>ผู้ช่วยศาสตราจารย์กัญญารัตน์ บุษบรรณ 10%</t>
  </si>
  <si>
    <t>ดิน นํ้า ลม แดด โมเดล : นวัตกรรมพลังงานทดแทนในนาเกลือเพื่อส่งเสริมการประกอบอาชีพอย่างยั่งยืน</t>
  </si>
  <si>
    <t xml:space="preserve">	ผู้ช่วยศาสตราจารย์ ดร.ศันสนีย์ แสนศิริพันธ์ 60%</t>
  </si>
  <si>
    <t>งป 11095/2565</t>
  </si>
  <si>
    <t>อาจารย์ ดร.พลอยทราย โอฮาม่า 20%</t>
  </si>
  <si>
    <t>ผู้ช่วยศาสตราจารย์ ดร.ณรัล ลือวรศิริกุล 10%</t>
  </si>
  <si>
    <t>การศึกษาเปรียบเทียบผลของเกลือที่มีต่อคุณภาพอาหารหมักดอง</t>
  </si>
  <si>
    <t>งป 11097/2565</t>
  </si>
  <si>
    <t xml:space="preserve">ผู้ช่วยศาสตราจารย์ ดร.จิตรลดา ชูมี 20% </t>
  </si>
  <si>
    <t>รองศาสตราจารย์ ดร.ศิริลักษณ์ นามวงษ์ 10%</t>
  </si>
  <si>
    <t>อาจารย์ ดร.สกุลตรา ค้ำชู 10%</t>
  </si>
  <si>
    <t>อาจารย์ ดร.เสาวณีย์ คำพันธ์ 30%</t>
  </si>
  <si>
    <t>นวัตกรรมผลิตภัณฑ์เกลือทะเลเพื่อสุขภาพและความงาม</t>
  </si>
  <si>
    <t>ผู้ช่วยศาสตราจารย์ ดร.วนิดา วอนสวัสดิ์ 50%</t>
  </si>
  <si>
    <t>งป 11100/2565</t>
  </si>
  <si>
    <t>ผู้ช่วยศาสตราจารย์กัญญารัตน์ บุษบรรณ 30%</t>
  </si>
  <si>
    <t>อาจารย์รัตนชัย ไทยประทุม 10%</t>
  </si>
  <si>
    <t>อาจารย์ ดร.จาริวัฒน์ พิษณุวงศ์ 10%</t>
  </si>
  <si>
    <t>การพัฒนาศักยภาพในการผลิตพืชเศรษฐกิจในพื้นที่จังหวัดสมุทรสงคราม</t>
  </si>
  <si>
    <t xml:space="preserve">ผู้ช่วยศาสตราจารย์ ดร.โสพิศ สว่างจิตร 40%
</t>
  </si>
  <si>
    <t xml:space="preserve"> คณะวิทยาศาสตร์และเทคโนโลยี
</t>
  </si>
  <si>
    <t>งป 11102/2565</t>
  </si>
  <si>
    <t xml:space="preserve">ผู้ช่วยศาสตราจารย์ ดร.จันทนา กาญจน์กมล 20%
</t>
  </si>
  <si>
    <t xml:space="preserve">ผู้ช่วยศาสตราจารย์ ดร.รินรดา พัฒนใหญ่ยิ่ง 20%
</t>
  </si>
  <si>
    <t>ผู้ช่วยศาสตราจารย์ ดร.สุมิตรา นวลมีศรี 20%</t>
  </si>
  <si>
    <t>การพัฒนาศักยภาพการอนุรักษ์ทรัพยากรธรรมชาติ สิ่งแวดล้อมและสร้างเครือข่ายเส้นทางท่องเที่ยว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</si>
  <si>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>ผู้ช่วยศาสตราจารย์ ดร.ทัศนาวลัย อุฑารสกุล 70%</t>
  </si>
  <si>
    <t>งป 11104/2565</t>
  </si>
  <si>
    <t xml:space="preserve">ผู้ช่วยศาสตราจารย์ ดร.ฒาลิศา เนียมมณี 10%
</t>
  </si>
  <si>
    <t xml:space="preserve">ผู้ช่วยศาสตราจารย์ นิธินาถ เจริญโภคราช 10%
</t>
  </si>
  <si>
    <t>การศึกษาเปรียบเทียบปริมาณของธาตุ สารอาหาร สารพฤกษเคมี และฤทธิ์ต้านอนุมูลอิสระของส้มโอพันธุ์ขาวใหญ่ที่ปลูกในสภาวะของดิน และปุ๋ยที่แตกต่างกัน ในเขตอําเภอบางคนที จังหวัดสมุทรสงคราม</t>
  </si>
  <si>
    <t xml:space="preserve">ผู้ช่วยศาสตราจารย์ ดร. จันทนา กาญจน์กมล 90%
</t>
  </si>
  <si>
    <t>งป 11105/2565</t>
  </si>
  <si>
    <t>ผู้ช่วยศาสตราจารย์ ดร.โสพิศ สว่างจิตร 10%</t>
  </si>
  <si>
    <t>การศึกษาความหลากหลายของแบคทีเรียแลคติก และแบคทีเรียที่มีคุณสมบัติในการกระตุ้นการเจริญของพืชในนํ้าหมักจากวัสดุเศษเหลือทางการเกษตร</t>
  </si>
  <si>
    <t xml:space="preserve">ผู้ช่วยศาสตราจารย์ ดร.รินรดา พัฒนใหญ่ยิ่ง 70%
</t>
  </si>
  <si>
    <t>งป 11108/2565</t>
  </si>
  <si>
    <t xml:space="preserve">ผู้ช่วยศาสตราจารย์ ดร.โสพิศ สว่างจิตร 20%
</t>
  </si>
  <si>
    <t>รองศาสตราจารย์ ดร.ชัยศรี ธาราสวัสดิ์พิพัฒน์ 10%</t>
  </si>
  <si>
    <t>การควบคุมจุลินทรีย์สาเหตุโรคของส้มโอและกล้วยหอมทองในจังหวัดสมุทรสงครามโดยอนุภาคซิลเวอร์นาโนที่เป็นมิตรต่อสิ่งแวดล้อม</t>
  </si>
  <si>
    <t xml:space="preserve">ผู้ช่วยศาสตราจารย์ ดร.โสพิศ สว่างจิตร 95%
</t>
  </si>
  <si>
    <t>งป 11111/2565</t>
  </si>
  <si>
    <t>ผู้ช่วยศาสตราจารย์ ดร.รินรดา พัฒนใหญ่ยิ่ง 5%</t>
  </si>
  <si>
    <t>การพัฒนาการวิเคราะห์ค่านํ้าตาลจากผลไม้สุกด้วยเทคนิคการเรียนรู้เชิงลึก (Deep Learning) บนโมบายแอปพลิเคชันและระบบฐานข้อมูล QR Code เพื่อการสร้างช่องทางการตลาดบนสื่อสังคมออนไลน์ของผลไม้สุกแบบปัจเจกบุคคลสําหรับผู้ป่วยโรคเบาหวาน</t>
  </si>
  <si>
    <t xml:space="preserve">ผู้ช่วยศาสตราจารย์ ดร.สุมิตรา นวลมีศรี 95% 
</t>
  </si>
  <si>
    <t>งป 11114/2565</t>
  </si>
  <si>
    <t>ผู้ช่วยศาสตราจารย์ ดร.ปรีดาวรรณ เกษเมธีการุณ  5%</t>
  </si>
  <si>
    <t>การพัฒนาและแปรรูปผลผลิตเพื่อเพิ่มมูลค่าพืชเศรษฐกิจในพื้นที่จังหวัดสมุทรสงคราม</t>
  </si>
  <si>
    <t xml:space="preserve">
</t>
  </si>
  <si>
    <t xml:space="preserve">ผู้ช่วยศาสตราจารย์ ดร.รินรดา พัฒนใหญ่ยิ่ง  30%
</t>
  </si>
  <si>
    <t>งป 11117/2565</t>
  </si>
  <si>
    <t xml:space="preserve">อาจารย์สกุลตรา ค้ำชู 25%
</t>
  </si>
  <si>
    <t xml:space="preserve">ผู้ช่วยศาสตราจารย์จารุวรรณ ฉัตรทอง 10%
</t>
  </si>
  <si>
    <t xml:space="preserve">อาจารย์ ดร.พิมลพร พงศ์ทองคำ 10%
</t>
  </si>
  <si>
    <t>อาจารย์กมลวรรณ ตั้งเจริญบำรุงสุข 25%</t>
  </si>
  <si>
    <t>การพัฒนาผลิตภัณฑ์คีเฟอร์นํ้ามะพร้าวเพื่อเพิ่มมูลค่าผลผลิตทางการเกษตรในจังหวัดสมุทรสงคราม</t>
  </si>
  <si>
    <t xml:space="preserve">ผู้ช่วยศาสตราจารย์ ดร.รินรดา พัฒนใหญ่ยิ่ง 50%
</t>
  </si>
  <si>
    <t>งป 11119/2565</t>
  </si>
  <si>
    <t xml:space="preserve">ผู้ช่วยศาสตราจารย์จารุวรรณ ฉัตรทอง 15%
</t>
  </si>
  <si>
    <t>อาจารย์ ดร.พิมลพร พงศ์ทองคำ 35%</t>
  </si>
  <si>
    <t>การศึกษาเอกลักษณทางเภสัชเวทของยาสมุนไพรไทย จำนวน 10 ชนิด</t>
  </si>
  <si>
    <t xml:space="preserve">ผู้ช่วยศาสตราจารย์ธนขวัญ บุษบัน 70%
</t>
  </si>
  <si>
    <t>งป 11138/2565</t>
  </si>
  <si>
    <t xml:space="preserve">อาจารย์ พท.ป.กิตติศักดิ์ แคล้ว จันทร์สุข 10%
</t>
  </si>
  <si>
    <t xml:space="preserve"> วิทยาลัยสหเวชศาสตร์
</t>
  </si>
  <si>
    <t xml:space="preserve">อาจารย์ พท.ป.อนงค์นุช ทุมปัด 10%
</t>
  </si>
  <si>
    <t xml:space="preserve">ผู้ช่วยศาสตราจารย์ชุติมา คล้ายสังข์  5%
</t>
  </si>
  <si>
    <t xml:space="preserve"> คณะวิทยาการจัดการ
</t>
  </si>
  <si>
    <t>การจัดทำฐานข้อมูลการผลิตอาหารทะเลพื้นบ้านจังหวัดระนองเพื่อการบริหารจัดการและการพยากรณ์ผลผลิตสู่การวางแผนพัฒนาการผลิตอย่างอย่างยั่งยืน</t>
  </si>
  <si>
    <t xml:space="preserve">
</t>
  </si>
  <si>
    <t xml:space="preserve">ผู้ช่วยศาสตราจารย์ ดร.กิตติคุณ มีทองจันทร์ 30%
</t>
  </si>
  <si>
    <t>งป 11171/2565</t>
  </si>
  <si>
    <t xml:space="preserve">ผู้ช่วยศาสตราจารย์ ดร.ปรีชา วรารัตน์ไชย 10%
</t>
  </si>
  <si>
    <t xml:space="preserve">วิทยาลัยโลจิสติกส์และซัพพลายเชน
</t>
  </si>
  <si>
    <t xml:space="preserve">อาจารย์ ดร.ชูเกียรติ ผุดพรมราช 10%
</t>
  </si>
  <si>
    <t xml:space="preserve">ผู้ช่วยศาสตราจารย์เสถียร จันทร์ปลา 10%
</t>
  </si>
  <si>
    <t xml:space="preserve">ผู้ช่วยศาสตราจารย์นิศานาถ เตชะเพชรไพบูลย์ 10%
</t>
  </si>
  <si>
    <t xml:space="preserve">อาจารย์ ดร.นิรชราภา ทองธรรมชาติ 5%
</t>
  </si>
  <si>
    <t xml:space="preserve">ผู้ช่วยศาสตราจารย์ ดร.นิยม สุวรรณเดช 5%
</t>
  </si>
  <si>
    <t xml:space="preserve">อาจารย์ศิริเดช ศิริสมบูรณ์ 5%
</t>
  </si>
  <si>
    <t xml:space="preserve">วิทยาลัยนิเทศศาสตร์
</t>
  </si>
  <si>
    <t xml:space="preserve">อาจารย์เอกพจน์ ธนะสิริ 5%
</t>
  </si>
  <si>
    <t xml:space="preserve">ผู้ช่วยศาสตราจารย์ ดร.เจตน์สฤษฎิ์ อังศุกาญจนกุล 5%
</t>
  </si>
  <si>
    <t xml:space="preserve">วิทยาลัยการเมืองและการปกครอง
</t>
  </si>
  <si>
    <t>อาจารย์วทัญญู ชูภักตร์ 5%</t>
  </si>
  <si>
    <t>วิทยาลัยโลจิสติกส์และซัพพลายเชน</t>
  </si>
  <si>
    <t>โครงการศึกษาและพัฒนาต้นแบบการจัดทำสำมะโนประชากรและเคหะแบบบูรณาการ (One census)</t>
  </si>
  <si>
    <t>ผู้ช่วยศาสตราจารย์ ดร.วลัยพร ผ่อนผัน 50%</t>
  </si>
  <si>
    <t>สำนักงานสถิติแห่งชาติ</t>
  </si>
  <si>
    <t>002/2565</t>
  </si>
  <si>
    <t>ดร.ณิช วงศ์ส่องจ้า 10%</t>
  </si>
  <si>
    <t>ผู้ช่วยศาสตราจารย์ ดร.ฒาลิศา  เนียมมณี 10%</t>
  </si>
  <si>
    <t>ผู้ช่วยศาสตราจารย์มรกต วรชัยรุ่งเรือง 10%</t>
  </si>
  <si>
    <t>ดร.บุศรินทร์ เอี่ยมธนากุล 5%</t>
  </si>
  <si>
    <t>ผลกระทบของเวลาในการให้กระแสไฟฟ้าพัลส์ต่อการแปรรูปผลิตภัณฑ์ขนมปัง</t>
  </si>
  <si>
    <t>อาจารย์ณัฐพล ประเทิงจิตต์ 85%</t>
  </si>
  <si>
    <t>10838/2565</t>
  </si>
  <si>
    <t>อาจารย์กัญญาพัชร เพชราภรณ์ 5%</t>
  </si>
  <si>
    <t>อาจารย์ ดร.ณิช วงศ์ส่องจ้า 5%</t>
  </si>
  <si>
    <t>ผู้ช่วยศาสตราจารย์ ดร.ปิยะดา อาชายุทธการ 5%</t>
  </si>
  <si>
    <t>เปรียบเทียบอิทธิพลของการทำแห้งแบบลมร้อนกับแบบแช่เยือกแข็งต่อคุณสมบัติทางเคมีกายภาพและเชิงหน้าที่ของผงเคล</t>
  </si>
  <si>
    <t>ผู้ช่วยศาสตราจารย์ ดร.ธนิดา ฉั่วเจริญ 80%</t>
  </si>
  <si>
    <t>10777/2565</t>
  </si>
  <si>
    <t>อาจารย์จุฑามาศ มูลวงศ์ 10%</t>
  </si>
  <si>
    <t>อาจารย์กัญญาพัชร เพชราภรณ์ 10%</t>
  </si>
  <si>
    <t>การพัฒนาเส้นพาสต้าสดเสริมผงผักเคลเพื่อเพิ่มคุณค่าทางโภชนาการและฤทธิ์ต้านอนุมูลอิสระ</t>
  </si>
  <si>
    <t>อาจารย์จุฑามาศ มูลวงศ์ 90%</t>
  </si>
  <si>
    <t>10790/2565</t>
  </si>
  <si>
    <t>ผู้ช่วยศาสตราจารย์ ดร.ธนิดา ฉั่วเจริญ 5%</t>
  </si>
  <si>
    <t>การผลิตภัณฑ์คุกกี้เนยสดเสริมพัฒนาผงเห็ดนางฟ้า</t>
  </si>
  <si>
    <t>อาจารย์กัญญาพัชร เพชราภรณ์ 80%</t>
  </si>
  <si>
    <t>10807/2565</t>
  </si>
  <si>
    <t>อาจารย์จุฑามาศ มูลวงศ์ 5%</t>
  </si>
  <si>
    <t>อาจารย์ณัฐพล ประเทิงจิตต์ 5%</t>
  </si>
  <si>
    <t>อาจารย์กฤษณธร สาเอี่ยม 5%</t>
  </si>
  <si>
    <t>การติดตามการเปลี่ยนแปลงของแนวชายฝั่งทะเลต่อความหลากชนิดของนก และการใช้ประโยชน์พื้นที่ของนก จังหวัดสมุทรสงคราม</t>
  </si>
  <si>
    <t>ผู้ช่วยศาสตราจารย์ ดร.วลัยพร ผ่อนผัน 25%</t>
  </si>
  <si>
    <t>10828/2565</t>
  </si>
  <si>
    <t>ผู้ช่วยศาสตราจารย์ ดร.พรรณทิพย์ กาหยี 6%</t>
  </si>
  <si>
    <t>รองศาสตราจารย์ศิวพันธุ์ ชูอินทร์ 5%</t>
  </si>
  <si>
    <t>ผู้ช่วยศาสตราจารย์ ดร.ฒาลิศา เนียมมณี 35%</t>
  </si>
  <si>
    <t>ผู้ช่วยศาสตราจารย์ ดร.ทัศนาวลัย อุฑารสกุล 5%</t>
  </si>
  <si>
    <t>ผู้ช่วยศาสตราจารย์นิธินาถ เจริญโภคราช 5%</t>
  </si>
  <si>
    <t>ผู้ช่วยศาสตราจารย์ ดร.ณรัล ลือวรศิริกุล 2%</t>
  </si>
  <si>
    <t>รองศาสตราจารย์ ดร.อมรา อิทธิพงษ์ 2%</t>
  </si>
  <si>
    <t>ผู้ช่วยศาสตราจารย์ ดร.วิชาญ เลิศลพ 2%</t>
  </si>
  <si>
    <t>อาจาร์ ดร.อเสข ขันธวิชัย 2%</t>
  </si>
  <si>
    <t>อาจารย์ธนัฐ กรอบทอง 2%</t>
  </si>
  <si>
    <t>ผู้ช่วยศาสตราจารย์ ดร.ไพลิน ชยาภัม 2%</t>
  </si>
  <si>
    <t>รองศาสตราจารย์ ดร.โกมล ไพศาล 2%</t>
  </si>
  <si>
    <t>ผู้ช่วยศาสตราจารย์ ดร.รณบรรจบ อภิรติกุล 5%</t>
  </si>
  <si>
    <t>การประยุกต์ใช้ภูมิสารสนเทศเพื่อประเมินพื้นที่ป่าชายเลนและหาดเลนที่เป็นแหล่งอาศัยของนก จังหวัดสมุทรสงคราม</t>
  </si>
  <si>
    <t>ผู้ช่วยศาสตราจารย์ ดร.วลัยพร ผ่อนผัน 40%</t>
  </si>
  <si>
    <t>10765/2565</t>
  </si>
  <si>
    <t>อาจารย์ ดร.บุศรินทร์ เอี่ยมธนากุล 2%</t>
  </si>
  <si>
    <t>ผู้ช่วยศาสตราจารย์สมฤดี พงษ์เสนา 2%</t>
  </si>
  <si>
    <t>อาจารย์กัญญา บวรโชคชัย 2%</t>
  </si>
  <si>
    <t>ผู้ช่วยศาสตราจารย์กัญญารัตน์ บุษบรรณ 2%</t>
  </si>
  <si>
    <t>ผู้ช่วยศาสตราจารย์ ดร.ฒาลิศา เนียมมณี 45%</t>
  </si>
  <si>
    <t>ประสิทธิผลของการออกกำลังกาย ด้วยรำวงมาตรฐานต่อสุขภาพผู้สูงอายุในชุมชน</t>
  </si>
  <si>
    <t>ผู้ช่วยศาสตราจารย์ ดร.คมกฤช รัตตะมณี 80%</t>
  </si>
  <si>
    <t>10851/2565</t>
  </si>
  <si>
    <t>ผู้ช่วยศาสตราจารย์ ดร.วรรณวิมล เมฆวิมล กิ่งแก้ว 5%</t>
  </si>
  <si>
    <t>ผู้ช่วยศาสตราจารย์ ดร.ปิยดา วงศ์วิวัฒน์ 5%</t>
  </si>
  <si>
    <t>อาจารย์ ดร.กันตพงษ์ ปราบสงบ 5%</t>
  </si>
  <si>
    <t>อาจารย์นิวัฒน์ ทรงศิลป์ 5%</t>
  </si>
  <si>
    <t>น้ำส้มสายชูหมักจากน้ำตาลสด</t>
  </si>
  <si>
    <t>น้ำส้มสายชูหมักจากน้ำต่าลสด</t>
  </si>
  <si>
    <t>ผู้ช่วยศาสตราจารย์ ดร.วนิดา วอนสวัสดิ์</t>
  </si>
  <si>
    <t>10525/2565</t>
  </si>
  <si>
    <t>The radioluminescence investigation of lead sodium borate doped with  Sm3+ glass scintillator</t>
  </si>
  <si>
    <t>รองศาสตราจารย์ ดร.ณรงค์ สังวาระนที</t>
  </si>
  <si>
    <t>11189/2565</t>
  </si>
  <si>
    <t>LUMINESCENCE PROPERTIES OF DY3+ IONS DOPED IN  B2O3-AL2O3-CAO-NA2O GLASS FOR SOLID STATE  LIGHTING APPLICATIONS</t>
  </si>
  <si>
    <t>11190/2565</t>
  </si>
  <si>
    <t>Physical and Luminescence Studies of Er3+-Doped into Borate Glass for IR Lighting Application</t>
  </si>
  <si>
    <t>11193/2565</t>
  </si>
  <si>
    <t>Effects of maltodextrin on physicochemical properties of freeze-dried avocado powder</t>
  </si>
  <si>
    <t>ผู้ช่วยศาสตราจารย์ ดร.ธนิดา ฉั่วเจริญ90%</t>
  </si>
  <si>
    <t>11199/2565</t>
  </si>
  <si>
    <t>การพัฒนาผลิตภัณฑ์ใหม่จากมันสำปะหลัง : ผลิตภัณฑ์มันบดจากมันสำปะหลัง</t>
  </si>
  <si>
    <t>อาจารย์ กฤษณธร สาเอี่ยม 50%</t>
  </si>
  <si>
    <t>10986/2565</t>
  </si>
  <si>
    <t>อาจารย์ นฤมล เปียซื่อ 10%</t>
  </si>
  <si>
    <t>อาจารย์ นันท์ยง เฟื่องขจรฟุ้ง 10%</t>
  </si>
  <si>
    <t>อาจารย์ ปัทมา หิรัญโญภาส 10%</t>
  </si>
  <si>
    <t>อาจารย์ จิราพร วีณุตตรานนท์ 10%</t>
  </si>
  <si>
    <t>อาจารย์ ธิดารัตน์ แสนพรม 10%</t>
  </si>
  <si>
    <t>การศึกษาผลของอุณหภูมิและบรรจุภัณฑ์ในการเก็บรักษาต่อคุณลักษณะทางประสาทสัมผัสของคีเฟอร์น้ำมะพร้าว</t>
  </si>
  <si>
    <t>อาจารย์ ดร.พิมลพร พงศ์ทองคำ</t>
  </si>
  <si>
    <t>10988/2565</t>
  </si>
  <si>
    <t>ครีมกันแดดแบบ broad spectrum จากสารสกัดดอกไม้</t>
  </si>
  <si>
    <t>อาจารย์ ดร.พลอยทราย โอฮาม่า 60%</t>
  </si>
  <si>
    <t>10970/2565</t>
  </si>
  <si>
    <t>อาจารย์ ดร.เสาวณีย์ คำพันธ์ 20%</t>
  </si>
  <si>
    <t>ผู้ช่วยศาสตราจารย์ ดร. จิตรลดา ชูมี 20%</t>
  </si>
  <si>
    <t>การศึกษาคุณค่าทางโภชนาการของการเลี้ยงปลากะพงขาวในพื้นที่แหล่งน้ำธรรมชาติ ตามหลักปรัชญาเศรษฐกิจพอเพียง ศูนย์การศึกษาจังหวัดสมุทรสงคราม มหาวิทยาลัยราชภัฏ สวนสุนันทา และเกษตรกรผู้เลี้ยงปลากะพงขาวในพื้นที่จังหวัดสมุทรสงคราม</t>
  </si>
  <si>
    <t>อาจารย์ ชเนศ วรรณะ 60%</t>
  </si>
  <si>
    <t>11510/2565</t>
  </si>
  <si>
    <t>อาจารย์ ดร.แก่นเพชร ศรานนทวัฒน์ 20%</t>
  </si>
  <si>
    <t>ผู้ช่วยศาสตราจารย์ ดร.ภญ.พิมพร ทองเมือง 20%</t>
  </si>
  <si>
    <t>นวัตกรรมการควบคุมและเฝ้าระวังปัจจัยทางกายภาพ และชีวภาพ ต่อการผลิตเกลือทะเลไทย จังหวัดสมุทรสงคราม</t>
  </si>
  <si>
    <t>รองศาสตราจารย์ ดร.ชัยศรี ธาราสวัสดิ์พิพัฒน์ 50%</t>
  </si>
  <si>
    <t>งป 11061/2565</t>
  </si>
  <si>
    <t>ผู้ช่วยศาสตราจารย์ ดร.มณฑารพ สุธาธรรม 25%</t>
  </si>
  <si>
    <t>การคัดแยกและจําแนกจุลินทรีย์ประจําถิ่นบริเวณบ้านบางแก้ว จ.สมุทรสงคราม เพื่อหาการปนเปื้อนของมลพิษทางนํ้าต่อการผลิตเกลือให้มีคุณภาพตามข้อกําหนดมาตรฐานสินค้าเกษตร : เกลือทะเลธรรมชาติ</t>
  </si>
  <si>
    <t>ผู้ช่วยศาสตราจารย์ ดร.มณฑารพ สุธาธรรม 50%</t>
  </si>
  <si>
    <t>งป 11064/2565</t>
  </si>
  <si>
    <t>อาจารย์ ศิริรัตน์ พักปากน้ำ 25%</t>
  </si>
  <si>
    <t>อาจารย์ mohammad bagher javadinobandegani 25%</t>
  </si>
  <si>
    <t>นวัตกรรมการตรวจสอบ ควบคุมคุณภาพน้ำ สำหรับการผลิตเกลือที่มีคุณภาพ จังหวัดสมุทรสงคราม</t>
  </si>
  <si>
    <t>รองศาสตราจารย์ ดร.ชัยศรี ธาราสวัสดิ์พิพัฒน์ 70%</t>
  </si>
  <si>
    <t>งป 11063/2565</t>
  </si>
  <si>
    <t>รองศาสตราจารย์ ศิวพันธุ์ ชูอินทร์ 10%</t>
  </si>
  <si>
    <t>ผู้ช่วยศาสตราจารย์ ดร.รณบรรจบ อภิรติกุล 10%</t>
  </si>
  <si>
    <t>อาจารย์ สุวิมล คุปติวุฒิ 10%</t>
  </si>
  <si>
    <t>ผู้ช่วยศาสตราจารย์ ดร.รินรดา พัฒนใหญ่ยิ่ง 50%</t>
  </si>
  <si>
    <t>ผู้ช่วยศาสตราจารย์ จารุวรรณ ฉัตรทอง 15%</t>
  </si>
  <si>
    <t>การแปรรูปผลิตภัณฑ์จากส้มโอตกเกรด กลุ่มบางสะแก จังหวัดสมุทรสงคราม</t>
  </si>
  <si>
    <t>อาจารย์ สกุลตรา ค้ำชู 80%</t>
  </si>
  <si>
    <t>งป 11121/2565</t>
  </si>
  <si>
    <t>อาจารย์ กมลวรรณ ตั้งเจริญบำรุงสุข 10%</t>
  </si>
  <si>
    <t>การยกระดับกระบวนการผลิตและเพิ่มคุณค่าทางอาหารของผลิตภัณฑ์จากส้มโอ กลุ่มบางสะแก จังหวัดสมุทรสงคราม</t>
  </si>
  <si>
    <t>อาจารย์ กมลวรรณ ตั้งเจริญบำรุงสุข 70%</t>
  </si>
  <si>
    <t>งป 11125/2565</t>
  </si>
  <si>
    <t>อาจารย์ สกุลตรา ค้ำชู 20%</t>
  </si>
  <si>
    <t>ผู้ช่วยศาสตราจารย์ รุจิจันทร์ วิชิวานิเวศน์ 5%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</si>
  <si>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ประเภทพืช ผัก ผลไม้ ปลาและหอยที่บริโภครวมทั้งดินและน้ำที่ประชาชนสัมผัสเป็นประจำ และการจัดทำแผนที่ความเสี่ยงสุขภาพและการติดตามสภาวะสุขภาพของกลุ่มเสี่ยงสุขภาพในชุมชน ตามมาตรการป้องกันและแก้ไขผลกระทบสิ่งแวดล้อมโครงการโรงไฟฟ้าพลังความร้อน 150 MW ปี พ.ศ.2564 </t>
  </si>
  <si>
    <t>บริษัท ทีพีไอ โพลีน เพาเวอร์ จำกัด (มหาชน)</t>
  </si>
  <si>
    <t>ภาคเอกชน</t>
  </si>
  <si>
    <t>รองศาสตราจารย์ ดร.ศิวพันธุ์ ชูอินทร์ 25%</t>
  </si>
  <si>
    <t>ใบสั่งจ้างเลขที่ H203203</t>
  </si>
  <si>
    <t>รองศาสตราจารย์ ดร.ไพบูลย์ แจ่มพงษ์  25%</t>
  </si>
  <si>
    <t>อาจารย์ ดร.ฒาลิศา เนียมมณี  25%</t>
  </si>
  <si>
    <t>ผู้ช่วยศาสตราจารย์ ดร.พรรณทิพย์ กาหยี  25%</t>
  </si>
  <si>
    <t xml:space="preserve">การจัดการความรู้และถ่ายทอดเทคโนโลยีการผลิตเครื่องดื่มเพื่อสุขภาพคีเฟอร์น้ำสับปะรดเพื่อการส่งเสริมและยกระดับรายได้ชองเกษตรชาวไร่สับปะรด จังหวัดระยอง </t>
  </si>
  <si>
    <t>สำนักงานการวิจัยแห่งชาติ (วช.)</t>
  </si>
  <si>
    <t>ผู้ช่วยศาสตราจารย์ ดร.รินรดา พัฒนใหญ่ยิ่ง 45%</t>
  </si>
  <si>
    <t>สัญญาเลขที่ N71B650031</t>
  </si>
  <si>
    <t>อาจารย์ ดร.พลอยทราย โอฮาม่า  15%</t>
  </si>
  <si>
    <t xml:space="preserve">การส่งเสริมการเรียนรู้ด้านระบบเฝ้าระวังการเปลี่ยนแปลงคุณภาพน้ำบนวิถีชุมชนเกษตรกรที่มีความเสี่ยงต่อการประกอบอาชีพในพื้นที่จังหวัดสมุทรสงคราม </t>
  </si>
  <si>
    <t>รองศาสตราจารย์ ดร.ชัยศรี ธาราสวัสดิ์พิพัฒน์  50%</t>
  </si>
  <si>
    <t>สัญญาเลขที่ N71B650072</t>
  </si>
  <si>
    <t>รองศาสตราจารย์ ดร.วิทยา เมฆขำ  30%</t>
  </si>
  <si>
    <t>ผู้ช่วยศาสตราจารย์ ดร.พรรณทิพย์ กาหยี   10%</t>
  </si>
  <si>
    <t>รองศาสตราจารย์ ดร.ศิวพันธุ์ ชูอินทร์  10%</t>
  </si>
  <si>
    <t>เครื่องมือวิเคราะห์อัตราส่วนจำนวนชั่วโมงสอนออนไลน์ต่อออนไซต์ กรณี รายวิชาหลักสูตรวิทยาการคอมพิวเตอร์และนวัตกรรมข้อมูล คณะวิทยาศาสตร์และเทคโนโลยี มหาวิทยาลัยราชภัฏสวนสุนันทา</t>
  </si>
  <si>
    <t>รองศาสตราจารย์ ดร.นลินี โสพัศสถิตย์</t>
  </si>
  <si>
    <t>วจ/วท. 1 / 2565</t>
  </si>
  <si>
    <t>การตรวจหาคราบเลือดแห้งบนผ้าฝ้ายที่ผ่านการซักด้วยผงซักฟอกและน้ำยาซักผ้าขาว  ด้วยการทดสอบฟีนอล์ฟทาลีนและฮีมาสติกซ</t>
  </si>
  <si>
    <t>อาจารย์ ดร.ฤทัยรัตน์ สิริวัฒนรัชต์</t>
  </si>
  <si>
    <t>วจ/วท. 2/2565</t>
  </si>
  <si>
    <t>การพัฒนาแอปพลิเคชันการแนะนำการท่องเที่ยวแบบปรับตัวเพื่อส่งเสริมการท่องเที่ยวในเมืองใหม่</t>
  </si>
  <si>
    <t>ผู้ช่วยศาสตราจารย์ ดร.สุมิตรา นวลมีศรี</t>
  </si>
  <si>
    <t>10960/2565</t>
  </si>
  <si>
    <t>Unraveling Techniques for Plant Microbiome Structure Analysis</t>
  </si>
  <si>
    <t>อาจารย์ Mohammad bagher javadinobandegani</t>
  </si>
  <si>
    <t>11545/2565</t>
  </si>
  <si>
    <t>Application of hierarchical clustering to Analze Solvent</t>
  </si>
  <si>
    <t>11579/2565</t>
  </si>
  <si>
    <t>Multi-Layer Perceptron Neural Network and Internet of Things for Improving the Realtime Aquatic Ecosystem Quality Monitoring and Analysis</t>
  </si>
  <si>
    <t>11556/2565</t>
  </si>
  <si>
    <t>สัญญาจ้างผู้เชี่ยวชาญในการศึกษาและวิเคราะห์ด้านการบริหารจัดการด้านสิ่งแวดล้อมในนิคมอุตสาหกรรมภายใต้โครงการศึกษาอันดับการบริหารจัดการนิคมอุตสาหกรรม</t>
  </si>
  <si>
    <t>มูลนิธิสถาบันวิจัยนโยบายเศรษฐกิจการคลัง</t>
  </si>
  <si>
    <t>ผู้ช่วยศาสตราจารย์ ดร.รณบรรจบ อภิรติกุล</t>
  </si>
  <si>
    <t>สัญญาเลขที่ 028/65</t>
  </si>
  <si>
    <t>การพัฒนาผลิตภัณฑ์เครื่องดื่มสุขภาพคีเฟอร์น้ำมะพร้าวชนิดเสริมไมโครแคปซูลโปรไบโอติก</t>
  </si>
  <si>
    <t>สำนักงานพัฒนาการวิจัยการเกษตร (องค์กรมหาชน)</t>
  </si>
  <si>
    <t>CRP6505031950</t>
  </si>
  <si>
    <t>ดร.ชูสิทธิ์ หงษ์กุลทรัพย์ 10%</t>
  </si>
  <si>
    <t>อาจารย์ ดร.พิมลพร พงศ์ทองคำ 10%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</si>
  <si>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</si>
  <si>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 xml:space="preserve">อาจารย์อวัสดากานต์ ภูมี </t>
  </si>
  <si>
    <t>10580/2565</t>
  </si>
  <si>
    <t>การพัฒนาชุดสอนดนตรีรูปแบบออนไลน์เครื่องเอกทักษะขับร้องพื้นฐาน โรงเรียนในพื้นที่ตำบลแพรกหนามแดง</t>
  </si>
  <si>
    <t>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</si>
  <si>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</si>
  <si>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การพัฒนาชุดสอนดนตรีรูปแบบออนไลน์เครื่องเอกกีตาร์  โรงเรียนในพื้นที่ตำบลแพรกหนามแดง</t>
  </si>
  <si>
    <t xml:space="preserve">อาจารย์ปฐมวัส ธรรมชาติ 50%
</t>
  </si>
  <si>
    <t>10638/2565</t>
  </si>
  <si>
    <t xml:space="preserve">ผู้ช่วยศาสตราจารย์ ดร.รุ่งเกียรติ สิริวงษ์สุวรรณ 15%
</t>
  </si>
  <si>
    <t xml:space="preserve">อาจารย์กฤตวิทย์ ภูมิถาวร 15%
</t>
  </si>
  <si>
    <t xml:space="preserve">ผู้ช่วยศาสตราจารย์ยุทธกร สริกขกานนท์ 10%
</t>
  </si>
  <si>
    <t>อาจารย์ชาคริต เฉลิมสุข 10%</t>
  </si>
  <si>
    <t>การออกแบบนิทรรศการโครงการพิเศษการออกแบบนิเทศศิลป์ ครั้งที่ 30  ปีการศึกษา 2564</t>
  </si>
  <si>
    <t xml:space="preserve">อาจารย์ภาณุวัฒน์ กาหลิบ </t>
  </si>
  <si>
    <t>10461/2565</t>
  </si>
  <si>
    <t>นวัตกรรมผลิตภัณฑ์ต้นแบบส่งเสริม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</si>
  <si>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ดร.รจนา จันทราสา 30%</t>
  </si>
  <si>
    <t>งป 11032/2565</t>
  </si>
  <si>
    <t>อาจารย์ ดร.ภานุ  พัฒนปณิธิพงศ์ 10%</t>
  </si>
  <si>
    <t>ผู้ช่วยศาสตราจารย์ ดร.กรรณิการ์ ภิรมย์รัตน์ 15%</t>
  </si>
  <si>
    <t>คณะครุศาสตร์</t>
  </si>
  <si>
    <t>ผู้ช่วยศาสตราจารย์ พิเศษ ดร.เปรมวดี คฤหเดช  15%</t>
  </si>
  <si>
    <t>วิทยาลัยพยาบาลและสุขภาพ</t>
  </si>
  <si>
    <t>อาจารย์จิราพร รักการ 15%</t>
  </si>
  <si>
    <t>อาจารย์ ดร.กาญจนา เกียรติกานนท์  15%</t>
  </si>
  <si>
    <t>แนวทางการออกแบบตกแต่งร้านสปาส่งเสริมการท่องเที่ยวสปาสร้างสรรค์บนฐานภูมิปัญญาท้องถิ่นและวัฒนธรรมจังหวัดระนอง</t>
  </si>
  <si>
    <t>อาจารย์ ดร.ภานุ พัฒนปณิธิพงศ์  25%</t>
  </si>
  <si>
    <t>งป 11034/2565</t>
  </si>
  <si>
    <t>รองศาสตราจารย์ ดร.รจนา จันทราสา  5%</t>
  </si>
  <si>
    <t>อาจารย์ธีราภรณ์ พลายเล็ก  20%</t>
  </si>
  <si>
    <t>อาจารย์ ดร.อรทัย รุ่งวชิรา  25%</t>
  </si>
  <si>
    <t>อาจารย์ ดร.กรรณิกา เจิมเทียนชัย  25%</t>
  </si>
  <si>
    <t>การพัฒนาสินค้าไลฟ์สไตล์ส่งเสริมการท้องเที่ยว Green travel จังหวัดอุดรธานี</t>
  </si>
  <si>
    <t>รองศาสตราจารย์ ดร.รจนา จันทราสา 35%</t>
  </si>
  <si>
    <t>งป 11043/2565</t>
  </si>
  <si>
    <t>อาจารย์ ดร.ภานุ  พัฒนปณิธิพงศ์  5%</t>
  </si>
  <si>
    <t>อาจารย์วีรพจน์ รัตนวาร 15%</t>
  </si>
  <si>
    <t xml:space="preserve">คณะครุศาสตร์ </t>
  </si>
  <si>
    <t>อาจารย์ ดร.กันยา นภาพงษ์  15%</t>
  </si>
  <si>
    <t>อาจารย์ จักรกฤช ปิจดี  15%</t>
  </si>
  <si>
    <t>ผู้ช่วยศาสตราจารย์ ดร.ทัศนีย์ อรรถารส  15%</t>
  </si>
  <si>
    <t>แนวทางการออกแบบสภาพแวดล้อมร้านค้าสินค้าไลฟ์สไตล เพิ่มขีดความสามารถในการแข่งขันได้สําหรับการท่องเที่ยว Green travel จังหวัดอุดรธานี</t>
  </si>
  <si>
    <t>อาจารย์ ดร.ภานุ พัฒนปณิธิพงศ์ 25%</t>
  </si>
  <si>
    <t>งป 11045/2565</t>
  </si>
  <si>
    <t>รองศาสตราจารย์ ดร.รจนา  จันทราสา 5%</t>
  </si>
  <si>
    <t>ผู้ช่วยศาสตราจารย์สงกรานณ์ ขุนทิพย์ทอง 20%</t>
  </si>
  <si>
    <t>ผู้ช่วยศาสตราจารย์ ดร.สุดประนอม สมันตเวคิน 25%</t>
  </si>
  <si>
    <t>ผู้ฃ่วยศาสตราจารย์ อรนุช เชาว์ปรีชา 25%</t>
  </si>
  <si>
    <t>การพัฒนาผลิตภัณฑ์สุขภาพจากข้าวไรซ์เบอรี่ กลุ่มเศรษฐกิจฐานราก อำเภอบางระจัน จังหวัดสิงห์บุรี</t>
  </si>
  <si>
    <t>รองศาสตราจารย์ ดร.รจนา จันทราสา 95%</t>
  </si>
  <si>
    <t>งป 11052/2565</t>
  </si>
  <si>
    <t>อาจารย์ ดร.แก่นเพชร ศรานนทวัฒน์ 5%</t>
  </si>
  <si>
    <t>การพัฒนาตราสัญลักษณ์ และบรรจุภัณฑ์ของผลิตภัณฑ์สุขภาพจากข้าวไรซ์เบอรี่</t>
  </si>
  <si>
    <t>งป 11055/2565</t>
  </si>
  <si>
    <t>ศิลปวัฒนธรรมในเกาะรัตนโกสินทร์กับการประยุกต์ใช้ในการออกแบบผลิตภัณฑ์ด้วยแนวคิดเศรษฐกิจ</t>
  </si>
  <si>
    <t xml:space="preserve">ผู้ช่วยศาสตราจารย์ ดร.ชนกนาถ มะยูโซ๊ะ </t>
  </si>
  <si>
    <t>งป 11071/2565</t>
  </si>
  <si>
    <t>ทุนทางวัฒนธรรมศิลปะกรุงรัตนโกสินทร์ในเกาะรัตนโกสินทร์สู่แนวทางการออกแบบเครื่องประดับร่วมสมัยเพื่อสร้างมูลค่าเพิ่มสู่การแข่งขันในระดับสากล</t>
  </si>
  <si>
    <t xml:space="preserve">ผู้ช่วยศาสตราจารย์ ดร.ชนกนาถ มะยูโซ๊ะ 60%
</t>
  </si>
  <si>
    <t>งป 11073/2565</t>
  </si>
  <si>
    <t xml:space="preserve">ผู้ช่วยศาสตราจารย์สิรัชชา สำลีทอง 20%
</t>
  </si>
  <si>
    <t>อาจารย์สุภาวดี จุ้ยศุขะ 20%</t>
  </si>
  <si>
    <t>แนวทางการพัฒนาผลิตภัณฑ์สร้างสรรค์จากวัสดุพื้นถิ่นและทุนทางวัฒนธรรม ด้วยการมีส่วนร่วมของชุมชน เพื่อสร้างนวัตกรรมและยกระดับรายได้ชุมชนบนฐานปรัชญาเศรษฐกิจพอเพียง “วิถีถิ่น คีรีวงกต” จังหวัด อุดรธานี</t>
  </si>
  <si>
    <t xml:space="preserve">ผู้ช่วยศาสตราจารย์ ดร.เอกพงศ์ อินเกื้อ 80%
</t>
  </si>
  <si>
    <t>งป 11074/2565</t>
  </si>
  <si>
    <t>ผู้ช่วยศาสตราจารย์ ดร.ปิยดา วงศ์วิวัฒน์ 20%</t>
  </si>
  <si>
    <t>นวัตกรรมการสร้างสรรค์ลวดลายผ้าทอจากทุนวัฒนธรรม “วิถีถิ่น คีรีวงกต” สู่ต้นแบบเครื่องแต่งกายร่วมสมัย ภายใต้ปรัชญาเศรษฐกิจพอเพียง</t>
  </si>
  <si>
    <t>ผู้ช่วยศาสตราจารย์ ดร.ชนกนาถ มะยูโซ๊ะ 40%</t>
  </si>
  <si>
    <t>งป 11075/2565</t>
  </si>
  <si>
    <t>ผู้ช่วยศาสตราจารย์ ดร.เตชิต เฉยพ่วง 30%</t>
  </si>
  <si>
    <t>อาจารย์สุภาวดี จุ้ยศุขะ 30%</t>
  </si>
  <si>
    <t>แนวทางการพัฒนาผ้าทอสีย้อมธรรมชาติจากทุนวัฒนธรรมชุมชนเพื่อยกระดับรายได้และการพึ่งพาตนเอง หมู่บ้าน คีรีวงกต จังหวัด อุดรธานี</t>
  </si>
  <si>
    <t>อาจารย์ ดร.เตือนตา พรมุตตาวรงค์ 40%</t>
  </si>
  <si>
    <t>งป 11076/2565</t>
  </si>
  <si>
    <t>ผู้ช่วยศาสตราจารย์สิรัชชา สำลีทอง 30%</t>
  </si>
  <si>
    <t>ผู้ช่วยศาสตราจารย์สุวิธธ์ สาดสังข์ 30%</t>
  </si>
  <si>
    <t>นวัตกรรมการแปรรูปพืชพื้นถิ่นสู่ผลิตภัณฑ์สร้างสรรค “วิถีถิ่น คีรีวงกต” ด้วยการมีส่วนร่วมของชุมชน เพื่อสร้างนวัตกรรมชุมชนบนฐานปรัชญาเศรษฐกิจพอเพียง</t>
  </si>
  <si>
    <t xml:space="preserve">ผู้ช่วยศาสตราจารย์ ดร.เอกพงศ์ อินเกื้อ 
</t>
  </si>
  <si>
    <t>งป 11077/2565</t>
  </si>
  <si>
    <t>การพัฒนาและสร้างภาพลักษณ์ผลิตภัณฑ์สร้างสรรค์จากวัสดุพื้นถิ่นและทุนทางวัฒนธรรมเพื่อสร้างการรับรู้และเพิ่มขีดความสามารถในการแข่งขัน “วิถีถิ่น คีรีวงกต”</t>
  </si>
  <si>
    <t xml:space="preserve">อาจารย์คณิน ไพรวันรัตน์ </t>
  </si>
  <si>
    <t>งป 11078/2565</t>
  </si>
  <si>
    <t>แนวทางการออกแบบศูนย์บริการและจําหน่ายผลิตภัณฑ์สร้างสรรค์ชุมชน บนฐานปรัชญาเศรษฐกิจพอเพียง</t>
  </si>
  <si>
    <t xml:space="preserve">ผู้ช่วยศาสตราจารย์นภดล สังวาลเพ็ชร </t>
  </si>
  <si>
    <t>งป 11079/2565</t>
  </si>
  <si>
    <t>การพัฒนาจังหวัดสมุทรสงครามด้วยนวัตกรรมการแปรรูปวัสดุเหลือทิ้งจากภาคการเกษตรและประมง เพื่อเพิ่มอัตราการขยายตัวของผลิตภัณฑ์มวลรวม(GPP) สู่การพัฒนาจังหวัดสมุทรสงครามเป็น “เมืองแห่งวิถี 3 น้ำอย่างยั่งยืน”</t>
  </si>
  <si>
    <t>งป 11080/2565</t>
  </si>
  <si>
    <t>นวัตกรรมการแปรรูปวัสดุเหลือทิ้งจากภาคการเกษตรของจังหวัดสมุทรสงคราม เพื่อใช้ในการสรางผลิตภัณฑวัฒนธรรมจังหวัดสมุทรสงคราม เพื่อลดปญหาขยะและควาเหลื่อมล้ำ</t>
  </si>
  <si>
    <t>งป 11081/2565</t>
  </si>
  <si>
    <t>การพัฒนาและสรางภาพลักษณจังหวัดสมุทรสงครามดวยธุรกิจเชิงวัฒนธรรม เพื่อสร้างการรับรูและสนับสนุนการทองเที่ยวเชิงวัฒนธรรม “เมืองแหงวิถี 3 น้าอยางยั่งยืน”</t>
  </si>
  <si>
    <t xml:space="preserve">ผู้ช่วยศาสตราจารย์ ดร.เอกพงศ์ อินเกื้อ </t>
  </si>
  <si>
    <t>งป 11082/2565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</si>
  <si>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เพื่อลดปัญหาขยะและความเหลื่อมลํ้า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</si>
  <si>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เพื่อลดปัญหาขยะและควาเหลื่อมลํ้า</t>
  </si>
  <si>
    <t>อาจารย์คณิน ไพรวันรัตน์</t>
  </si>
  <si>
    <t>งป 11094/2565</t>
  </si>
  <si>
    <t>คริปโทเคอร์เรนซีและเศรษฐกิจสร้างสรรค์: กรณีศึกษา เอ๊กซ์อาร์พี และ เอ็นเอฟที</t>
  </si>
  <si>
    <t>ระดับชาติ</t>
  </si>
  <si>
    <t>บริษัท ควอลิตี้ อัลลัยแอนซ์ (ประเทศไทย) จำกัด</t>
  </si>
  <si>
    <t>อาจารย์ ดร.ฟาริดา วิรุฬหผล   25%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</si>
  <si>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</si>
  <si>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</si>
  <si>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</si>
  <si>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ผู้ช่วยศาสตราจารย์ ดร.ดวงกมล ฐิติเวส  25%</t>
  </si>
  <si>
    <t>การสร้างรูปแบบการเรียนการสอนเชิงบูรณาการกับการทำงานในหลักสูตรดนตรีระดับปริญญาตรี</t>
  </si>
  <si>
    <t>อาจารย์ ปราโมทย์ เที่ยงตรง</t>
  </si>
  <si>
    <t>10937/2565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</si>
  <si>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</si>
  <si>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อาจารย์ ภาณุวัฒน์ กาหลิบ</t>
  </si>
  <si>
    <t>11528/2565</t>
  </si>
  <si>
    <t>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</si>
  <si>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อาจารย์ ภาณุวัฒน์ กาหลิบ  85%</t>
  </si>
  <si>
    <t>11529/2565</t>
  </si>
  <si>
    <t>ผู้ช่วยศาสตราจารย์ ดร.ชุติมา มณีวัฒนา  5%</t>
  </si>
  <si>
    <t>ผู้ช่วยศาสตราจารย์ ดร.ณฐภรณ์ รัตนชัยวงศ์  5%</t>
  </si>
  <si>
    <t>อาจารย์ ดร.ภัคคพร พิมสาร  5%</t>
  </si>
  <si>
    <t>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</si>
  <si>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 นวภรณ์ ศรีสราญกุลวงศ์ 80%</t>
  </si>
  <si>
    <t>11530/2565</t>
  </si>
  <si>
    <t>อาจารย์ กรีธา ธรรมเจริญสถิต 5%</t>
  </si>
  <si>
    <t>อาจารย์ ดร.พีระพล ชัชวาลย์ 5%</t>
  </si>
  <si>
    <t>ออาจารย์ ดร.ฟาริดา วิรุฬหผล 5%</t>
  </si>
  <si>
    <t>อาจารย์ มารุต พิเชษฐวิทย์ 5%</t>
  </si>
  <si>
    <t>การออกแบบหนังสือชุดภาพประกอบเรื่อง “ เมนูหนูทำได้ ”</t>
  </si>
  <si>
    <t>อาจารย์ นวภรณ์ ศรีสราญกุลวงศ์</t>
  </si>
  <si>
    <t>10908/2565</t>
  </si>
  <si>
    <t>โครงการจัดการอัตลักษณ์ยูนิฟอร์มพนักงานโรงแรมจากผลกระทบโควิด-19  		    (กรณีศึกษาโรงแรมLet's Sea Hua Hin Al Fresco)</t>
  </si>
  <si>
    <t>อาจารย์ สุภาวดี จุ้ยศุขะ</t>
  </si>
  <si>
    <t>10987/2565</t>
  </si>
  <si>
    <t>การออกแบบเครื่องแต่งกายสตรีด้วยแรงบันดาลใจจากชาติพันธุ์ไทลื้อ</t>
  </si>
  <si>
    <t>ผู้ช่วยศาสตราจารย์ ดร.ชนกนาถ มะยูโซ๊ะ</t>
  </si>
  <si>
    <t>10968/2565</t>
  </si>
  <si>
    <t>การพัฒนาผลิตภัณฑ์ ภาชนะจากหญ้าแฝก</t>
  </si>
  <si>
    <t>อาจารย์ ดร.ภานุ พัฒนปณิธิพงศ์ 80%</t>
  </si>
  <si>
    <t>11005/2565</t>
  </si>
  <si>
    <t>รองศาสตราจารย์ ดร.รจนา จันทราสา 20%</t>
  </si>
  <si>
    <t>ลวดลายจากงานศิลปกรรมในเกาะรัตนโกสินทร์ สู่การออกแบบสิ่งทอที่สามารถสะท้อนอัตลักษณ์และสร้างมูลค่าเพิ่มด้วยแนวคิดเศรษฐกิจสร้างสรรค์</t>
  </si>
  <si>
    <t>ผู้ช่วยศาสตราจารย์ สุวิธธ์ สาดสังข์ 40%</t>
  </si>
  <si>
    <t>งป 11072/2565</t>
  </si>
  <si>
    <t>อาจารย์ ดร.เตือนตา พรมุตตาวรงค์ 30%</t>
  </si>
  <si>
    <t>การถ่ายทอดเทคโนโลยีการแปรรูป สาหร่าย วัชพืชในนากุ้ง เป็นวัสดุสำหรับการออกแบบผลิตภัณฑ์ที่เป็นมิตรต่อสิ่งแวดล้อม ชุมชนแพรกหนามแดง อำเภออัมพวา จังหวัดสมุทรสงคราม</t>
  </si>
  <si>
    <t>อาจารย์ ดร.ภานุ พัฒนปณิธพงศ์ 60%</t>
  </si>
  <si>
    <t>สัญญาเลขที่ N71B650097</t>
  </si>
  <si>
    <t>ผู้ช่วยศาสตราจารย์นภดล สังวาลเพ็ชร 20%</t>
  </si>
  <si>
    <t>ผลิตภัณฑ์จากปูนขาวสำหรับปรับสภาพดิน</t>
  </si>
  <si>
    <t>ผู้ช่วยศาสตราจารย์ นภดล สังวาลเพ็ชร</t>
  </si>
  <si>
    <t>10969/2565</t>
  </si>
  <si>
    <t>กระดาษจากต้นกล้วยไม้ตัดดอก</t>
  </si>
  <si>
    <t>11002/2565</t>
  </si>
  <si>
    <t>โครงการออกแบบกระเป๋าสุภาพสตรีจากกาบมะพร้าวแรงบันดาลใจผัดกะเพรา</t>
  </si>
  <si>
    <t>อาจารย์ ดร.ณิชานันทน์ เสริมศรี</t>
  </si>
  <si>
    <t>11527/2565</t>
  </si>
  <si>
    <t>ชุดรับประทานอาหารกลางแจ้งจากเสื่อต้นกก</t>
  </si>
  <si>
    <t>รศ.ดร.รจนา จันทราสา 80%</t>
  </si>
  <si>
    <t>10967/2565</t>
  </si>
  <si>
    <t>อาจารย์ ดร.ภานุ พัฒนปณิธิพงศ์ 20%</t>
  </si>
  <si>
    <t>โครงการการจัดการเรียนการสอนแบบออนไลน์ในสถานะการณ์การแพร่ระบาดไวรัสโควิด-๑๙ ของหลักสูตรศิลปกรรมศาสตร์บัณฑิต สาขาวิชาศิลปกะการแสดง (นาฏศิลป์ไทย) คณะศิลปกรรมศษสตร์ มหาวิทยาลัยราชภัฏสวนสุนันทา</t>
  </si>
  <si>
    <t>ผู้ช่วยศาสตราจารย์ ดร.มณิศา วศินารมณ์ 50%</t>
  </si>
  <si>
    <t>01/2565</t>
  </si>
  <si>
    <t>ผู้ช่วยศาสตราจารย์ ดร.ผกามาศ จิรจารุภัทร 10%</t>
  </si>
  <si>
    <t>อาจารย์ วุฒิชัย ค้าทวี 10%</t>
  </si>
  <si>
    <t>อาจารย์ รติพัทธ์ ศิริพงษ์ 10%</t>
  </si>
  <si>
    <t>อาจารย์ มนัญชยา เพชรูจี 10%</t>
  </si>
  <si>
    <t>อาจารย์พีรณัฐ ทรงเกตุกุล  10%</t>
  </si>
  <si>
    <t>การออกแบบหนังสือครบรอบวาระ 125 ปี วัดแม่พระลูกประคำ โบสถ์กาลหว่าร์</t>
  </si>
  <si>
    <t>10467/2565</t>
  </si>
  <si>
    <t>การออกแบบบอร์ดเกมตำนานโจรสลัดผ่านระบบเทคโนโลยีเสมือนจริงของสถาบันอุทยานการเรียนรู้</t>
  </si>
  <si>
    <t>10558/2565</t>
  </si>
  <si>
    <t>THAW WORACHAN (WAD) THE FAMOUS ACTRESS  IN THE REIGN OF KING RAMA IV,  WHO CREATED PLENG CHA PLENG REOW NARAI,  THE SPECIAL HOLY AND NOBLE DANCE</t>
  </si>
  <si>
    <t>อาจารย์ มนัญชยา เพชรูจี</t>
  </si>
  <si>
    <t>11558/2565</t>
  </si>
  <si>
    <t>THE CHOREOGRAPHY OF UNAKARN: THE  FEMALE CHARACTER WHEN SHE DISGUISED AS A MAN IN THE THAI COURT DRAMA,  “UNAKARN PANJI CHOM SUAN KHWAN”</t>
  </si>
  <si>
    <t>11559/2565</t>
  </si>
  <si>
    <t>THE CREATING OF PERFORMANCE FOR  LEARNING PERFORMANCE LITERATURE FOR  STUDENTS OF THE FACULTY OF FINE AND  APPLIED ARTS SUAN SUNANDHA RAJABHAT  UNIVERSITY</t>
  </si>
  <si>
    <t>11560/2565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</si>
  <si>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</si>
  <si>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 xml:space="preserve">
</t>
  </si>
  <si>
    <t xml:space="preserve">อาจารย์ ดร.สิริกร อมฤตวาริน 70%
</t>
  </si>
  <si>
    <t xml:space="preserve"> บัณฑิตวิทยาลัย (กลุ่มมนุษยศาสตร์ฯ)
</t>
  </si>
  <si>
    <t>10864/2565</t>
  </si>
  <si>
    <t xml:space="preserve">ศาสตราจารย์ นพ.สรรใจ แสงวิเชียร 10%
</t>
  </si>
  <si>
    <t xml:space="preserve"> บัณฑิตวิทยาลัย (กลุ่มวิทยาศาสตร์ฯ)
</t>
  </si>
  <si>
    <t xml:space="preserve">อาจารย์ นพ.วิชัย โชควิวัฒน 10%
</t>
  </si>
  <si>
    <t xml:space="preserve">ผู้ช่วยศาสตราจารย์ ดร.พท.ป.ศุภะลักษณ์ ฟักคำ 10%
</t>
  </si>
  <si>
    <t>โครงการการพัฒนาผลิตภัณฑ์สบู่สมุนไพรดอกบัวแดง จังหวัดอุดรธานี</t>
  </si>
  <si>
    <t xml:space="preserve">อาจารย์ ดร.สิริกร อมฤตวาริน  70%
</t>
  </si>
  <si>
    <t>10930/2565</t>
  </si>
  <si>
    <t xml:space="preserve"> บัณฑิตวิทยาลัย (กลุ่มวิทยาศาสตร์ฯ)</t>
  </si>
  <si>
    <t xml:space="preserve">ผู้ช่วยศาสตราจารย์ ดร.พท.ป.ศุภะลักษณ์ ฟักคำ  10%
</t>
  </si>
  <si>
    <t>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</si>
  <si>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 xml:space="preserve">ศาสตราจารย์ นพ.สรรใจ แสงวิเชียร 70%
</t>
  </si>
  <si>
    <t>10919/2565</t>
  </si>
  <si>
    <t xml:space="preserve">ผู้ช่วยศาสตราจารย์ ดร.พท.ป.ศุภะลักษณ์ ฟักคำ  20%
</t>
  </si>
  <si>
    <t>การส่งเสริมผลิตภัณฑ์และสินค้าชุมชนเพื่อการตลาดออนไลน์ในวิถี New normal ในจังหวัดอุดรธานี</t>
  </si>
  <si>
    <t>พ.ต.อ.นพดล บุรณนัฏ 50%</t>
  </si>
  <si>
    <t>10917/2565</t>
  </si>
  <si>
    <t>อาจารย์ ดร.สุมาลี มีพงษ์ 10%</t>
  </si>
  <si>
    <t>อาจารย์ ดร.พลอมร ธรรมประทีป 10%</t>
  </si>
  <si>
    <t>อาจารย์ ดร. ปัญญารัตน์ ปานทอง 10%</t>
  </si>
  <si>
    <t>อาจารย์ ดร.ชยภรณ์ ธนาบริบูรณ์ 10%</t>
  </si>
  <si>
    <t>ผู้ช่วยศาสตราจารย์ วินัย หมั่นคติธรรม 10%</t>
  </si>
  <si>
    <t>การพัฒนาผลิตภัณฑ์จากวัตถุดิบในท้องถิ่นของจังหวัดอุดรธานี</t>
  </si>
  <si>
    <t>10928/2565</t>
  </si>
  <si>
    <t>ผู้ช่วยศาสตราจารย์ ดร.สุคนธ์ เครือน้ำคำ 10%</t>
  </si>
  <si>
    <t>บัณฑิตวิทยาลัย (กลุ่มมนุษยศาสตร์ฯ)</t>
  </si>
  <si>
    <t>อาจารย์ ดร.สาโรจน์ วสุวานิช 10%</t>
  </si>
  <si>
    <t>อาจารย์ ดร. อวัสดา ปกมนตรี 10%</t>
  </si>
  <si>
    <t>อาจารย์ ดร.เกรียงศักดิ์ แสงสว่าง 10%</t>
  </si>
  <si>
    <t>อาจารย์ ดร.สุมาลี ศรีสุภรวาณิชย์ย์ 10%</t>
  </si>
  <si>
    <t>กระบวนการส่งเสริมและพัฒนาผลิตภาพแรงงานสูงอายุนอกระบบในเขตเทศบาลตำบลสามโคก อำเภอสามโคก จังหวัดปทุมธานี ในสถานการณ์การแพร่ระบาดของโรคโควิด 19</t>
  </si>
  <si>
    <t>ผู้ช่วยศาสตราจารย์ ดร.สุดาวรรณ สมใจ</t>
  </si>
  <si>
    <t>10998/2565</t>
  </si>
  <si>
    <t xml:space="preserve"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จังหวัดชายแดนใต้ </t>
  </si>
  <si>
    <t>กองอำนวยการรักษาความมั่นคงภายในราชอาณาจักร</t>
  </si>
  <si>
    <t>อาจารย์ ดร.เมธา หริมเทพาธิป</t>
  </si>
  <si>
    <t>สัญญาจ้างเลขที่ 6/2565</t>
  </si>
  <si>
    <t>การพัฒนาผลิตภัณฑ์นิสตเซรั่มวิบวับด้วยเกลือหิมาลายัน</t>
  </si>
  <si>
    <t>บริษัท โว้ค อัพ ทาวน์ จำกัด</t>
  </si>
  <si>
    <t>ผู้ช่วยศาสตราจารย์ ดร.ณัฐณภรณ์ เอกนราจินดาวัฒน์ 50%</t>
  </si>
  <si>
    <t>สัญญาเลขที่ 1/2565</t>
  </si>
  <si>
    <t>อาจารย์ ดร.ดำเกิง อัศวสุนทรางกุล  25%</t>
  </si>
  <si>
    <t>ศูนย์การศึกษาจังหวัดอุดรธานี (วิทยาลัยการเมืองฯ)</t>
  </si>
  <si>
    <t>อาจารย์ ดร.ณัฏฐชัย เอกนราจินดาวัฒน์  25%</t>
  </si>
  <si>
    <t>การพัฒนาผลิตภัณฑ์เจลลี่มะขามป้อมด้วยนวัตกรรม Syrinx (ไซนิกซ์)</t>
  </si>
  <si>
    <t>บริษัท เอสซีจี แกรนด์ จำกัด</t>
  </si>
  <si>
    <t>ผู้ช่วยศาสตราจารย์ ดร.ณัฐณภรณ์ เอกนราจินดาวัฒน์  65%</t>
  </si>
  <si>
    <t>อาจารย์ ดร.ณัฏฐชัย เอกนราจินดาวัฒน์  15%</t>
  </si>
  <si>
    <t>อาจารย์ศุภกานต์ โสภาพร  10%</t>
  </si>
  <si>
    <t>อาจารย์ธีรารัตน์ อำนาจเจริญ  10%</t>
  </si>
  <si>
    <t>ศูนย์การศึกษาจังหวัดอุดรธานี (วิทยาลัยการจัดการอุตสาหกรรมฯ)</t>
  </si>
  <si>
    <t>รูปแบบการพัฒนาคุณภาพชีวิตในการทำงานของแรงงานสูงวัยนอกระบบในเขตเทศบาลเมืองคลองหลวง อำเภอคลองหลวง จังหวัดปทุมธานี ในสถานการณ์การแพร่ระบาดของโรคโควิด 19</t>
  </si>
  <si>
    <t>อาจารย์ ดร.สโรชินี ศิริวัฒนา</t>
  </si>
  <si>
    <t>10997/2565</t>
  </si>
  <si>
    <t>การพัฒนาผลิตภัณฑ์กาแฟสำเร็จรูปผสมมะขามแดง</t>
  </si>
  <si>
    <t>ผู้ช่วยศาสตราจารย์ ดร.ณัฐณภรณ์ เอกนราจินดาวัฒน์ 70%</t>
  </si>
  <si>
    <t>11004/2565</t>
  </si>
  <si>
    <t>อาจารย์ ดร.ณัฏฐชัย เอกนราจินดาวัฒน์ 30%</t>
  </si>
  <si>
    <t>การพัฒนาสารเดนโดรเบี้ยมจากกล้วยไม้สกุลหวายด้วยนวัตกรรมไซนิกซ์ในเครื่องสำอางค์</t>
  </si>
  <si>
    <t>ผู้ช่วยศาสตราจารย์ ดร.ณัฐณภรณ์ เอกนราจินดาวัฒน์  60%</t>
  </si>
  <si>
    <t>มรภสส003-2565</t>
  </si>
  <si>
    <t>อาจารย์ ดร.ดำเกิง อัศวสุนทรางกุล  10%</t>
  </si>
  <si>
    <t>อาจารย์ ดร.ณัฏฐชัย เอกนราจินดาวัฒน์  30%</t>
  </si>
  <si>
    <t>โครงการจ้างที่ปรึกษาพัฒนานวัตกรรม ผลิตภัณฑ์เสริมอาหารบี&amp;พีเจลลี่ คอลาเจน สารสกัดจากข้าวในรูปแบบ Jelly Collagen Stick</t>
  </si>
  <si>
    <t>บริษัท บีแอนด์พี ไทยแบรนด์กรุ๊ป จำกัด</t>
  </si>
  <si>
    <t>ผู้ช่วยศาสตราจารย์ ดร.ณัฐณภรณ์ เอกนราจินดาวัฒน์  50%</t>
  </si>
  <si>
    <t>มรภสส 008/2565</t>
  </si>
  <si>
    <t>อาจารย์ ดร.ณัฏฐชัย เอกนราจินดาวัฒน์  40%</t>
  </si>
  <si>
    <t>อาจารย์ ดร.ดำเกิง อัศวสุนทรางกุล   10%</t>
  </si>
  <si>
    <t>การจัดการความรู้การวิจัยและพัฒนาสับปะรดปัตตาเวีย จังหวัดระยอง ด้วยนวัตกรรมอาหารสร้างมูลค่าเพิ่มและบรรจุภัณฑ์จากของเหลือทิ้งทางการเกษตร เพื่อแก้ไขปัญหาสับปะรดล้นตลาด</t>
  </si>
  <si>
    <t>อาจารย์ ดร.พลอยทราย โอฮาม่า</t>
  </si>
  <si>
    <t>บัณฑิตวิทยาลัย (กลุ่มวิทยาศาสตร์ฯ)</t>
  </si>
  <si>
    <t>สัญญาเลขที่ N71B650032</t>
  </si>
  <si>
    <t>การพัฒนาพื้นที่ท่องเที่ยวเชิงประวัติศาสตร์และวัฒนธรรมเพื่อการแข่งขันเชิงธุรกิจของจังหวัดอุดรธานี</t>
  </si>
  <si>
    <t xml:space="preserve">อาจารย์ ดร.ชญานันท์ เกิดพิทักษ์ 45%
</t>
  </si>
  <si>
    <t xml:space="preserve"> วิทยาลัยนวัตกรรมและการจัดการ
</t>
  </si>
  <si>
    <t>งป 11128/2565</t>
  </si>
  <si>
    <t xml:space="preserve">รองศาสตราจารย์ ดร. ชุติกาญจน์ ศรีวิบูลย์ 20%
</t>
  </si>
  <si>
    <t xml:space="preserve">รองศาสตราจารย์ ดร. บัณฑิต ผังนิรันดร์ 15%
</t>
  </si>
  <si>
    <t xml:space="preserve">อาจารย์นภัสสร เกิดพิทักษ์ 10%
</t>
  </si>
  <si>
    <t>การพัฒนาการตลาดเชิงรุกเพื่อการแข่งขันเชิงธุรกิจของการท่องเที่ยวเชิง ประวัติศาสตร์และวัฒนธรรมของจังหวัดอุดรธานี</t>
  </si>
  <si>
    <t xml:space="preserve">
</t>
  </si>
  <si>
    <t xml:space="preserve">อาจารย์ ดร.ชญานันท์ เกิดพิทักษ์  50%
</t>
  </si>
  <si>
    <t>งป 11170/2565</t>
  </si>
  <si>
    <t>อาจารย์นภัสสร เกิดพิทักษ์ 15%</t>
  </si>
  <si>
    <t>อาจารย์ธีรพงศ์ พงษ์เพ็ง 15%</t>
  </si>
  <si>
    <t>อาจารย์ ดร.วิไลลักษณ์ รักบำรุง 5%</t>
  </si>
  <si>
    <t>อาจารย์ ดร.นธายุ วันทยะกุล 5%</t>
  </si>
  <si>
    <t>ผู้ช่วยศาสตราจารย์วีระ โชติธรรมาภรณ์ 5%</t>
  </si>
  <si>
    <t>อาจารย์สกุล จริยาแจ่มสิทธิ์ 5%</t>
  </si>
  <si>
    <t>ศักยภาพการจัดการการท่องเที่ยวเชิงนิเวศและเชิงสุขภาพของวิสาหกิจชุมชนในจังหวัดระนอง</t>
  </si>
  <si>
    <t xml:space="preserve">อาจารย์ ดร.ศิริญญา ศิริญานันท์ 80%
</t>
  </si>
  <si>
    <t>10647/2565</t>
  </si>
  <si>
    <t>ผู้ช่วยศาสตราจารย์ พิเศษ พันเอก ดร.วัลลภ พิริยวรรธนะ 5%</t>
  </si>
  <si>
    <t>อาจารย์ธวัช พุ่มดารา 5%</t>
  </si>
  <si>
    <t>อาจารย์บริบูรณ์ ฉลอง 5%</t>
  </si>
  <si>
    <t>ผู้ช่วยศาสตราจารย์ ดร.จักรวาล สุขไมตรี 5%</t>
  </si>
  <si>
    <t>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</si>
  <si>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 xml:space="preserve">อาจารย์ปัณณิกา โพธิเวชเทวัญ 5%
</t>
  </si>
  <si>
    <t>10753/2565</t>
  </si>
  <si>
    <t>ผู้ช่วยศาสตราจารย์อาภาภรณ์ โพธิ์กระจ่าง 25%</t>
  </si>
  <si>
    <t>ผู้ช่วยศาสตราจารย์อภิญญา วิเศษสิงห์ 70%</t>
  </si>
  <si>
    <t>นวัตกรรมการส่งเสริมการขายสำหรับวิสาหกิจชุมชนรายย่อยในจังหวัดสมุทรสงคราม</t>
  </si>
  <si>
    <t xml:space="preserve">อาจารย์ ดร.ธงไชย สุรินทร์วรางกูร 60%
</t>
  </si>
  <si>
    <t>10554/2565</t>
  </si>
  <si>
    <t>อาจารย์ ดร.สุธา พงศ์ถาวรภิญโญ 5%</t>
  </si>
  <si>
    <t>ผู้ช่วยศาสตราจารย์วรางคณา จิตราภัณฑ์ 5%</t>
  </si>
  <si>
    <t>ผู้ช่วยศาสตราจารย์อภิญญา วิเศษสิงห์ 5%</t>
  </si>
  <si>
    <t>ผู้ช่วยศาสตราจารย์ ดร.สมภูมิ แสวงกุล 5%</t>
  </si>
  <si>
    <t>อาจารย ดร.ลดาพร พิทักษ์ 5%</t>
  </si>
  <si>
    <t>ผู้ช่วยศาสตราจารย์ชิโนรส ถิ่นวิไลสกุล 5%</t>
  </si>
  <si>
    <t>ผู้ช่วยศาสตราจารย์พยนต์ธร สำเร็จกิจเจริญ 5%</t>
  </si>
  <si>
    <t>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</si>
  <si>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 xml:space="preserve">อาจารย์สัณหณัฐ จักรภัทรวงศ์ 50%
</t>
  </si>
  <si>
    <t xml:space="preserve"> วิทยาลัยการเมืองและการปกครอง
</t>
  </si>
  <si>
    <t>10577/2565</t>
  </si>
  <si>
    <t>ผู้ช่วยศาสตราจารย์ ดร.วิจิตรา ศรีสอน 20%</t>
  </si>
  <si>
    <t>ผู้ช่วยศาสตราจารย์ พิเศษ พล.ต.ท.ดร.สัณฐาน ชยนนท์ 20%</t>
  </si>
  <si>
    <t>อาจารย์ ดร.กัญญ์รัชการย์ เลิศอมรศักดิ์ 10%</t>
  </si>
  <si>
    <t>การออกแบบและพัฒนาบรรจุภัณฑ์เพื่อสอดคล้องกับอัตลักษณ์ของชุมชน</t>
  </si>
  <si>
    <t xml:space="preserve">ผู้ช่วยศาสตราจารย์หทัยพันธน์ สุนทรพิพิธ 80%
</t>
  </si>
  <si>
    <t>10858/2565</t>
  </si>
  <si>
    <t>อาจารย์บริบูรณ์ ฉลอง 20%</t>
  </si>
  <si>
    <t>การพัฒนาแอปพลิเคชันเพื่อส่งเสริมการท่องเที่ยวหัวหิน</t>
  </si>
  <si>
    <t xml:space="preserve">อาจารย์กษิติธร อัศวพงศ์วาณิช </t>
  </si>
  <si>
    <t>10734/2565</t>
  </si>
  <si>
    <t>นวัตกรรมผลิตภัณฑ์ต้นแบบกับกระบวน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</si>
  <si>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 ชุติกาญจน์ ศรีวิบูลย์</t>
  </si>
  <si>
    <t>งป 11026/2565</t>
  </si>
  <si>
    <t>นวัตกรรมการตลาดดิจิทัลสำหรับผลิตภัณฑ์ต้นแบบเชื่อมโยงการท่องเที่ยวสปาสร้างสรรค์บนฐาน ภูมิปัญญาท้องถิ่นและวัฒนธรรมจังหวัดระนอง</t>
  </si>
  <si>
    <t>อาจารย์อทิตยา บัวศรี</t>
  </si>
  <si>
    <t>งป 11036/2565</t>
  </si>
  <si>
    <t>การยกระดับการท่องเที่ยว Green Travel จังหวัดอุดรธานี เพื่อสร้างความพร้อมด้านมาตรฐานสินค้าและบริการสู่การเพิ่มขีดความสามารถในการแข่งขันได้อย่างยั่งยืน</t>
  </si>
  <si>
    <t>งป 11037/2565</t>
  </si>
  <si>
    <t>การตลาดเชิงกลยุทธ์ของการท้องเที่ยวสีเขียว (Green Tourism) จังหวัดอุดรธานี เพื่อสร้างความพร้อมสู่การเพิ่มขีดความสามารถในการแข่งขัน</t>
  </si>
  <si>
    <t xml:space="preserve">รองศาสตราจารย์ ดร. ชุติกาญจน์ ศรีวิบูลย์ 80%
</t>
  </si>
  <si>
    <t>งป 11047/2565</t>
  </si>
  <si>
    <t>อาจารย์อทิตยา บัวศรี 20%</t>
  </si>
  <si>
    <t>นวัตกรรมการตลาดดิจิทัลและการวางแผนการฝึกซ้อมตามหลักการยศาสตร สู่การพัฒนาศักยภาพด้านร่างกายนักกีฬาอีสปอร์ต</t>
  </si>
  <si>
    <t xml:space="preserve">อาจารย์อทิตยา บัวศรี 90%
</t>
  </si>
  <si>
    <t>งป 11050/2565</t>
  </si>
  <si>
    <t>อาจารย์พาโชค เลิศอัศวภัทร 5%</t>
  </si>
  <si>
    <t>อาจารย์นฤมล ชมโฉม 5%</t>
  </si>
  <si>
    <t>การพัฒนาสมรรถนะเยาวชนด้วยการฝึกอบรม สู่อาชีพใหม่และนักกีฬาอีสปอร์ตมืออาชีพ</t>
  </si>
  <si>
    <t xml:space="preserve">รองศาสตราจารย์ ดร. ชุติกาญจน์ ศรีวิบูลย์ 85%
</t>
  </si>
  <si>
    <t>งป 11051/2565</t>
  </si>
  <si>
    <t>อาจารย์นภัสกร ทรัพย์เฟื่องฟู 5%</t>
  </si>
  <si>
    <t>ผู้ช่วยศาสตราจารย์ ดร.บัณฑิต ผังนิรันดร์ 5%</t>
  </si>
  <si>
    <t>ผู้ช่วยศาสตราจารย์ ดร.ณัฐพงษ์ เตชะรัตนเสฏฐ์ 5%</t>
  </si>
  <si>
    <t>การพัฒนานวัตกรรมเชิงพื้นที่เพื่อยกระดับเศรษฐกิจฐานรากของชุมชนในจังหวัดสมุทรสงคราม</t>
  </si>
  <si>
    <t xml:space="preserve">ผู้ช่วยศาสตราจารย์ ดร.ชลภัสสรณ์ สิทธิวรงค์ชัย 70%
</t>
  </si>
  <si>
    <t>งป 11107/2565</t>
  </si>
  <si>
    <t>ผู้ช่วยศาสตราจารย์ ดร.ปรเมษฐ์ แสงอ่อน 10%</t>
  </si>
  <si>
    <t>อาจารย์สุวิตา พฤกษอาภรณ์ 10%</t>
  </si>
  <si>
    <t>อาจารย์ ดร.ดวงพร แสงทอง 10%</t>
  </si>
  <si>
    <t>การพัฒนากลยุทธ์การตลาดการท่องเที่ยว เพื่อเพิ่มประสิทธิภาพการท่องเที่ยวชุมชน สู่การยกระดับเศรษฐกิจฐานรากของจังหวัดสมุทรสงคราม</t>
  </si>
  <si>
    <t xml:space="preserve">ผู้ช่วยศาสตราจารย์ ดร.ชุมพล รอดแจ่ม 60%
</t>
  </si>
  <si>
    <t>งป 11109/2565</t>
  </si>
  <si>
    <t>รองศาสตราจารย์ ดร. ชุติกาญจน์ ศรีวิบูลย์ 10%</t>
  </si>
  <si>
    <t>อาจารย์ปัญญดา จันทกิจ 10%</t>
  </si>
  <si>
    <t>อาจารย์วรีญา คลังแสง 10%</t>
  </si>
  <si>
    <t>การยกระดับคุณภาพผลิตภัณฑ์ เพื่อสร้างมูลค่าเพิ่มของผลิตภัณฑ์ภูมิปัญญาท้องถิ่นในจังหวัดสมุทรสงคราม สู่เศรษฐกิจดิจิทัล</t>
  </si>
  <si>
    <t xml:space="preserve">อาจารย์ ดร.พนิดา นิลอรุณ 50%
</t>
  </si>
  <si>
    <t>งป 11110/2565</t>
  </si>
  <si>
    <t>ผู้ช่วยศาสตราจารย์ ดร.ชลภัสสรณ์ สิทธิวรงค์ชัย 20%</t>
  </si>
  <si>
    <t>อาจารย์ภาณุพงศ์ จันทน์ผลิน 10%</t>
  </si>
  <si>
    <t>อาจารย์รติรัตน์ ณ สงขลา 10%</t>
  </si>
  <si>
    <t>นวัตกรรมการพัฒนาเชิงพื้นที่เพื่อยกระดับเศรษฐกิจฐานรากของชุมชน สู่การสร้างมูลค่าเพิ่มของผลิตภัณฑ์ด้วยทุนทางวัฒนธรรมเพื่อเสริมสร้างการท่องเที่ยวชุมชนในจังหวัดสมุทรสงคราม</t>
  </si>
  <si>
    <t xml:space="preserve">ผู้ช่วยศาสตราจารย์ ดร.ชลภัสสรณ์ สิทธิวรงค์ชัย  70%
</t>
  </si>
  <si>
    <t>งป 11112/2565</t>
  </si>
  <si>
    <t>ผู้ช่วยศาสตราจารย์ ดร.ชุมพล รอดแจ่ม 10%</t>
  </si>
  <si>
    <t>อาจารย์ ดร.พนิดา นิลอรุณ 10%</t>
  </si>
  <si>
    <t>รูปแบบการจัดการเทคโนโลยีเพื่อกำหนดความสามารถทางการรองรับนักท่องเที่ยว ของจังหวัดสมุทรสงคราม</t>
  </si>
  <si>
    <t xml:space="preserve">ผู้ช่วยศาสตราจารย์เอกณรงค์ วรสีหะ 75%
</t>
  </si>
  <si>
    <t>งป 11113/2565</t>
  </si>
  <si>
    <t>อาจารย์จิราภรณ์ บุญยิ่ง 5%</t>
  </si>
  <si>
    <t>อาจารย์เย็นจิต คงปาน 5%</t>
  </si>
  <si>
    <t>ผู้ช่วยศาสตราจารย์ ดร.พลัง วงษ์ธนสุภรณ์ 5%</t>
  </si>
  <si>
    <t>อาจารย์วรีญา คลังแสง 5%</t>
  </si>
  <si>
    <t>รูปแบบการพัฒนาผลิตภัณฑ์ท้องถิ่นโดยการผสมผสานทุนทางวัฒนธรรมเพื่อเพิ่มศักยภาพเศรษฐกิจชุมชน ของจังหวัดสมุทรสงคราม</t>
  </si>
  <si>
    <t xml:space="preserve">อาจารย์ ดร.พนิดา นิลอรุณ 60%
</t>
  </si>
  <si>
    <t>งป 11115/2565</t>
  </si>
  <si>
    <t>อาจารย์ ดร.ภูดิศ​ นอขุนทด 25%</t>
  </si>
  <si>
    <t>อาจารย์จิราภรณ์ บุญยิ่ง 10%</t>
  </si>
  <si>
    <t>การพัฒนาแหล่งท่องเที่ยวใหม่เพื่อส่งเสริมการท่องเที่ยววิถีวัฒนธรรมเพื่อยกระดับเศรษฐกิจท้องถิ่น ของจังหวัดสมุทรสงคราม</t>
  </si>
  <si>
    <t xml:space="preserve">อาจารย์จิราภรณ์ บุญยิ่ง 70%
</t>
  </si>
  <si>
    <t>งป 11116/2565</t>
  </si>
  <si>
    <t>ผู้ช่วยศาสตราจารย์เอกณรงค์ วรสีหะ  5%</t>
  </si>
  <si>
    <t>ผู้ช่วยศาสตราจารย์ ดร.ชุมพล รอดแจ่ม  5%</t>
  </si>
  <si>
    <t>การพัฒนาแหล่งท่องเที่ยวใหม่ด้วยทุนทางวัฒนธรรม ของจังหวัดสมุทรสงคราม</t>
  </si>
  <si>
    <t xml:space="preserve">อาจารย์ ดร.จิราภรณ์ บุญยิ่ง 70%
</t>
  </si>
  <si>
    <t>งป 11118/2565</t>
  </si>
  <si>
    <t>รองศาสตราจารย์ ดร.บัณฑิต ผังนิรันดร์ 5%</t>
  </si>
  <si>
    <t>ผู้ช่วยศาสตราจารย์เอกณรงค์ วรสีหะ 5%</t>
  </si>
  <si>
    <t>ผู้ช่วยศาสตราจารย์ ดร.ปรเมษฐ์ แสงอ่อน 5%</t>
  </si>
  <si>
    <t>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ในการเชื่อมโยงเครือข่ายเส้นทางแหล่งท่องเที่ยวเชิงเกษตรตามศาสตร์พระราชา จังหวัดสมุทรสงคราม</t>
  </si>
  <si>
    <t xml:space="preserve">อาจารย์ปัญญดา จันทกิจ 50%
</t>
  </si>
  <si>
    <t>งป 11120/2565</t>
  </si>
  <si>
    <t>ผู้ช่วยศาสตราจารย์ ดร.ชุมพล รอดแจ่ม 40%</t>
  </si>
  <si>
    <t>อาจารย์ ดร.จิราภรณ์ บุญยิ่ง  10%</t>
  </si>
  <si>
    <t>การพัฒนาวิสาหกิจชุมชนท่องเที่ยวเชิงเกษตรและเครือข่ายแม่บ้านเกษตรกรให้มีขีดความสามารถในการพัฒนาทรัพยากรมนุษย์เพื่อยกระดับเศรษฐกิจชุมชนตามศาสตร์พระราชา จังหวัดสมุทรสงคราม</t>
  </si>
  <si>
    <t>ผู้ช่วยศาสตราจารย์ ดร. ชุมพล รอดแจ่ม 80%</t>
  </si>
  <si>
    <t>งป 11122/2565</t>
  </si>
  <si>
    <t>ผู้ช่วยศาสตราจารย์ ดร. จักรวาล สุขไมตรี 10%</t>
  </si>
  <si>
    <t>การส่งเสริมและพัฒนาขีดความสามารถในการผลิตสินค้าและบริการทางการเกษตรของวิสาหกิจชุมชนและเครือข่ายแม่บ้านเกษตรกรตามศาสตร์พระราชา จังหวัดสมุทรสงคราม</t>
  </si>
  <si>
    <t xml:space="preserve">ผู้ช่วยศาสตราจารย์ ดร.ชลภัสสรณ์ สิทธิวรงค์ชัย 50%
</t>
  </si>
  <si>
    <t>งป 11123/2565</t>
  </si>
  <si>
    <t>ผู้ช่วยศาสตราจารย์ ดร.ชุมพล รอดแจ่ม 30%</t>
  </si>
  <si>
    <t>ผู้ช่วยศาสตราจารย์ ดร.จักรวาล สุขไมตรี 10%</t>
  </si>
  <si>
    <t>นวัตกรรม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ตามศาสตร์พระราชาของจังหวัดสมุทรสงคราม</t>
  </si>
  <si>
    <t>ผู้ช่วยศาสตราจารย์ ดร.ชุมพล รอดแจ่ม</t>
  </si>
  <si>
    <t>งป 11124/2565</t>
  </si>
  <si>
    <t>การสร้างแบรนด์ชุมชนและแบรนด์ผลิตภัณฑ์ชุมชนเพื่อการแข่งขันเชิงธุรกิจของการท่องเที่ยวเชิงประวัติศาสตร์และวัฒนธรรมของจังหวัดอุดรธานี</t>
  </si>
  <si>
    <t xml:space="preserve">รองศาสตราจารย์ ดร. ชุติกาญจน์ ศรีวิบูลย์ 50%
</t>
  </si>
  <si>
    <t xml:space="preserve"> วิทยาลัยนวัตกรรมและการจัดการ
 </t>
  </si>
  <si>
    <t>งป 11126/2565</t>
  </si>
  <si>
    <t>ผู้ช่วยศาสตราจารย์ ดร. สุพัตรา ปราณี 10%</t>
  </si>
  <si>
    <t>อาจารย์ นภัสสร เกิดพิทักษ์ 10%</t>
  </si>
  <si>
    <t>อาจารย์ ธีรพงศ์ พงษ์เพ็ง 10%</t>
  </si>
  <si>
    <t>อาจารย์ นฤมล ชมโฉม 10%</t>
  </si>
  <si>
    <t>การพัฒนา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</si>
  <si>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ดร.พนิดา นิลอรุณ  70%
</t>
  </si>
  <si>
    <t xml:space="preserve"> วิทยาลัยนวัตกรรมและการจัดการ
</t>
  </si>
  <si>
    <t>งป 11155/2565</t>
  </si>
  <si>
    <t>อาจารย์ วีระพล วิชญานุภาพ 5%</t>
  </si>
  <si>
    <t>อาจารย์ รติรัตน์ ณ สงขลา 5%</t>
  </si>
  <si>
    <t>อาจารย์ สุวิตา พฤกษอาภรณ์ 5%</t>
  </si>
  <si>
    <t>อาจารย์ วรีญา คลังแสง 5%</t>
  </si>
  <si>
    <t>ผู้ช่วยศาสตราจารย์ ดร.ชุมพล รอดแจ่ม 5%</t>
  </si>
  <si>
    <t>การพัฒนาผลิตภัณฑ์และบรรจุภัณฑ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</si>
  <si>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 วิทยาลัยนวัตกรรมและการจัดการ
 </t>
  </si>
  <si>
    <t>งป 11156/2565</t>
  </si>
  <si>
    <t>อาจารย์ จิรวัฒน์ สุดสวาท 5%</t>
  </si>
  <si>
    <t>อาจารย์ ดร.จิราภรณ์ บุญยิ่ง 5%</t>
  </si>
  <si>
    <t>การพัฒนากลยุทธ์การตลาดเชิงรุกและการประชาสัมพันธ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</si>
  <si>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วรีญา คลังแสง 65%
</t>
  </si>
  <si>
    <t>งป 11157/2565</t>
  </si>
  <si>
    <t>การพัฒนาผลิตภัณฑ์ชุมชนเพื่อส่งเสริมท่องเที่ยวเชิงสุขภาพ ในจังหวัดระนอง</t>
  </si>
  <si>
    <t xml:space="preserve">รองศาสตราจารย์ ดร.กัญญามน กาญจนาทวีกูล 60%
</t>
  </si>
  <si>
    <t>งป 11158/2565</t>
  </si>
  <si>
    <t>อาจารย์ ดร.วรรณพร พุทธภูมิพิทักษ์ 20%</t>
  </si>
  <si>
    <t>อาจารย์ ดร.เปรมกมล จันทร์กวีกูล 10%</t>
  </si>
  <si>
    <t>อาจารข์ ดร.ศิริญญา ศิริญานันท์ 10%</t>
  </si>
  <si>
    <t>การพัฒนาผลิตภัณฑ์ชุมชนที่โดดเด่นเพื่อส่งเสริมการค้าระหว่างประเทศของ 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</si>
  <si>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รติรัตน์ ณ สงขลา 80%
</t>
  </si>
  <si>
    <t>งป 11160/2565</t>
  </si>
  <si>
    <t>อาจารย์ สุวิตา พฤกษอาภรณ์5%</t>
  </si>
  <si>
    <t>การพัฒนาคุณภาพและขอรับรองมาตรฐานของผลิตภัณฑ์สินค้าประมงพื้นบ้านในจังหวัดระนอง</t>
  </si>
  <si>
    <t xml:space="preserve">ผู้ช่วยศาสตราจารย์ ดร.ปรเมษฐ์ แสงอ่อน  50%
</t>
  </si>
  <si>
    <t>งป 11162/2565</t>
  </si>
  <si>
    <t>ผู้ช่วยศาสตราจารย์ ดร.สุพัตรา ปราณี 50%</t>
  </si>
  <si>
    <t>การยกระดับเศรษฐกิจชุมชนเพื่อส่งเสริมการท่องเที่ยวเชิงสุขภาพ จังหวัดระนอง</t>
  </si>
  <si>
    <t xml:space="preserve">ผู้ช่วยศาสตราจารย์ ดร.ปรเมษฐ์ แสงอ่อน 55%
</t>
  </si>
  <si>
    <t>งป 11164/2565</t>
  </si>
  <si>
    <t>รองศาสตราจารย์ ดร.กัญญามน กาญจนาทวีกูล 15%</t>
  </si>
  <si>
    <t>อาจารย์ ดร.วรรณพร พุทธภูมิพิทักษ์ 15%</t>
  </si>
  <si>
    <t>อาจารย์ ดร.เปรมกมล จันทร์กวีกูล 5%</t>
  </si>
  <si>
    <t>อาจารย์ ดร.ศิริญญา ศิริญานันท์ 5%</t>
  </si>
  <si>
    <t>การพัฒนาผลิตภัณฑ์และบรรจุภัณฑ์สินค้าประมงพื้นบ้านเพื่อเพิ่มมูลค่าผลิตภัณฑ์ในจังหวัดระนอง</t>
  </si>
  <si>
    <t xml:space="preserve">อาจารย์ ณธกร คุ้มเพชร 65%
</t>
  </si>
  <si>
    <t>งป 11166/2565</t>
  </si>
  <si>
    <t>รองศาสตราจารย์ ดร. บัณฑิต ผังนิรันดร์ 5%</t>
  </si>
  <si>
    <t>ผู้ช่วยศาสตราจารย์ ดร.ธนพล ก่อฐานะ 5%</t>
  </si>
  <si>
    <t>อาจารย์ ณิชชา คุ้มเพชรรัฐ 5%</t>
  </si>
  <si>
    <t>ผู้ช่วยศาสตราจารย์ ทวีป พรหมอยู่ 5%</t>
  </si>
  <si>
    <t>อาจารย์วัชรินทร์ แสงมา 5%</t>
  </si>
  <si>
    <t>อาจารย์ จงดี พฤกษารักษ์ 5%</t>
  </si>
  <si>
    <t>การยกระดับผลิตภัณฑ์สินค้าประมงพื้นบ้านเพื่อเพิ่มมูลค่าผลิตภัณฑ์ในจังหวัดระนอง</t>
  </si>
  <si>
    <t xml:space="preserve">ผู้ช่วยศาสตราจารย์ ดร.สุพัตรา ปราณี 85%
</t>
  </si>
  <si>
    <t>งป 11167/2565</t>
  </si>
  <si>
    <t>การพัฒนาตลาดเชิงรุกและประชาสัมพันธ์ผลิตภัณฑ์ประมงพื้นบ้านเพิ่มมูลค่าผลิตภัณฑ์ในจังหวัดระนอง.</t>
  </si>
  <si>
    <t>งป 11168/2565</t>
  </si>
  <si>
    <t>ผู้ช่วยศาสตราจารย์ วิจิตรา ศรีสอน 5%</t>
  </si>
  <si>
    <t>อาจารย์ พรรณนลิน สัชฌุกร 5%</t>
  </si>
  <si>
    <t>อาจารย์ นฤมล ชมโฉม 5%</t>
  </si>
  <si>
    <t>การจัดการตลาดของผลิตภัณฑ์ชุมชนเพื่อการท่องเที่ยวเชิงสุขภาพ ในจังหวัดระนอง</t>
  </si>
  <si>
    <t xml:space="preserve">อาจารย์ ดร.วรรณพร พุทธภูมิพิทักษ์ 60%
</t>
  </si>
  <si>
    <t xml:space="preserve">วิทยาลัยนวัตกรรมและการจัดการ
 </t>
  </si>
  <si>
    <t>งป 11169/2565</t>
  </si>
  <si>
    <t>รองศาสตราจารย์ ดร.กัญญามน กาญจนาทวีกูล 20%</t>
  </si>
  <si>
    <t>ผู้ช่วยศาสตราจารย์ ดร.ปรเมษฐ์ แสงอ่อน 15%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</si>
  <si>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</si>
  <si>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</si>
  <si>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ผู้ช่วยศาสตราจารย์ ดร.สุพัตรา ปราณี 25%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</si>
  <si>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</si>
  <si>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</si>
  <si>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</si>
  <si>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อาจารย์ ดร.พนิดา นิลอรุณ  25%</t>
  </si>
  <si>
    <t>การจัดการเชิงกลยุทธ์กีฬาอีสปอร์ตในประเทศไทย</t>
  </si>
  <si>
    <t>อาจารย์ ดร.นธายุ วันทยะกุล</t>
  </si>
  <si>
    <t>10971/2565</t>
  </si>
  <si>
    <t>แนวทางการจัดการกีฬาอีสปอร์ตสู่กีฬาอาชีพ สำหรับผู้เล่นหญิง</t>
  </si>
  <si>
    <t xml:space="preserve">	อาจารย์ ดร.ณัฐวุฒิ พลศรี</t>
  </si>
  <si>
    <t>10989/2565</t>
  </si>
  <si>
    <t>การพัฒนาระบบสารสนเทศสำหรับการบริหารจัดการการท่องเที่ยวเชิงสุขภาพเพื่อยกระดับเศรษฐกิจชุมชน จังหวัดระนองในจังหวัดระนอง</t>
  </si>
  <si>
    <t xml:space="preserve">อาจารย์ ดร.วิไลลักษณ์ รักบำรุง 55%
</t>
  </si>
  <si>
    <t>งป 11129/2565</t>
  </si>
  <si>
    <t>รองศาสตราจารย์ ดร.กัญญามน กาญจนาทวีกูล 10%</t>
  </si>
  <si>
    <t>อาจารย์ ดร.วรรณพร พุทธภูมิพิทักษ์ 10%</t>
  </si>
  <si>
    <t>อาจารย์ ดร.เฉลิมพล ทัพซ้าย 5%</t>
  </si>
  <si>
    <t>อาจารย์คัทลียา จันดา 5%</t>
  </si>
  <si>
    <t>การพัฒนาต้นแบบผลิตภัณฑ์ของฝากของที่ระลึกเพื่อการท่องเที่ยววิสาหกิจชุมชนกลุ่มแปรรูปข้าวบ้านเชียงกรมสู่มาตรฐานสินค้า</t>
  </si>
  <si>
    <t>ผู้ช่วยศาสตราจารย์ ดร.ภัทรวิทย์ อยู่วัฒนะ 80%</t>
  </si>
  <si>
    <t>10760/2565</t>
  </si>
  <si>
    <t>ผู้ช่วยศาสตราจารย์ ดร.กมลวรรณ อยู่วัฒนะ 20%</t>
  </si>
  <si>
    <t>การพัฒนากลยุทธ์ทางการตลาดสำหรับผลิตภัณฑ์ของวิสาหกิจชุมชนกลุ่มแปรรูปข้าวบ้านเชียงกรมสู่สินค้ามาตรฐานเพื่อการท่องเที่ยว</t>
  </si>
  <si>
    <t xml:space="preserve">ผู้ช่วยศาสตราจารย์ ดร.ภัทรวิทย์ อยู่วัฒนะ </t>
  </si>
  <si>
    <t>10925/2565</t>
  </si>
  <si>
    <t>โครงการศึกษาสภาพปัญหาจากการบังคับใช้พระราชบัญญัติส่งเสริมกีฬาอาชีพ พ.ศ. 2556</t>
  </si>
  <si>
    <t>รองศาสตราจารย์ ดร.บรรจบ ภิรมย์คำ 50%</t>
  </si>
  <si>
    <t>93/2564</t>
  </si>
  <si>
    <t>อาจารย์ ดร.กิตติพงษ์ โพธิมู 15%</t>
  </si>
  <si>
    <t>อาจารย์ ดร.ณัฐวุฒิ พลศรี 15%</t>
  </si>
  <si>
    <t>อาจารย์ ดร.อาชวิทธิ์ เจิงกลิ่นจันทน์ 10%</t>
  </si>
  <si>
    <t>อาจารย์ ดร.ปริญญา ขวัญเมืองวานิช 10%</t>
  </si>
  <si>
    <t>โครงการจ้างดำเนินการส่งเสริมการรู้เท่าทันสื่อของประชาชน</t>
  </si>
  <si>
    <t>กองทุนพัฒนาสื่อปลอดภัยและสร้างสรรค์</t>
  </si>
  <si>
    <t>รองศาสตราจารย์ ดร.กัญญามน กาญจนาทวีกูล 50%</t>
  </si>
  <si>
    <t>25/2565</t>
  </si>
  <si>
    <t>ผู้ช่วยศาสตราจารย์สุปราณี วัฒนสิน 10%</t>
  </si>
  <si>
    <t>อาจารย์ ดร.วรรณพร พุทธภูมิพิทักษ์ 30%</t>
  </si>
  <si>
    <t>การวิเคราะห์เส้นทางความสัมพันธ์เชิงสาเหตุที่มีอิทธิพลต่อการพัฒนาทุนทางเศรษฐกิจท้องถิ่นของวิสาหกิจชุมชนส่งเสริมสร้างตราสินค้าผลิตภัณฑ์ทางการท่องเที่ยว</t>
  </si>
  <si>
    <t>วนก-ส-01/2565</t>
  </si>
  <si>
    <t>การวิเคราะห์เส้นทางความสัมพันธ์เชิงสาเหตุที่มีอิทธิพลต่อการพัฒนาศักยภาพการสร้างมูลค่าเพิ่มในผลิตภัณฑ์ของผู้ประกอบการวิสาหกิจชุมชนส่งเสริมสร้างการพัฒนาเศรษฐกิจชุมชน</t>
  </si>
  <si>
    <t>วนก-ส-02/2565</t>
  </si>
  <si>
    <t>การจัดการความรู้ในการตีพิมพ์เผยแพร่ผลงานวิชาการในวารสารวิชาการนานาชาติ</t>
  </si>
  <si>
    <t>ผู้ช่วยศาสตราจารย์ ดร.ชุมพล รอดแจ่ม 60%</t>
  </si>
  <si>
    <t>วนก-ค-01/2565</t>
  </si>
  <si>
    <t>ผู้ช่วยศาสตราจารย์ ดร.ชลภัสสรณ์ สิทธิวรงค์ชัย 40%</t>
  </si>
  <si>
    <t>การพัฒนาเอกลักษณ์ลวดลายผ้าหมักโคลนลำน้ำแม่ลา เพื่อยกระดับเศรษฐกิจชุมชนตำบลแม่ลาอำเภอบางระจัน จังหวัดสิงห์บุรี</t>
  </si>
  <si>
    <t>อาจารย์ ดร.วรรณพร พุทธภูมิพิทักษ์ 60%</t>
  </si>
  <si>
    <t>วนก-ว-02/2565</t>
  </si>
  <si>
    <t>รองศาสตราจารย์ ดร.กัญญามน กาญจนาทวีกูล 30%</t>
  </si>
  <si>
    <t>ผู้ช่วยศาสตราจารย์ ดร.เอกพงศ์ อินเกื้อ 10%</t>
  </si>
  <si>
    <t>การพัฒนาผลิตภัณฑ์จากผลผลิตทางการเกษตรเพื่อการแข่งขันเชิงธุรกิจ ในชุมชนบ้านรี จังหวัดอ่างทอง</t>
  </si>
  <si>
    <t>อาจารย์ นภัสสร เกิดพิทักษ์ 50%</t>
  </si>
  <si>
    <t>วนก-ว-05/2565</t>
  </si>
  <si>
    <t>อาจารย์ ธีรพงศ์ พงษ์เพ็ง 45%</t>
  </si>
  <si>
    <t>ผู้ช่วยศาสตราจารย์ ดร.ชญานันท์ เกิดพิทักษ์ 5%</t>
  </si>
  <si>
    <t>โครงการพัฒนาผลิตภัณฑ์ข้าวเกรียบปลาช่อนสมุนไพร เพื่อการพัฒนาผลิตภัณฑ์ประจำท้องถิ่นตำบลสระแจง อำภอบางระจัน จังหวัดสิงห์บุรี</t>
  </si>
  <si>
    <t>อาจารย์ ดร.ปรรณวัฒน์ ชูวิเชียร 40%</t>
  </si>
  <si>
    <t>วนก-ว-04/2565</t>
  </si>
  <si>
    <t>ผู้ช่วยศาสตราจารย์หทัยพันธน์ สุนทรพิพิธ 20%</t>
  </si>
  <si>
    <t>อาจารย์ พาโชค เลิศอัศวภัทร 20%</t>
  </si>
  <si>
    <t>อาจารย์ พีรันธร แสนสุข 20%</t>
  </si>
  <si>
    <t>การพัฒนาบรรจุภัณฑ์ผลิตภัณฑ์กะปิเพื่อเพิ่มมูลค่าสินค้าของกลุ่มผลิตกุ้งเคยบ้านนาพรุ จังหวัดระนอง</t>
  </si>
  <si>
    <t>อาจารย์ อรพรรณ เดชา 85%</t>
  </si>
  <si>
    <t>วนก-ว-06/2565</t>
  </si>
  <si>
    <t>อาจารย์ พีรันธร แสนสุข 5%</t>
  </si>
  <si>
    <t>โครงการการยกระดับภูมิปัญญาชุมชนสู่ย่านท่องเที่ยวเชิงสร้างสรรค์ในพื้นที่กรุงรัตนโกสิทร์</t>
  </si>
  <si>
    <t>หน่วยบริหารและจัดการทุนด้านการเพิ่ทความสามารถในการแข่งขันของประเทศ (บพข.)</t>
  </si>
  <si>
    <t>ผู้ช่วยศาสตราจารย์อนพัทย์ หนองคู  56%</t>
  </si>
  <si>
    <t>C10F640348</t>
  </si>
  <si>
    <t>รองศาสตราจารย์ ดร.บัณฑิต ผังนิรันดร์ 20%</t>
  </si>
  <si>
    <t>อาจารย์ภาวิณ สุทธินนท์ 12%</t>
  </si>
  <si>
    <t>ผู้ช่วยศาสตราจารย์ ดร.ชลภัสสรณ์ สิทธิวรงค์ชัย 12%</t>
  </si>
  <si>
    <t>โครงการการพัฒนาระบบและการบริหารจัดการข้อมูลขนาดใหญ่ (Big data) เชื่อมโยงโครงข่ายอาสาสมัครท่องเที่ยวไทย เพื่อยกระดับความปลอดภัยด้านการท่องเที่ยวของประเทศ</t>
  </si>
  <si>
    <t>รองศาสตราจารย์ ดร.ชุติกาญจน์ ศรีวิบูลย์ 65%</t>
  </si>
  <si>
    <t>C10F640344</t>
  </si>
  <si>
    <t>ผู้ช่วยศาสตราจารย์ ดร.ศิริลักษณ์ เกตุฉาย  5%</t>
  </si>
  <si>
    <t>อาจารย์ ดร.พิมพ์พลอย ธีรสถิตย์ธรรม 5%</t>
  </si>
  <si>
    <t>อาจารย์ พุทธิวัฒน์ ไวยวุฒิธนาภูมิ 5%</t>
  </si>
  <si>
    <t>อาจารย์ภัสรา สิริกมลศิลป์ 5%</t>
  </si>
  <si>
    <t>การพัฒนาแอปพลิเคชันแนะนำสถานที่ท่องเที่ยวจังหวัดบุรีรัมย์</t>
  </si>
  <si>
    <t>อาจารย์ กษิติธร อัศวพงศ์วาณิช</t>
  </si>
  <si>
    <t>10746/2565</t>
  </si>
  <si>
    <t>การพัฒนาเว็บไซต์รับสมัครนักศึกษา: กรณีศึกษาสาขาวิชาการจัดการระบบสารสนเทศเพื่อธุรกิจ</t>
  </si>
  <si>
    <t>10774/2565</t>
  </si>
  <si>
    <t>การบ่มเพาะวิศวกรสังคมเพื่อการยกระดับสู่การพัฒนาผลิตภัณฑ์ชุมชนบ้านเชียง อำเภอหนองหาน จังหวัดอุดรธานีบนฐานภูมิปัญญาและเศรษฐกิจสร้างสรรค์</t>
  </si>
  <si>
    <t>สัญญาเลขที่ N12B650374</t>
  </si>
  <si>
    <t>รองศาสตราจารย์ ดร.รจนา จันทราสา  20%</t>
  </si>
  <si>
    <t>ผู้ช่วยศาสตราจารย์ ดร.ยุทธนา สุดเจริญ  20%</t>
  </si>
  <si>
    <t>ผู้ช่วยศาสตราจารย์ ดร.วัฒน์ พลอยศรี   20%</t>
  </si>
  <si>
    <t>ผู้ช่วยศาสตราจารย์มรกต วรชัยรุ่งเรือง  20%</t>
  </si>
  <si>
    <t>สัญญาจ้างที่ปรึกษาศึกษาสภาพปัญหาจากการบังคับใช้พระราชบัญญัติส่งเสริมกีฬาอาชีพ พ.ศ. ๒๕๕๖</t>
  </si>
  <si>
    <t>รองศาสตราจารย์ ดร.บรรจบ ภิรมย์คำ  50%</t>
  </si>
  <si>
    <t>อาจารย์ ดร.กิตติพงษ์ โพธิมู  10%</t>
  </si>
  <si>
    <t>อาจารย์ ดร.ณัฐวุฒิ พลศรี  10%</t>
  </si>
  <si>
    <t>อาจารย์ ดร.อาชวิทธิ์ เจิงกลิ่นจันทน์  10%</t>
  </si>
  <si>
    <t>อาจารย์ ดร.ชนานันต์ สมาหิโต  10%</t>
  </si>
  <si>
    <t xml:space="preserve">โครงการสำรวจความคิดเห็นและคาดหวังของประชาชนและเจ้าหน้าที่รัฐต่อการแก้ไขปัญหาจังหวัดชายแดนภาคใต้ ประจำปีงบประมาณ พ.ศ. 2565 </t>
  </si>
  <si>
    <t>รองศาสตราจารย์ ดร.ชุติกาญจน์ ศรีวิบูลย์  35%</t>
  </si>
  <si>
    <t>สัญญาจ้างเลขที่ 46/2565</t>
  </si>
  <si>
    <t>อาจารย์ ดร.แก่นเพชร ศรานนทวัฒน์  5%</t>
  </si>
  <si>
    <t>รองศาสตราจารย์ ดร.นันทิยา น้อยจันทร์  5%</t>
  </si>
  <si>
    <t>ผู้ช่วยศาสตราจารย์ ดร.ภญ.พิมพร ทองเมือง  5%</t>
  </si>
  <si>
    <t>ผู้ช่วยศาสตราจารย์ ดร.ปรีชา พงษ์เพ็ง   5%</t>
  </si>
  <si>
    <t>ผู้ช่วยศาสตราจารย์ ดร.มารดารัตน์ สุขสง่า   5%</t>
  </si>
  <si>
    <t>อาจารย์ ดร.ขันทอง ใจดี  5%</t>
  </si>
  <si>
    <t>อาจารย์ ดร.ปัญญดา จันทกิจ   5%</t>
  </si>
  <si>
    <t>อาจารย์ ดร.ปรมัตถ์ ชุติมันต์  5%</t>
  </si>
  <si>
    <t>อาจารย์ ดร.ดวงพร แสงทอง  5%</t>
  </si>
  <si>
    <t>อาจารย์วันจักร น้อยจันทร์  5%</t>
  </si>
  <si>
    <t>อาจารย์ธีรพงศ์ พงษ์เพ็ง  5%</t>
  </si>
  <si>
    <t>อาจารย์สกุล จริยาแจ่มสิทธิ์  5%</t>
  </si>
  <si>
    <t>อาจารย์นภัสกร ทรัพย์เฟื่องฟู  5%</t>
  </si>
  <si>
    <t>การพัฒนาสมรรถนะแห่งตนในการดูแลสุขภาพ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</si>
  <si>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70%</t>
  </si>
  <si>
    <t xml:space="preserve"> วิทยาลัยพยาบาลและสุขภาพ
</t>
  </si>
  <si>
    <t>10550/2565</t>
  </si>
  <si>
    <t>ผู้ช่วยศาสตราจารย์ พิเศษ ดร.พรพรรณ วรสีหะ 30%</t>
  </si>
  <si>
    <t xml:space="preserve"> วิทยาลัยพยาบาลและสุขภาพ</t>
  </si>
  <si>
    <t>ผลของโปรแกรมการส่งเสริมการรับรู้สมรรถนะแห่งตนในการดูแลสุขภาพร่วมกับการสนับสนุนทางสังคมต่อ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</si>
  <si>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 80%</t>
  </si>
  <si>
    <t>10552/2565</t>
  </si>
  <si>
    <t xml:space="preserve">อาจารย์ศุภลักษณ์ พื้นทอง 10%
</t>
  </si>
  <si>
    <t>อาจารย์อัมพร เจียงวิริชัยกูร 10%</t>
  </si>
  <si>
    <t>ศึกษา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</si>
  <si>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อาจารย์วิสุดา แก้วพิลา 40%</t>
  </si>
  <si>
    <t>10553/2565</t>
  </si>
  <si>
    <t>รองศาสตราจารย์ประไพวรรณ ด่านประดิษฐ์ 30%</t>
  </si>
  <si>
    <t>อาจารย์ภัทราภรณ์ วงษ์เพ็ญศรี 30%</t>
  </si>
  <si>
    <t>ความสัมพันธ์ระหว่างความรอบรู้ด้านการใช้ยาอย่างสมเหตุผลและพฤติกรรมการใช้ยาอย่างสมเหตุผลของนักศึกษาพยาบาล มหาวิทยาลัยราชภัฏสวนสุนันทา  กรุงเทพมหานคร</t>
  </si>
  <si>
    <t xml:space="preserve">อาจารย์ ดร.อารยา ทิพย์วงศ์ 5%
</t>
  </si>
  <si>
    <t>10992/2565</t>
  </si>
  <si>
    <t xml:space="preserve">ผู้ช่วยศาสตราจารย์วิภากร สอนสนาม 5%
</t>
  </si>
  <si>
    <t xml:space="preserve">อาจารย์รังสิมา พัสระ 5%
</t>
  </si>
  <si>
    <t xml:space="preserve">อาจารย์ธนะวัฒน์ รวมสุก 5%
</t>
  </si>
  <si>
    <t xml:space="preserve">อาจารย์ ดร. กนิษฐ์ โง้วศิริ 5%
</t>
  </si>
  <si>
    <t xml:space="preserve">อาจารย์ ดร.ลักษณ์วิรุฬม์ โชติศิริ 5%
</t>
  </si>
  <si>
    <t>อาจารย์นงลักษณ์ แก้วทอง 70%</t>
  </si>
  <si>
    <t>Prevention of Rheumatic Heart Disease in Thailand: a Postmodern Philosophical Perspective</t>
  </si>
  <si>
    <t>อาจารย์ ดร.อารยา ทิพย์วงศ์</t>
  </si>
  <si>
    <t>11543/2565</t>
  </si>
  <si>
    <t>การพัฒนานวัตกรรมและกระบวนการผลิตภัณฑ์นํ้ามันนวดสปาจากเปลือกเม็ดมะม่วงหิมพานต์เพื่อการท่องเที่ยวสปาสร้างสรรค์บนพื้นฐานภูมิปัญญาท้องถิ่นและวัฒนธรรมจังหวัดระนอง</t>
  </si>
  <si>
    <t>อาจารย์ ดร.นรินทร์ กากะทุม</t>
  </si>
  <si>
    <t>งป 11030/2565</t>
  </si>
  <si>
    <t>การพัฒนานวัตกรรมและกระบวนการผลิตภัณฑ์บํารุงผิวหน้าจากสารสกัดดอกทองกวาวเพื่อส่งเสริมการท้องเที่ยว Green travel จังหวัดอุดรธานี เพื่อสร้างความพร้อมด้านมาตรฐานสิ้นค้าและบริการสู่การเพิ่มขีดความสามารถในการแข่งขันได้อย่างยั่งยืน</t>
  </si>
  <si>
    <t>งป 11042/2565</t>
  </si>
  <si>
    <t>การพัฒนานวัตกรรมผลิตภัณฑ์สุขภาพจากข้าวไรซ์เบอรี่สําหรับธุรกิจร้านนวดแผนไทยและสปา</t>
  </si>
  <si>
    <t xml:space="preserve">อาจารย์ ดร.นรินทร์ กากะทุม 60%
</t>
  </si>
  <si>
    <t>งป 11053/2565</t>
  </si>
  <si>
    <t>ผู้ช่วยศาสตราจารย์ ดร.ยุทธนา สุดเจริญ 30%</t>
  </si>
  <si>
    <t>รองศาสตราจารย์ ดร.รจนา จันทราสา 10%</t>
  </si>
  <si>
    <t>ผลิตภัณฑ์บรรเทาอาการผื่นคันและลดการอักเสบจากเหงือกปลาหมอ</t>
  </si>
  <si>
    <t xml:space="preserve">อาจารย์ ดร. นรินทร์ กากะทุม 60%
</t>
  </si>
  <si>
    <t xml:space="preserve">วิทยาลัยสหเวชศาสตร์
 </t>
  </si>
  <si>
    <t>งป 11059/2565</t>
  </si>
  <si>
    <t>ผู้ช่วยศาสตราจารย์ ดร.ยุทธนา สุดเจริญ 20%</t>
  </si>
  <si>
    <t>ผู้ช่วยศาสตราจารย์ คณิตดา ทองขาว 20%</t>
  </si>
  <si>
    <t>รูปแบบการแพทย์แผนไทยประยุกต์ในวังสวนสุนันทา</t>
  </si>
  <si>
    <t xml:space="preserve">ผู้ช่วยศาสตราจารย์ ศุภะลักษณ์ ฟักคำ 50%
</t>
  </si>
  <si>
    <t xml:space="preserve"> วิทยาลัยสหเวชศาสตร์
 </t>
  </si>
  <si>
    <t>งป 11083/2565</t>
  </si>
  <si>
    <t>อาจารย์ นงนุช บุญแจ้ง 25%</t>
  </si>
  <si>
    <t>อาจารย์ กิ่งแก้ว แจ้งสวัสดิ์ 25%</t>
  </si>
  <si>
    <t>ศึกษารูปแบบผลิตภัณฑ์พอกเข่าตํารับวังสวนสุนันทา</t>
  </si>
  <si>
    <t xml:space="preserve">อาจารย์ กิ่งแก้ว แจ้งสวัสดิ์ 60%
</t>
  </si>
  <si>
    <t>งป 11084/2565</t>
  </si>
  <si>
    <t>อาจารย์ นงนุช บุญแจ้ง 20%</t>
  </si>
  <si>
    <t>ผู้ช่วยศาสตราจารย์ ศุภะลักษณ์ ฟักคำ 20%</t>
  </si>
  <si>
    <t>ศึกษารูปแบบผลิตภัณฑ์นํ้ามันนวดคลายกล้ามเนื้อตํารับวังสวนสุนันทา</t>
  </si>
  <si>
    <t xml:space="preserve">อาจารย์ นงนุช บุญแจ้ง 60%
</t>
  </si>
  <si>
    <t>งป 11085/2565</t>
  </si>
  <si>
    <t>อาจารย์ กิ่งแก้ว แจ้งสวัสดิ์ 15%</t>
  </si>
  <si>
    <t>ผู้ช่วยศาสตราจารย์ ศุภะลักษณ์ ฟักคำ 15%</t>
  </si>
  <si>
    <t>อาจารย์ เรณู ผ่องเสรี 10%</t>
  </si>
  <si>
    <t>การพัฒนาทุนทรัพยากรสิ่งแวดล้อมบริบทเมืองสู่การสร้างสรรค์ผลิตภัณฑ์สมุนไพรในการเสริมสร้างสุขภาวะที่ดีของคนเมืองและสร้างรายได้ให้ชุมชนอย่างยั่งยืน</t>
  </si>
  <si>
    <t xml:space="preserve">อาจารย์ วรรณี พรมด้าว 70%
</t>
  </si>
  <si>
    <t>งป 11088/2565</t>
  </si>
  <si>
    <t>อาจารย์ ธัญญะ พรหมศร 5%</t>
  </si>
  <si>
    <t>อาจารย์ แสงสิทธิ์ กฤษฎี 5%</t>
  </si>
  <si>
    <t>อาจารย์ จตุพร อุ่นประเสริฐสุข 5%</t>
  </si>
  <si>
    <t>อาจารย์ ทิพย์วารินทร์ เบ็ญจนิรัตน์ 5%</t>
  </si>
  <si>
    <t>ผู้ช่วยศาสตราจารย์ ดร. ภูสิทธ์ ภูคำชะโนด 5%</t>
  </si>
  <si>
    <t>อาจารย์ชนกพร ปานจินดา 5%</t>
  </si>
  <si>
    <t>โครงการจัดทำข้อมูลเพื่อกำหนดมาตรฐานยาสมุนไพรไทย จำนวน 10 ชนิด</t>
  </si>
  <si>
    <t xml:space="preserve">อาจารย์ กิตติศักดิ์ แคล้ว จันทร์สุข 70%
</t>
  </si>
  <si>
    <t>งป 11137/2565</t>
  </si>
  <si>
    <t>ผู้ช่วยศาสตราจารย์ ธนขวัญ บุษบัน 10%</t>
  </si>
  <si>
    <t>อาจารย์ อนงค์นุช ทุมปัด 10%</t>
  </si>
  <si>
    <t>ผู้ช่วยศาสตราจารย์ ชุติมา คล้ายสังข์ 5%</t>
  </si>
  <si>
    <t>การศึกษาเอกลักษณทางเคมีของยาสมุนไพรไทย จำนวน 10 ชนิด</t>
  </si>
  <si>
    <t xml:space="preserve">อาจารย์ อนงค์นุช ทุมปัด 70%
</t>
  </si>
  <si>
    <t>งป 11139/2565</t>
  </si>
  <si>
    <t>อาจารย์ กิตติศักดิ์ แคล้ว จันทร์สุข 15%</t>
  </si>
  <si>
    <t>ผู้ช่วยศาสตราจารย์ ธนขวัญ บุษบัน 15%</t>
  </si>
  <si>
    <t>การศึกษาเอกลักษณทางเคมี-ฟสิกสของยาสมุนไพรไทย จำนวน 10 ชนิด</t>
  </si>
  <si>
    <t xml:space="preserve">วิทยาลัยสหเวชศาสตร์
</t>
  </si>
  <si>
    <t>งป 11140/2565</t>
  </si>
  <si>
    <t>อาจารย์ อนงค์นุช ทุมปัด 15%</t>
  </si>
  <si>
    <t>การพัฒนาศักยภาพแหล่งท่องเที่ยวเชิงสุขภาพและการบริหารจัดการอย่างยั่งยืนสำหรับผู้ประกอบการ และชุมชนหลังสถานการณ์การระบาดของไวรัสโคโรนา 2019 เพื่อให้เกิดการสร้างรายได้ในจังหวัดระนอง</t>
  </si>
  <si>
    <t xml:space="preserve">อาจารย์ ดร.พรรณี โรจนเบญจกุล 50%
</t>
  </si>
  <si>
    <t>งป 11141/2565</t>
  </si>
  <si>
    <t xml:space="preserve">อาจารย์ ทิพย์วารินทร์ เบ็ญจนิรัตน์ 10%
</t>
  </si>
  <si>
    <t>อาจารย์ จิรวัฒน์ สุดสวาท 10%</t>
  </si>
  <si>
    <t>อาจารย์ พงษ์ศักดิ์ เจริญงามเสมอ 5%</t>
  </si>
  <si>
    <t>อาจารย์ สุณัฐชา เชาว์ไว 5%</t>
  </si>
  <si>
    <t>อาจารย์ จตุพร อุ่นประเสริฐสุข 10%</t>
  </si>
  <si>
    <t>อาจารย์ ศศิเพ็ญ ครุธชั่งทอง 5%</t>
  </si>
  <si>
    <t>อาจารย์ ภาณุพันธ์ ศรีพันธุ์ 5%</t>
  </si>
  <si>
    <t>ภูมิปัญญาท้องถิ่นในการเพิ่มมูลค่าการท่องเที่ยวเชิงสุขภาพบนพื้นฐานวิถีชีวิตชุมชนของจังหวัดระนอง</t>
  </si>
  <si>
    <t xml:space="preserve">อาจารย์ จิรวัฒน์ สุดสวาท 65%
</t>
  </si>
  <si>
    <t>งป 11142/2565</t>
  </si>
  <si>
    <t>อาจารย์ ดร. พรรณี โรจนเบญจกุล 5%</t>
  </si>
  <si>
    <t>ผู้ช่วยศาสตราจารย์ พิจักษณ์ ภู่ตระกูล 5%</t>
  </si>
  <si>
    <t>อาจารย์ วีณา จันทรสมโภชน์ 5%</t>
  </si>
  <si>
    <t>อาจารย์ ณัฐชา วัฒนประภา 5%</t>
  </si>
  <si>
    <t>อาจารย์ สุวรรณา หัดสาหมัด 5%</t>
  </si>
  <si>
    <t>อาจารย์ คัทลียา จันดา 5%</t>
  </si>
  <si>
    <t>การเฝ้าระวังพาหะนำโรคมาลาเรียในพื้นที่การระบาดหนักที่สุดของจังหวัดระนองโดยการประยุกต์องค์ความรู้ทางวิทยาศาสตร์สาธารณสุขเพื่อแก้ไขปัญหาสุขภาพของประชาชนในท้องถิ่นอย่างเร่งด่วน</t>
  </si>
  <si>
    <t xml:space="preserve">ผู้ช่วยศาสตราจารย์ ธนวัฒน์ ชัยพงศ์พัชรา 60%
</t>
  </si>
  <si>
    <t>งป 11143/2565</t>
  </si>
  <si>
    <t>อาจารย์ นันทนา สุวรรณดิษฐากุล 40%</t>
  </si>
  <si>
    <t>การตรวจสอบและประเมินพันธุกรรมของยุงก้นปล่องพาหะนำโรคมาลาเรียในพื้นที่การระบาดหนักที่สุดของจังหวัดระนอง</t>
  </si>
  <si>
    <t>งป 11144/2565</t>
  </si>
  <si>
    <t>ลักษณะของความหลากหลายทางพันธุกรรมของยีนที่ใช้พัฒนาวัคซีนและการกระจายตัวของยีนดื้อยาในพื้นที่การระบาดของโรคมาลาเรียในจังหวัดระนองเปรียบเทียบกับพื้นที่ระบาดทั่วประเทศไทยเพื่อแก้ไขปัญหาสุขภาพของประชาชนในท้องถิ่นอย่างเร่งด่วน</t>
  </si>
  <si>
    <t xml:space="preserve">อาจารย์ นันทนา สุวรรณดิษฐากุล 60%
</t>
  </si>
  <si>
    <t>งป 11145/2565</t>
  </si>
  <si>
    <t>ผู้ช่วยศาสตราจารย์ ธนวัฒน์ ชัยพงศ์พัชรา 40%</t>
  </si>
  <si>
    <t>การสร้างบอร์ดเกมการเรียนรู้ DPC Model เพื่อพัฒนาทักษะการเรียนรู้และนวัตกรรม (4CS)</t>
  </si>
  <si>
    <t xml:space="preserve">ผู้ช่วยศาสตราจารย์ธนวัฒน์ ชัยพงศ์พัชรา
</t>
  </si>
  <si>
    <t>งป 11146/2565</t>
  </si>
  <si>
    <t>ผลของบอร์ดเกมการเรียนรู้ DPC Model เพื่อพัฒนาทักษะการเรียนรู้และนวัตกรรม (4CS)</t>
  </si>
  <si>
    <t>งป 11147/2565</t>
  </si>
  <si>
    <t>สวนสุนันทากับการพัฒนาผลิตภัณฑ์นวัตกรรมด้านสุขภาพสู่ชุมชน : วังสู่เวียงโมเดล</t>
  </si>
  <si>
    <t xml:space="preserve">ผู้ช่วยศาสตราจารย์ ดร. พีรดา ดามาพงษ์ 60%
</t>
  </si>
  <si>
    <t>งป 11148/2565</t>
  </si>
  <si>
    <t>ผู้ช่วยศาสตราจารย์ ดร. พงศ์มาดา ดามาพงษ์ 40%</t>
  </si>
  <si>
    <t>การวิจัยและพัฒนาผลิตภัณฑ์นวัตกรรมด้านสุขภาพวังสวนสุนันทาสู่ชุมชน : วังสู่เวียงโมเดล</t>
  </si>
  <si>
    <t>งป 11149/2565</t>
  </si>
  <si>
    <t>สวนสุนันทากับการพัฒนาผลิตภัณฑ์นวัตกรรมวัสดุเหลือใช้จากส้มโอพันธุ์ขาวใหญ่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</si>
  <si>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 xml:space="preserve">ผู้ช่วยศาสตราจารย์ ดร. พงศ์มาดา ดามาพงษ์ 60%
</t>
  </si>
  <si>
    <t>งป 11150/2565</t>
  </si>
  <si>
    <t>ผู้ช่วยศาสตราจารย์ ดร. พีรดา ดามาพงษ์ 40%</t>
  </si>
  <si>
    <t>การวิจัยและพัฒนาผลิตภัณฑ์นวัตกรรมวัสดุเหลือใช้จากส้มโอพันธุ์ขาวใหญ่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</si>
  <si>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>งป 11151/2565</t>
  </si>
  <si>
    <t>รำวงมาตรฐาน : การออกกำลังกายที่เหมาะสมกับสุขภาพผู้สูงอายุในชุมชน</t>
  </si>
  <si>
    <t xml:space="preserve">อาจารย์สุรีย์วรรณ สีลาดเลา 80%
</t>
  </si>
  <si>
    <t>10821/2565</t>
  </si>
  <si>
    <t xml:space="preserve">ผู้ช่วยศาสตราจารย์ ดร.พท.ป.วรรณวิมล เมฆวิมล กิ่งแก้ว 10%
</t>
  </si>
  <si>
    <t>ผู้ช่วยศาสตราจารย์ ดร.คมกฤช รัตตะมณี 10%</t>
  </si>
  <si>
    <t>การออกกำลังกายด้วยรำวงมาตรฐานกับคุณภาพชีวิตผู้สูงอายุ ชุมชนวัดไผ่ล้อม จังหวัดนครปฐม</t>
  </si>
  <si>
    <t xml:space="preserve">อาจารย์สุรีย์วรรณ สีลาดเลา  80%
</t>
  </si>
  <si>
    <t>10742/2565</t>
  </si>
  <si>
    <t xml:space="preserve">ผู้ช่วยศาสตราจารย์ ดร.พท.ป.วรรณวิมล เมฆวิมล กิ่งแก้ว 5%
</t>
  </si>
  <si>
    <t xml:space="preserve">อาจารย์ ดร.กันตพงษ์ ปราบสงบ 5%
</t>
  </si>
  <si>
    <t xml:space="preserve">ผู้ช่วยศาสตราจารย์ ดร.คมกฤช รัตตะมณี 5%
</t>
  </si>
  <si>
    <t>อาจารย์กนกพร สมพร 5%</t>
  </si>
  <si>
    <t>การพัฒนารูปแบบการออกกำลังกายสำหรับผู้สูงอายุในชุมชน ด้วยรำวงมาตรฐาน</t>
  </si>
  <si>
    <t>ผู้ช่วยศาสตราจารย์ ดร.พท.ป.วรรณวิมล เมฆวิมล กิ่งแก้ว 20%</t>
  </si>
  <si>
    <t>10840/2565</t>
  </si>
  <si>
    <t xml:space="preserve">อาจารย์สุรีย์วรรณ สีลาดเลา 5%
</t>
  </si>
  <si>
    <t xml:space="preserve">ผู้ช่วยศาสตราจารย์ ดร.ปิยดา วงศ์วิวัฒน์ 5%
</t>
  </si>
  <si>
    <t xml:space="preserve">อาจารย์กนกพร สมพร  60%
</t>
  </si>
  <si>
    <t>อาจารย์ ดร.รัตนา ปานเรียนแสน 5%</t>
  </si>
  <si>
    <t>การพัฒนาผลิตภัณฑ์ เอสเซ้นส์ จากสารสกัดเปลือกหุ้มเมล็ดมะขาม</t>
  </si>
  <si>
    <t xml:space="preserve">อาจารย์ พท.ป.สิริภา แหยมมี 70%
</t>
  </si>
  <si>
    <t>10602/2565</t>
  </si>
  <si>
    <t xml:space="preserve">อาจารย์ พท.ป.แสงสิทธิ์ กฤษฎี  10%
</t>
  </si>
  <si>
    <t xml:space="preserve">อาจารย์ พท.ป.สลิลทิพย์ ตันปัน 10%
</t>
  </si>
  <si>
    <t>อาจารย์ พท.ป.ปภาวี สุขดี 10%</t>
  </si>
  <si>
    <t>ยาสีฟันชนิดเม็ดจากสารสกัดตำรับยาอัมฤควาที</t>
  </si>
  <si>
    <t>10474/2565</t>
  </si>
  <si>
    <t>“I am afraid that others will feel scared and disgusted with me. So, I will keep it a secret until I die”: A qualitative study among patients with tuberculosis receiving DOTS regimen in Thailand</t>
  </si>
  <si>
    <t>อาจารย์ ดร.กันตพงษ์ ปราบสงบ</t>
  </si>
  <si>
    <t>11203/2565</t>
  </si>
  <si>
    <t>การพัฒนาผลิตภัณฑ์มาสก์ลอกออกจากสารสกัดเห็ด 3 อย่าง เพื่อพัฒนาเป็นผลิตภัณฑ์ชุมชน</t>
  </si>
  <si>
    <t>อาจารย์ พท.ป.ชนกพร ปานจินดา 50%</t>
  </si>
  <si>
    <t>10470/2565</t>
  </si>
  <si>
    <t>อาจารย์ พท.ป.กิตติศักดิ์ แคล้ว จันทร์สุข 10%</t>
  </si>
  <si>
    <t>การพัฒนาผลิตภัณฑ์ เซรั่ม จากสารสกัดเปลือกหุ้มเมล็ดมะขาม</t>
  </si>
  <si>
    <t>อาจารย์ พท.ป.แสงสิทธิ์ กฤษฎี 70%</t>
  </si>
  <si>
    <t>10512/2565</t>
  </si>
  <si>
    <t>อาจารย์ พท.ป.สิริภา แหยมมี 10%</t>
  </si>
  <si>
    <t>อาจารย์ พท.ป.สลิลทิพย์ ตันปัน 10%</t>
  </si>
  <si>
    <t>อาจารย์ พท.ป.วรรณี พรมด้าว 10%</t>
  </si>
  <si>
    <t>การพัฒนาผลิตภัณฑ์ สเปรย์ จากสารสกัดเปลือกหุ้มเมล็ดมะขาม</t>
  </si>
  <si>
    <t>อาจารย์ พท.ป.สลิลทิพย์ ตันปัน 70%</t>
  </si>
  <si>
    <t>10601/2565</t>
  </si>
  <si>
    <t>อาจารย์ พท.ป.แสงสิทธิ์ กฤษฎี 10%</t>
  </si>
  <si>
    <t>อาจารย์ พท.ป.ชนกพร ปานจินดา 10%</t>
  </si>
  <si>
    <t>การศึกษาฤทธิ์ต้านอนุมูลอิสระของสารสกัดเปลือกหุ้มเมล็ดมะขาม</t>
  </si>
  <si>
    <t>อาจารย์ พท.ป.ปภาวี สุขดี 70%</t>
  </si>
  <si>
    <t>10618/2565</t>
  </si>
  <si>
    <t>การศึกษาความพึงพอใจของนักท่องเที่ยวเชิงอนุรักษ์ทะเลบัวแดง อำเภอกุมภวาปี จังหวัดอุดรธานี</t>
  </si>
  <si>
    <t>อาจารย์ ศศิเพ็ญ ครุธชั่งทอง 50%</t>
  </si>
  <si>
    <t>11001/2565</t>
  </si>
  <si>
    <t>ร.อ.นายแพทย์พงษ์ศักดิ์ เจริญงามเสมอ 10%</t>
  </si>
  <si>
    <t>อาจารย์ ดร.พรรณี โรจนเบญจกุล 10%</t>
  </si>
  <si>
    <t>อาจารย์ ดร.ทิพย์วารินทร์ เบ็ญจนิรัตน์ 10%</t>
  </si>
  <si>
    <t>อาจารย์ สุณัฐชา เชาว์ไว 10%</t>
  </si>
  <si>
    <t>มะขาม พัฒนาพืชท้องถิ่น ยกระดับสู่สากล</t>
  </si>
  <si>
    <t>อาจารย์ พท.ป.แสงสิทธิ์ กฤษฎี 50%</t>
  </si>
  <si>
    <t>10482/2565</t>
  </si>
  <si>
    <t>อาจารย์ พท.ป.ปภาวี สุขดี10%</t>
  </si>
  <si>
    <t>อาจารย์ พท.ป.ชนกพร ปานจินดา10%</t>
  </si>
  <si>
    <t>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</si>
  <si>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 xml:space="preserve">อาจารย์ วรรณี สุทธใจดี 50%
</t>
  </si>
  <si>
    <t>10871/2565</t>
  </si>
  <si>
    <t>อาจารย์ ไกรวิทย์ สินธุคำมูล 10%</t>
  </si>
  <si>
    <t>อาจารย์ ปิยะอร ศรีวรรณ 10%</t>
  </si>
  <si>
    <t>อาจารย์ วทัญญู ชูภักตร์ 10%</t>
  </si>
  <si>
    <t>อาจารย์ รัชนีวรรณ สุจริต 10%</t>
  </si>
  <si>
    <t>อาจารย์ กานต์นภัส ช้ำเกตุ 10%</t>
  </si>
  <si>
    <t>กิจกรรมโลจิสติกส์และการได้เปรียบทางการแข่งขันส่งผลต่อการสร้างมูลค่าเพิ่มผลิตภัณฑ์จากใบเตยหอม อำเภอพุทธมณฑล จังหวัดนครปฐม</t>
  </si>
  <si>
    <t xml:space="preserve">อาจารย์ ศรีศรินทร์ สุขสุทธิ 70%
</t>
  </si>
  <si>
    <t>10737/2565</t>
  </si>
  <si>
    <t>อาจารย์ กิตติอำพล สุดประเสริฐ 10%</t>
  </si>
  <si>
    <t>ผู้ช่วยศาสตราจารย์ บุณยาพร ภู่ทอง 10%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</si>
  <si>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</si>
  <si>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 xml:space="preserve">อาจารย์ อนัญญา บรรยงพิศุทธ์ 45%
</t>
  </si>
  <si>
    <t>10564/2565</t>
  </si>
  <si>
    <t>อาจารย์ ดร. ฉัตรรัตน์ โหตระไวศยะ 15%</t>
  </si>
  <si>
    <t>อาจารย์ ศศิวิมล ว่องวิไล 10%</t>
  </si>
  <si>
    <t>อาจารย์ วราภรณ์ วิมุกตะลพ 10%</t>
  </si>
  <si>
    <t>อาจารย์ พรเกียรติ ภักดีวงศ์เทพ 10%</t>
  </si>
  <si>
    <t>อาจารย์ ปิติพจน์ แซ่เล็ก 5%</t>
  </si>
  <si>
    <t>อาจารย์ สันติพงศ์ จิโรจน์กุลกิจ 5%</t>
  </si>
  <si>
    <t>การเพิ่มศักยภาพด้านโลจิสติกส์ที่ส่งผลต่อการสร้างมูลค่าเพิ่มผลิตภัณฑ์จากมังคุด ในอำเภอกระบุรี  จังหวัดระนอง.</t>
  </si>
  <si>
    <t xml:space="preserve">อาจารย์ ศุภมิตร ศรีสวัสดิ์ 20%
</t>
  </si>
  <si>
    <t>10922/2565</t>
  </si>
  <si>
    <t>อาจารย์ น้องส้ม ศรีสวัสดิ์ 20%</t>
  </si>
  <si>
    <t>อาจารย์ แววมยุรา คำสุข 60%</t>
  </si>
  <si>
    <t>แนวทางการสร้างมูลค่าเพิ่มและความได้เปรียบในการแข่งขันในห่วงโซ่อุปทานของสินค้าเกษตรอินทรีย์จังหวัดนครปฐม</t>
  </si>
  <si>
    <t xml:space="preserve">อาจารย์ ชณิชา หมอยาดี 80%
</t>
  </si>
  <si>
    <t>10733/2565</t>
  </si>
  <si>
    <t>อาจารย์ ศรีศรินทร์ สุขสุทธิ 20%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</si>
  <si>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</si>
  <si>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 xml:space="preserve">อาจารย์ อัญชลี หิรัญแพทย์ 10%
</t>
  </si>
  <si>
    <t>10596/2565</t>
  </si>
  <si>
    <t>อาจารย์ ทมนี สุขใส 70%</t>
  </si>
  <si>
    <t>การพัฒนาการจัดการโลจิสติกส์และโซ่อุปทานในการสร้างมูลค่าเพิ่มทางการตลาดผลิตภัณฑ์จากมะพร้าวของเกษตรกรในพื้นที่จังหวัดนครปฐม</t>
  </si>
  <si>
    <t xml:space="preserve">อาจารย์ พิชญ์พิสุทธิ์ ทิศอาจ 85%
</t>
  </si>
  <si>
    <t>10771/2565</t>
  </si>
  <si>
    <t>อาจารย์ ธนะสาร พานิชยากรณ์ 5%</t>
  </si>
  <si>
    <t>อาจารย์ ธันย์ ชัยทร 5%</t>
  </si>
  <si>
    <t>อาจารย์ สุรพงศ์ อินทรภักดิ์ 5%</t>
  </si>
  <si>
    <t>ศูนย์การศึกษาจังหวัดอุดรธานี (วิทยาลัยโลจิสติกส์ฯ)</t>
  </si>
  <si>
    <t>รูปแบบการสร้างความได้เปรียบในการแข่งขันตลอดห่วงโซ่อุปทานของสินค้าเกษตรอินทรีย์จังหวัดนครปฐม</t>
  </si>
  <si>
    <t xml:space="preserve">อาจารย์ มาธุสร แข็งขัน 60%
</t>
  </si>
  <si>
    <t>10794/2565</t>
  </si>
  <si>
    <t>อาจารย์ แววมยุรา คำสุข 10%</t>
  </si>
  <si>
    <t>อาจารย์ ทมนี สุขใส 10%</t>
  </si>
  <si>
    <t>อาจารย์ ณัฎภัทรศญา เศรษฐโชติสมบัติ 10%</t>
  </si>
  <si>
    <t>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</si>
  <si>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 xml:space="preserve">อาจารย์ รัชนีวรรณ สุจริต 75%
</t>
  </si>
  <si>
    <t>10750/2565</t>
  </si>
  <si>
    <t>อาจารย์ วรรณี สุทธใจดี 5%</t>
  </si>
  <si>
    <t>อาจารย์ นิภาวรรณ ภูจอม 5%</t>
  </si>
  <si>
    <t>อาจารย์ ศรีศรินทร์ สุขสุทธิ 5%</t>
  </si>
  <si>
    <t>อาจารย์ มาธุสร แข็งขัน 5%</t>
  </si>
  <si>
    <t>อาจารย์ กานต์นภัส ช้ำเกตุ 5%</t>
  </si>
  <si>
    <t>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</si>
  <si>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 xml:space="preserve">อาจารย์ วราภรณ์ วิมุกตะลพ 70%
</t>
  </si>
  <si>
    <t>10560/2565</t>
  </si>
  <si>
    <t>อาจารย์ อนัญญา บรรยงพิศุทธ์ 20%</t>
  </si>
  <si>
    <t>อาจารย์ สันติพงศ์ จิโรจน์กุลกิจ 10%</t>
  </si>
  <si>
    <t>การพัฒนาระบบฐานข้อมูลโลจิสติกส์ปลาหางนกยูงเพื่อการส่งออกจังหวัดนครปฐม</t>
  </si>
  <si>
    <t xml:space="preserve">อาจารย์ ศิริอร สนองค์ 50%
</t>
  </si>
  <si>
    <t>10703/2565</t>
  </si>
  <si>
    <t>อาจารย์ สราวุธ พุฒนวล 10%</t>
  </si>
  <si>
    <t>อาจารย์ นิภาวรรณ ภูจอม 10%</t>
  </si>
  <si>
    <t>อาจารย์ อัญชลี หิรัญแพทย์ 10%</t>
  </si>
  <si>
    <t>อาจารย์ ดร. พงษ์เทพ ภูเดช 10%</t>
  </si>
  <si>
    <t>การพัฒนาการจัดการโลจิสติกส์และโซ่อุปทาน การสร้างมูลค่าเพิ่ม เพื่อสร้างความได้เปรียบทางการแข่งขันและเพื่อผลการดำเนินงานของเกษตรกรสินค้าเกษตรใบเตยหอมในพื้นที่จังหวัดนครปฐม</t>
  </si>
  <si>
    <t xml:space="preserve">อาจารย์ ดร. สุดารัตน์ พิมลรัตนกานต์ 80%
</t>
  </si>
  <si>
    <t>10565/2565</t>
  </si>
  <si>
    <t>อาจารย์ ดร.สุวัฒน์ นวลขาว 10%</t>
  </si>
  <si>
    <t>อาจารย์ อนุช นามภิญโญ 10%</t>
  </si>
  <si>
    <t>การออกแบบต้นแบบบรรจุภัณฑ์ผลิตภัณฑ์จากมะพร้าวของเกษตรกรในพื้นที่จังหวัดนครปฐม</t>
  </si>
  <si>
    <t xml:space="preserve">อาจารย์ ธนะสาร พานิชยากรณ์ 70%
</t>
  </si>
  <si>
    <t>10852/2565</t>
  </si>
  <si>
    <t>อาจารย์ พิชญ์พิสุทธิ์ ทิศอาจ 30%</t>
  </si>
  <si>
    <t>การพัฒนารูปแบบช่องทางการจัดจำหน่ายผลิตภัณฑ์จากมะพร้าวของเกษตรกรในพื้นที่จังหวัดนครปฐม</t>
  </si>
  <si>
    <t xml:space="preserve">อาจารย์ ธันย์ ชัยทร 100%
</t>
  </si>
  <si>
    <t>10873/2565</t>
  </si>
  <si>
    <t>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</si>
  <si>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 xml:space="preserve">อาจารย์ พรเกียรติ ภักดีวงศ์เทพ 50%
</t>
  </si>
  <si>
    <t>10727/2565</t>
  </si>
  <si>
    <t>อาจารย์ ดร.ฉัตรรัตน์ โหตระไวศยะ 20%</t>
  </si>
  <si>
    <t>อาจารย์ อนัญญา บรรยงพิศุทธ์ 10%</t>
  </si>
  <si>
    <t>อาจารย์ ปิติพจน์ แซ่เล็ก 10%</t>
  </si>
  <si>
    <t>การปฏิบัติด้านการจัดการซัพพลายเชนสีเขียวและการบริหารลูกค้าสัมพันธ์เพื่อยกระดับผลการดำเนินงานของธุรกิจผู้ผลิตอาหารในประเทศไทย</t>
  </si>
  <si>
    <t xml:space="preserve">อาจารย์ ดร.วิศวะ อุนยะวงษ์ 70%
</t>
  </si>
  <si>
    <t>10834/2565</t>
  </si>
  <si>
    <t>ผู้ช่วยศาสตราจารย์ ดร.ปรีชา วรารัตน์ไชย 30%</t>
  </si>
  <si>
    <t>แนวทางการปฏิบัติด้านการจัดการซัพพลายเชนสีเขียวเพื่อพัฒนาผลการดำเนินงานของธุรกิจผู้ผลิตอาหารเสริมในประเทศไทย</t>
  </si>
  <si>
    <t xml:space="preserve">อาจารย์ ดร.วิศวะ อุนยะวงษ์ 50%
</t>
  </si>
  <si>
    <t>10915/2565</t>
  </si>
  <si>
    <t>อาจารย์ ดร. ณัฎภัทรศญา เศรษฐโชติสมบัติ 10%</t>
  </si>
  <si>
    <t>ผู้ช่วยศาสตราจารย์ ดร.ณัฐพัชร์ อารีรัชกุลกานต์ 10%</t>
  </si>
  <si>
    <t>ผู้ช่วยศาสตราจารย์ ดร.ปรีชา วรารัตน์ไชย 10%</t>
  </si>
  <si>
    <t>อาจารย์ ศุภมิตร ศรีสวัสดิ์ 10%</t>
  </si>
  <si>
    <t>อาจารย์ พุทธิวัฒน์ ไวยวุฒิธนาภูมิ 10%</t>
  </si>
  <si>
    <t>การพัฒนาเพื่อยกระดับผลิตภัณฑ์ท้องถิ่นของสินค้าเกษตรมังคุด ในอำเภอกระบุรี จังหวัดระนอง</t>
  </si>
  <si>
    <t xml:space="preserve">อาจารย์ ดร. สุวัฒน์ นวลขาว 50%
</t>
  </si>
  <si>
    <t>10781/2565</t>
  </si>
  <si>
    <t>อาจารย์ พรพรรณา เล่าประวัติชัย 25%</t>
  </si>
  <si>
    <t>อาจารย์ อัมพิกา เล่าประวัติชัย 25%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</si>
  <si>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</si>
  <si>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 xml:space="preserve">อาจารย์ พุทธิวัฒน์ ไวยวุฒิธนาภูมิ 60%
</t>
  </si>
  <si>
    <t>10713/2565</t>
  </si>
  <si>
    <t>อาจารย์ธนวัฒน์ วิเศษสินธุ์ 5%</t>
  </si>
  <si>
    <t>อาจารย์ ดร.วิศวะ อุนยะวงษ์ 5%</t>
  </si>
  <si>
    <t>อาจารย์ อนัญญา บรรยงพิศุทธ์ 5%</t>
  </si>
  <si>
    <t>อาจารย์ วราภรณ์ วิมุกตะลพ 5%</t>
  </si>
  <si>
    <t>ผู้ช่วยศาสตราจารย์ ดร.คมสัน โสมณวัตร 5%</t>
  </si>
  <si>
    <t>อาจารย์ ภัสรา สิริกมลศิลป์ 5%</t>
  </si>
  <si>
    <t>อาจารย์ ดร.องอาจ อุ่นอนันต 5%</t>
  </si>
  <si>
    <t>การยกระดับการกระจายสินค้าของสุกรของจังหวัดนครปฐม</t>
  </si>
  <si>
    <t xml:space="preserve"> วิทยาลัยโลจิสติกส์และซัพพลายเชน
</t>
  </si>
  <si>
    <t>10895/2565</t>
  </si>
  <si>
    <t>อาจารย์ พิชญ์พิสุทธิ์ ทิศอาจ 5%</t>
  </si>
  <si>
    <t>ผู้ช่วยศาสตราจารย์ ดร.ศุภรา เจริญภูมิ 5%</t>
  </si>
  <si>
    <t>อาจารย์ สถาปัตย์ กิลาโส 5%</t>
  </si>
  <si>
    <t>อาจารย์ เบญญา หวังมหาพร 5%</t>
  </si>
  <si>
    <t>อาจารย์ พาโชค เลิศอัศวภัทร 3%</t>
  </si>
  <si>
    <t>อาจารย์ นฤมล ชมโฉม 2%</t>
  </si>
  <si>
    <t>การพัฒนาต้นแบบการบริหารจัดการโลจิสติกส์และโซ่อุปทาน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</si>
  <si>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 xml:space="preserve">อาจารย์ อัญชลี หิรัญแพทย์ 52%
</t>
  </si>
  <si>
    <t>งป 11103/2565</t>
  </si>
  <si>
    <t>อาจารย์ ทมนี สุขใส 25%</t>
  </si>
  <si>
    <t>อาจารย์ ดร. ฉัตรรัตน์ โหตระไวศยะ 5%</t>
  </si>
  <si>
    <t>อาจารย์ ศศิวิมล ว่องวิไล 4%</t>
  </si>
  <si>
    <t>อาจารย์ ไกรวิทย์ สินธุคำมูล 3%</t>
  </si>
  <si>
    <t>อาจารย์ กานต์นภัส ช้ำเกตุ 2%</t>
  </si>
  <si>
    <t>อาจารย์ รัชนีวรรณ สุจริต 1%</t>
  </si>
  <si>
    <t>อาจารย์ ดร.พงษ์เทพ ภูเดช 1%</t>
  </si>
  <si>
    <t>อาจารย์ ดร.วิศวะ อุนยะวงษ์ 2%</t>
  </si>
  <si>
    <t>อาจารย์ ศิริอร สนองค์ 1%</t>
  </si>
  <si>
    <t>อาจารย์ ปิยะอร ศรีวรรณ 1%</t>
  </si>
  <si>
    <t>อาจารย์ สราวุธ พุฒนวล 1%</t>
  </si>
  <si>
    <t>อาจารย์ วทัญญู ชูภักตร์ 2%</t>
  </si>
  <si>
    <t>การวิเคราะห์การสร้างมูลค่าเพิ่มในห่วงโซ่อุปทานของสินค้าเกษตรอินทรีย์จังหวัดนครปฐม</t>
  </si>
  <si>
    <t>อาจารย์สิทธิชัย พินธุมา 60%</t>
  </si>
  <si>
    <t>10812/2565</t>
  </si>
  <si>
    <t>อาจารย์ ดร.มะโน ปราชญาพิพัฒน์ 10%</t>
  </si>
  <si>
    <t>อาจารย์รัชนีวรรณ สุจริต 10%</t>
  </si>
  <si>
    <t>อาจารย์อัญชลี หิรัญแพทย์ 10%</t>
  </si>
  <si>
    <t xml:space="preserve">ผู้ช่วยศาสตราจารย์ ดร.ณัฐพัชร์ อารีรัชกุลกานต์ 10% </t>
  </si>
  <si>
    <t>การพัฒนาระบบโลจิสติกส์ปลาหางนกยูงเพื่อการส่งออก จังหวัดนครปฐม</t>
  </si>
  <si>
    <t xml:space="preserve">อาจารย์สราวุธ พุฒนวล 45%
</t>
  </si>
  <si>
    <t>10745/2565</t>
  </si>
  <si>
    <t>อาจารย์ศิริอร สนองค์ 5%</t>
  </si>
  <si>
    <t>อาจารย์ไกรวิทย์ สินธุคำมูล 5%</t>
  </si>
  <si>
    <t>อาจารย์ปิยะอร ศรีวรรณ 5%</t>
  </si>
  <si>
    <t>อาจารย์วรรณี สุทธใจดี 5%</t>
  </si>
  <si>
    <t>อาจารย์นิภาวรรณ ภูจอม 5%</t>
  </si>
  <si>
    <t>อาจารย์อัญชลี หิรัญแพทย์ 5%</t>
  </si>
  <si>
    <t>อาจารย์ ดร.ทมนี สุขใส 5%</t>
  </si>
  <si>
    <t>อาจารย์รัชนีวรรณ สุจริต 5%</t>
  </si>
  <si>
    <t>อาจารย์ ดร.พงษ์เทพ ภูเดช 5%</t>
  </si>
  <si>
    <t>อาจารย์กานต์นภัส ช้ำเกตุ 5%</t>
  </si>
  <si>
    <t>การพัฒนาศักยภาพในการแข่งขันของผลิตภัณฑ์ท้องถิ่นเพื่อเพิ่มมูลค่าเพิ่มการจัดการโซ่อุปทานของสินค้าเกษตรมังคุด ในอำเภอกระบุรี จังหวัดระนอง</t>
  </si>
  <si>
    <t xml:space="preserve">อาจารย์ศุภมิตร ศรีสวัสดิ์ 50%
</t>
  </si>
  <si>
    <t>10784/2565</t>
  </si>
  <si>
    <t>อาจารย์ ดร.แววมยุรา คำสุข 10%</t>
  </si>
  <si>
    <t>อาจารย์น้องส้ม ศรีสวัสดิ์ 10%</t>
  </si>
  <si>
    <t>ผู้ช่วยศาสตราจารย์ ดร.คมสัน โสมณวัตร 10%</t>
  </si>
  <si>
    <t>อาจารย์ ดร.จักรพรรณ คงธนะ 10%</t>
  </si>
  <si>
    <t>แนวทางการบริหารลูกค้าสัมพันธ์เพื่อยกระดับผลการดำเนินงานของธุรกิจผู้ผลิตอาหารทะเลในประเทศไทย</t>
  </si>
  <si>
    <t xml:space="preserve">ผู้ช่วยศาสตราจารย์ ดร.ปรีชา วรารัตน์ไชย 40%
</t>
  </si>
  <si>
    <t>10931/2565</t>
  </si>
  <si>
    <t>อาจารย์วทัญญู ชูภักตร์ 10%</t>
  </si>
  <si>
    <t>อาจารย์สราวุธ พุฒนวล 10%</t>
  </si>
  <si>
    <t>อาจารย์พุทธิวัฒน์ ไวยวุฒิธนาภูมิ 10%</t>
  </si>
  <si>
    <t>การประยุกต์ระบบการติดตามและตรวจสอบของการขนส่งสุกรในจังหวัดนครปฐม</t>
  </si>
  <si>
    <t xml:space="preserve">อาจารย์ ดร.ธนะสาร พานิชยากรณ์  25%
</t>
  </si>
  <si>
    <t>10719/2565</t>
  </si>
  <si>
    <t>อาจารย์ธนวัฒน์ วิเศษสินธุ์ 50%</t>
  </si>
  <si>
    <t>อาจารย์พิชญ์พิสุทธิ์ ทิศอาจ 5%</t>
  </si>
  <si>
    <t>อาจารย์กิตติอำพล สุดประเสริฐ 5%</t>
  </si>
  <si>
    <t>ผู้ช่วยศาสตราจารย์ ดร.วิริยา บุญมาเลิศ 5%</t>
  </si>
  <si>
    <t>อาจารย์ปิยมาส กล้าแข็ง 5%</t>
  </si>
  <si>
    <t>อาจารย์พุทธิวัฒน์ ไวยวุฒิธนาภูมิ  5%</t>
  </si>
  <si>
    <t>การศึกษาปัจจัยที่ส่งผลต่อการตัดสินใจเลือกใช้บริการตัวแทนออกของ</t>
  </si>
  <si>
    <t>อาจารย์นิภาวรรณ ภูจอม 100%</t>
  </si>
  <si>
    <t>10984/2565</t>
  </si>
  <si>
    <t>การศึกษาปัจจัยเพื่อการพัฒนาชุมชนเกษตรอินทรีย์ กรณีศึกษาฟาร์ม ABC จังหวัดนครปฐม</t>
  </si>
  <si>
    <t>อาจารย์กานต์นภัส ช้ำเกตุ 100%</t>
  </si>
  <si>
    <t>10991/2565</t>
  </si>
  <si>
    <t>โครงการการจัดจ้างที่ปรึกษาเพื่อดำเนินการวิจัยและพัฒนาธุรกิจขนส่งสินค้าต่อเนื่องหลายรูปแบบ (MTO-Multimadal transport Operation Business Development)</t>
  </si>
  <si>
    <t>บริษัท ศรีตรัง โลจิสติกส์ จำกัด</t>
  </si>
  <si>
    <t>ดร.มะโน ปราชญาพิพัฒน์</t>
  </si>
  <si>
    <t>ใบสั่งจ้าง 1/11/64</t>
  </si>
  <si>
    <t>โครงการที่ปรึกษาจัดทำคำขอสิ่งบ่งชี้ทางภูมิศาสตร์ไทย เพื่อขึ้นทะเบียนในประเทศ สินค้าจักสานครุน้อย</t>
  </si>
  <si>
    <t>กรมทรัพย์สินทางปัญญา</t>
  </si>
  <si>
    <t>40/2565</t>
  </si>
  <si>
    <t>The role of innovative ideas in business sustainability: Evidence from textile industry.</t>
  </si>
  <si>
    <t>อาจารย์ ศศิวิมล ว่องวิไล</t>
  </si>
  <si>
    <t>11204/2565</t>
  </si>
  <si>
    <t>The role of human resource management and supply chain process in sustainable business performance</t>
  </si>
  <si>
    <t>อาจารย์ ดร.พุทธิวัฒน์ ไวยวุฒิธนาภูมิ</t>
  </si>
  <si>
    <t>11520/2565</t>
  </si>
  <si>
    <t>The role of sustainable HRM in supply chain, profitability and resource utilization</t>
  </si>
  <si>
    <t>11521/2565</t>
  </si>
  <si>
    <t>Spiritual Leadership as a Source of Rising Triple Bottom Line, Leads to the Spiritual Well-Being of Employees: A Study of the Telecommunications Sector</t>
  </si>
  <si>
    <t>อาจารย์ ดร.ฉัตรรัตน์ โหตระไวศยะ</t>
  </si>
  <si>
    <t>11522/2565</t>
  </si>
  <si>
    <t>THE DISTRIBUTION PATTERN OF THAILAND’S TUBTIMJUN ROSEAPPLE FOR EXPORTING TO CHINA</t>
  </si>
  <si>
    <t>11531/2565</t>
  </si>
  <si>
    <t>A Multi-Level Lot Sizing ProblemApplication</t>
  </si>
  <si>
    <t>อาจารย์ มาธุสร แข็งขัน 60%</t>
  </si>
  <si>
    <t>11534/2565</t>
  </si>
  <si>
    <t>อาจารย์ ดร.ชณิชา หมอยาดี 20%</t>
  </si>
  <si>
    <t>อาจารย์ ดร.แววมยุรา คำสุข 20%</t>
  </si>
  <si>
    <t>การพัฒนาช่องทางการจัดจำหน่ายผ่านสื่อสังคมออนไลน์สินค้าพืชผักสวนครัวเกษตรอินทรีย์ของชุมชนทุ่งเผาเต่า จังหวัดนครปฐม</t>
  </si>
  <si>
    <t>อาจารย์ ดร.ทมนี สุขใส 70%</t>
  </si>
  <si>
    <t>10599/2565</t>
  </si>
  <si>
    <t>อาจารย์ ปิยะอร ศรีวรรณ 5%</t>
  </si>
  <si>
    <t>อาจารย์ สราวุธ พุฒนวล 5%</t>
  </si>
  <si>
    <t>อาจารย์ ดร.ชณิชา หมอยาดี 5%</t>
  </si>
  <si>
    <t>อาจารย์ อัญชลี หิรัญแพทย์ 5%</t>
  </si>
  <si>
    <t>มาตรการทางกฎหมายเกี่ยวกับการอุปการะเลี้ยงดูผู้สูงวัย</t>
  </si>
  <si>
    <t>ผู้ช่วยศาสตราจารย์ ดร.กมลวรรณ อยู่วัฒนะ 75%</t>
  </si>
  <si>
    <t>10783/2565</t>
  </si>
  <si>
    <t>ผู้ช่วยศาสตราจารย์ ดร.ภัทรวิทย์ อยู่วัฒนะ 15%</t>
  </si>
  <si>
    <t>ผู้ช่วยศาสตราจารย์ไพบูลย์ ชูวัฒนกิจ 10%</t>
  </si>
  <si>
    <t>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</si>
  <si>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 50%</t>
  </si>
  <si>
    <t>10576/2565</t>
  </si>
  <si>
    <t>ผู้ช่วยศาสตราจารย์ ดร.จอมชัย เลิศอมรรัฐ10%</t>
  </si>
  <si>
    <t>การพัฒนาภูมิปัญญาเพื่ออยู่ร่วมกับโรคติดเชื้อไวรัสโคโรนา 2019 (Coronavirus Disease 2019 (COVID-19)) ในพื้นที่เขตประเวศ กรุงเทพมหานคร</t>
  </si>
  <si>
    <t>อาจารย์ ดร.ปารณีย์ ศรีแก้ว 40%</t>
  </si>
  <si>
    <t>10883/2565</t>
  </si>
  <si>
    <t>ผู้ช่วยศาสตราจารย์ ดร.วิลาสินี จินตลิขิตดี 35%</t>
  </si>
  <si>
    <t>ผู้ช่วยศาสตราจารย์ ดร.ชยุต ภวภานันท์กุล 15%</t>
  </si>
  <si>
    <t>อาจารย์ ธิดา นิติธรญาดา 10%</t>
  </si>
  <si>
    <t>ธรรมาภิบาลการจัดการสร้างสรรค์ทางสาธารณสุขเพื่ออยู่ร่วมกับโรคติดเชื้อไวรัสโคโรนา 2019 (Coronavirus Disease 2019 (COVID-19) ในพื้นที่เขตประเวศ กรุงเทพมหานคร</t>
  </si>
  <si>
    <t>อาจารย์ ดร.พิมพ์ชนา ศรีบุณยพรรัฐ 90%</t>
  </si>
  <si>
    <t>10914/2565</t>
  </si>
  <si>
    <t>อาจารย์ ดร.ภูดิศ นอขุนทด 10%</t>
  </si>
  <si>
    <t>แนวทางกำหนดมาตรการกฎหมายทางแพ่งและกฎหมายแรงงานเพื่อคุ้มครองผู้สูงวัย</t>
  </si>
  <si>
    <t>ผู้ช่วยศาสตราจารย์ ดร.ภาวิตา ค้าขาย 50%</t>
  </si>
  <si>
    <t>10720/2565</t>
  </si>
  <si>
    <t>ผู้ช่วยศาสตราจารย์สุรศักดิ์ มีบัว 20%</t>
  </si>
  <si>
    <t>ผู้ช่วยศาสตราจารย์ ดร. จิราภรณ์ อัจฉริยะประสิทธิ์ 10%</t>
  </si>
  <si>
    <t>มาตรการทางกฎหมายเกี่ยวกับสวัสดิการแรงงานผู้สูงวัย</t>
  </si>
  <si>
    <t>ผู้ช่วยศาสตราจารย์ ดร. ภาวิตา ค้าขาย  60%</t>
  </si>
  <si>
    <t>10833/2565</t>
  </si>
  <si>
    <t>การสังเคราะห์องค์ความรู้ด้านภาวะผู้นำในศตวรรษที่ 21 ผ่านรายการพอดคาสต์</t>
  </si>
  <si>
    <t>ผู้ช่วยศาสตราจาร ดร.มาธินี คงสถิตย์ 50%</t>
  </si>
  <si>
    <t>10630/2565</t>
  </si>
  <si>
    <t>อาจารย์ ดร.มนทกานติ์ รอดคล้ายย 20%</t>
  </si>
  <si>
    <t>ผู้ช่วยศาสตราจารย์พิจักษณ์ ภู่ตระกูล 20%</t>
  </si>
  <si>
    <t>ผู้ช่วยศาสตราจารย์สุรศักดิ์ มีบัว 10%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</si>
  <si>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</si>
  <si>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60%</t>
  </si>
  <si>
    <t>10570/2565</t>
  </si>
  <si>
    <t>อาจารย์ ดร.ธุวธิดา สุวรรณรัตน์ 20%</t>
  </si>
  <si>
    <t>ผู้ช่วยศาสตราจารย์ ดร.จอมชัย เลิศอมรรัฐ20%</t>
  </si>
  <si>
    <t>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</si>
  <si>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50%</t>
  </si>
  <si>
    <t>10538/2565</t>
  </si>
  <si>
    <t>อาจารย์ ดร.ธุวธิดา สุวรรณรัตน์ 10%</t>
  </si>
  <si>
    <t>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</si>
  <si>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เลิศอมรรัฐ50%</t>
  </si>
  <si>
    <t>10575/2565</t>
  </si>
  <si>
    <t>SNG: รูปแบบอวตารความปรกติเชื่อมต่อธรรมาภิบาลท้องถิ่นเพื่ออยู่ร่วมกับโรคติดเชื้อไวรัสโคโรนา 2019 (Coronavirus Disease 2019 (COVID-19)) ของชุมชนในพื้นที่เขตประเวศ กรุงเทพมหานคร</t>
  </si>
  <si>
    <t>ผู้ช่วยศาสตราจารย์ ดร.ชยุต ภวภานันท์กุล</t>
  </si>
  <si>
    <t>10594/2565</t>
  </si>
  <si>
    <t>DIY: ธรรมาภิบาลนวัตกรรมภาครัฐเพื่ออยู่ร่วมกับโรคติดเชื้อไวรัสโคโรนา 2019 (Coronavirus Disease 2019 (COVID-19))  ของชุมชนในพื้นที่เขตประเวศ กรุงเทพมหานคร</t>
  </si>
  <si>
    <t>10656/2565</t>
  </si>
  <si>
    <t>ปัญหากฎหมายเกี่ยวกับส่วนประกอบของร่างกายมนุษย์ในคดีอาญา</t>
  </si>
  <si>
    <t>อาจารย์ ทัตตนันท์ คงลำธาร 50%</t>
  </si>
  <si>
    <t>10841/2565</t>
  </si>
  <si>
    <t>อาจารย์ ธนวัฒ พิสิฐจินดา 30%</t>
  </si>
  <si>
    <t>อาจารย์ จตุรงค์ เพิ่มรุ่งเรือง 10%</t>
  </si>
  <si>
    <t>อาจารย์ ทศพล ชูโชติ 10%</t>
  </si>
  <si>
    <t>มาตรการทางกฎหมายเกี่ยวกับวิทยาศาสตร์การแพทย์ในคดีอาญา</t>
  </si>
  <si>
    <t>อาจารย์ ธนวัฒ พิสิฐจินดา 50%</t>
  </si>
  <si>
    <t>10839/2565</t>
  </si>
  <si>
    <t>อาจารย์ ทัตตนันท์ คงลำธาร 25%</t>
  </si>
  <si>
    <t>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</si>
  <si>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 70%</t>
  </si>
  <si>
    <t>10658/2565</t>
  </si>
  <si>
    <t>อาจารย์ บริบูรณ์ ฉลอง 5%</t>
  </si>
  <si>
    <t>อาจารย์ จิราภรณ์ บุญยิ่ง 5%</t>
  </si>
  <si>
    <t>ผู้ช่วยศาสตราจารย์ เอกณรงค์ วรสีหะ 5%</t>
  </si>
  <si>
    <t>การสำรวจองค์ความรู้ด้านการบริหารจัดการภาครัฐในศตวรรษที่ 21 ผ่านรายการพอดคาสต์</t>
  </si>
  <si>
    <t>ผู้ช่วยศาสตราจารย์ พิจักษณ์ ภู่ตระกูล 80%</t>
  </si>
  <si>
    <t>10582/2565</t>
  </si>
  <si>
    <t>ผู้ช่วยศาสตราจารย์ ดร.มาธินี คงสถิตย์ 10%</t>
  </si>
  <si>
    <t>อาจารย์ ดร.มนทกานติ์ รอดคล้าย 10%</t>
  </si>
  <si>
    <t>การสังเคราะห์องค์ความรู้ด้านการบริหารทรัพยากรมนุษย์ในศตวรรษที่ 21 ผ่านรายการพอดคาสต์</t>
  </si>
  <si>
    <t>ผู้ช่วยศาสตราจารย์ พิจักษณ์ ภู่ตระกูล 50%</t>
  </si>
  <si>
    <t>10628/2565</t>
  </si>
  <si>
    <t>อาจารย์ ดร.สุวรรณฤทธิ์ วงศ์ชะอุ่ม 5%</t>
  </si>
  <si>
    <t>อาจารย์ อัยรวี วีระพันธ์พงศ์ 10%</t>
  </si>
  <si>
    <t>ผู้ช่วยศาสตราจารย์ สุรศักดิ์ มีบัว 5%</t>
  </si>
  <si>
    <t>การพัฒนาการท่องเที่ยวเชิงนิเวศและเชิงสุขภาพของวิสาหกิจชุมชน ในจังหวัดระนอง</t>
  </si>
  <si>
    <t>ผู้ช่วยศาสตราจารย์ พิเศษ พันเอก ดร.วัลลภ พิริยวรรธนะ 65%</t>
  </si>
  <si>
    <t>10649/2565</t>
  </si>
  <si>
    <t>อาจารย์ ดร.ศิริญญา ศิริญานันท์ 10%</t>
  </si>
  <si>
    <t>อาจารย์ ธวัช พุ่มดารา 10%</t>
  </si>
  <si>
    <t>อาจารย์ บริบูรณ์ ฉลอง 10%</t>
  </si>
  <si>
    <t>ตัวแบบเครือข่ายในการจัดบริการสาธารณะของท้องถิ่นไทย</t>
  </si>
  <si>
    <t>อาจารย์ ศรัณย์ จิระพงษ์สุวรรณ 70%</t>
  </si>
  <si>
    <t>10911/2565</t>
  </si>
  <si>
    <t>อาจารย์ สันต์ชัย รัตนะขวัญ 5%</t>
  </si>
  <si>
    <t>ผู้ช่วยศาสตราจารย์ ดร.มารดารัตน์ สุขสง่า 5%</t>
  </si>
  <si>
    <t>อาจารย์ หัชชากร วงศ์สายัณห์ 5%</t>
  </si>
  <si>
    <t>อาจารย์ อัยรวี วีระพันธ์พงศ์ 5%</t>
  </si>
  <si>
    <t>อาจารย์ กฤษณ์ วงศ์วิเศษธร 5%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</si>
  <si>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</si>
  <si>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ผู้ช่วยศาสตราจารย์ สัคพัศ แสงฉาย 70%</t>
  </si>
  <si>
    <t>10631/2565</t>
  </si>
  <si>
    <t>อาจารย์ พิชามณต์ ชาญสุไชย 10%</t>
  </si>
  <si>
    <t>ผู้ช่วยศาสตราจารย์ ดร.กิตติคุณ มีทองจันทร์ 5%</t>
  </si>
  <si>
    <t>อาจารย์ ดร.สุวิทย์ คงสงค์ 5%</t>
  </si>
  <si>
    <t>ผู้ช่วยศาสตราจารย์ ดร.เจตน์สฤษฎิ์ อังศุกาญจนกุล 5%</t>
  </si>
  <si>
    <t>อาจารย์ ภาวิณี โสระเวช 5%</t>
  </si>
  <si>
    <t>โรงเรียนประถมสาธิต</t>
  </si>
  <si>
    <t>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</si>
  <si>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ผู้ช่วยศาสตราจารย์ สัคพัศ แสงฉาย 90%</t>
  </si>
  <si>
    <t>10668/2565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</si>
  <si>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</si>
  <si>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ผู้ช่วยศาสตราจารย์ พิเศษ พล.ต.ท.ดร.สัณฐาน ชยนนท์ 70%</t>
  </si>
  <si>
    <t>10536/2565</t>
  </si>
  <si>
    <t>อาจารย์ สัณหณัฐ จักรภัทรวงศ์ 30%</t>
  </si>
  <si>
    <t>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</si>
  <si>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 50%</t>
  </si>
  <si>
    <t>10571/2565</t>
  </si>
  <si>
    <t>อาจารย์ ดร.กัญญ์รัชการย์ เลิศอมรศักดิ์ 20%</t>
  </si>
  <si>
    <t>อาจารย์ ดร.กีรติวรรณ กัลยาณมิตร 10%</t>
  </si>
  <si>
    <t>แนวทางในการพัฒนาเครื่องมือเพื่อการบริหารงานขององค์กรปกครองส่วนท้องถิ่นไทย</t>
  </si>
  <si>
    <t>อาจารย์ สันต์ชัย รัตนะขวัญ 70%</t>
  </si>
  <si>
    <t>10481/2565</t>
  </si>
  <si>
    <t>อาจารย์ ศรัณย์ จิระพงษ์สุวรรณ 5%</t>
  </si>
  <si>
    <t>แนวทางการยกระดับอัตลักษณ์ชุมชนพื้นบ้าน สู่การท่องเที่ยวเชิงสร้างสรรค์บนฐานภูมิปัญญาท้องถิ่นและวัฒนธรรมจังหวัดระนอง</t>
  </si>
  <si>
    <t>อาจารย์ วันจักร น้อยจันทร์ 65%</t>
  </si>
  <si>
    <t>งป 11028/2565</t>
  </si>
  <si>
    <t>รองศาสตราจารย์ ดร.นันทิยา น้อยจันทร์ 10%</t>
  </si>
  <si>
    <t>อาจารย์ ดร.พิเชษฐ์ เกิดวิชัย 10%</t>
  </si>
  <si>
    <t>อาจารย์ ณธสร เอื้อการณ์ 5%</t>
  </si>
  <si>
    <t>ความร่วมมือของภาคประชาสังคม ภาคเอกชนและภาครัฐในการฝึกอบรมเพื่อพัฒนาทักษะด้านการให้บริการและด้านสุขภาพของบุคลากรสำหรับการท่องเที่ยวเชิงสุขภาพ บนรากฐานของจิตอาสาภูมิปัญญาท้องถิ่นเพื่อลดความเหลื่อมลํ้าทางเศรษฐกิจและสังคมในเขตพื้นที่จังหวัดระนอง</t>
  </si>
  <si>
    <t>อาจารย์ ดร.ปกครอง มณีโรจน์ 50%</t>
  </si>
  <si>
    <t>งป 11029/2565</t>
  </si>
  <si>
    <t>อาจารย์ ดร.ปารณีย์ ศรีแก้ว 50%</t>
  </si>
  <si>
    <t>กระบวนการยกระดับบทบาทปราชญ์ชาวบ้านและภูมิปัญญาท้องถิ่นในจังหวัดอุดรธานี สู่การท่องเที่ยวสีเขียว Green Tourism อย่างยั่งยืน</t>
  </si>
  <si>
    <t>อาจารย์ วันจักร น้อยจันทร์ 60%</t>
  </si>
  <si>
    <t>งป 11039/2565</t>
  </si>
  <si>
    <t>รองศาสตราจารย์ ดร.นันทิยา น้อยจันทร์ 15%</t>
  </si>
  <si>
    <t>อาจารย์ รพีพัฒน์ จันทนินทร 5%</t>
  </si>
  <si>
    <t>อาจารย์ บุญวัฒน์ สว่างวงศ์ 5%</t>
  </si>
  <si>
    <t>ผู้ช่วยศาสตราจารย์ ดร.บัวบุตรี รณฤทธิวิชัย 5%</t>
  </si>
  <si>
    <t>การมีส่วนร่วมของภาคประชาสังคมกับองค์กรปกครองส่วนท้องถิ่นในการออกแบบการท้องเที่ยวเชิงแคมป์สร้างอาชีพให้กับคนรุ่นใหม่และส่งเสริมการท้องเที่ยวแบบอนุรักษ์ธรรมชาติและวิถีชีวิตแบบพอเพียงในจังหวัดอุดรธานี</t>
  </si>
  <si>
    <t>อาจารย์ ดร.ปกครอง มณีโรจน์ 85%</t>
  </si>
  <si>
    <t>งป 11040/2565</t>
  </si>
  <si>
    <t>อาจารย์ ดร.ปารณีย์ ศรีแก้ว 5%</t>
  </si>
  <si>
    <t>รองศาสตราจารย์ ดร. ชุติกาญจน์ ศรีวิบูลย์ 5%</t>
  </si>
  <si>
    <t>การยกระดับมูลค่าเพิ่มของวิสาหกิจชุมชนเพื่อเสริมสร้างรายได้ของจังหวัดระนอง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</si>
  <si>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70%</t>
  </si>
  <si>
    <t>งป 11152/2565</t>
  </si>
  <si>
    <t>อาจารย์ สัณหณัฐ จักรภัทรวงศ์ 10%</t>
  </si>
  <si>
    <t>การพัฒนาผลิตภัณฑ์และบรรจุภัณฑ์ของวิสาหกิจชุมชนเพื่อเสริมสร้างรายได้ของจังหวัดระนอง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</si>
  <si>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75%</t>
  </si>
  <si>
    <t>งป 11153/2565</t>
  </si>
  <si>
    <t>ผู้ช่วยศาสตราจารย์ ดร.วิจิตรา ศรีสอน 5%</t>
  </si>
  <si>
    <t>รองศาสตราจารย์ ศิโรตม์ ภาคสุวรรณ 5%</t>
  </si>
  <si>
    <t>พ.ต.อ. ดร.สุริยะ ประภายสาธก 5%</t>
  </si>
  <si>
    <t>ผู้ช่วยศาสตราจารย์ ดร.บารมีบุญ แสงจันทร์ 5%</t>
  </si>
  <si>
    <t>ผู้ช่วยศาสตราจารย์ ดร.ชุมพล รอดแจ่มม 5%</t>
  </si>
  <si>
    <t>การพัฒนาการตลาดเชิงรุกและการประชาสัมพันธ์ของวิสาหกิจชุมชนเพื่อเสริมสร้างรายได้ของจังหวัดระนอง</t>
  </si>
  <si>
    <t>อาจารย์ ดร.กีรติวรรณ กัลยาณมิตร 50%</t>
  </si>
  <si>
    <t>งป 11154/2565</t>
  </si>
  <si>
    <t>อาจารย์ สัณหณัฐ จักรภัทรวงศ์ 20%</t>
  </si>
  <si>
    <t>ผู้ช่วยศาสตราจารย์ พิเศษ พล.ต.ท.ดร.สัณฐาน ชยนนท์ 5%</t>
  </si>
  <si>
    <t>พ.ต.อ. ดร.สุริยะ ประภายสาธก 10%</t>
  </si>
  <si>
    <t>อาจารย์ ดร.สืบสวัสดิ์ วุฒิวรดิษฐ์ 10%</t>
  </si>
  <si>
    <t>ปัญหาผลกระทบและการปรับตัวเพื่ออยู่ร่วมกับโรคติดเชื้อไวรัสโคโรนา 2019 (โควิด 19)  ของชุมชนในพื้นที่เขตประเวศ กรุงเทพมหานคร</t>
  </si>
  <si>
    <t xml:space="preserve">	อาจารย์ ดร.ภูดิศ นอขุนทด 85%
</t>
  </si>
  <si>
    <t>10797/2565</t>
  </si>
  <si>
    <t>ผู้ช่วยศาสตราจารย์ ดร.พิมพ์ชนา ศรีบุณยพรรัฐ  10%</t>
  </si>
  <si>
    <t>การวิจัยเพื่อการสร้างคู่มือการท่องเที่ยวชุมชนอย่างยั่งยืนในจังหวัดระนอง</t>
  </si>
  <si>
    <t xml:space="preserve">อาจารย์วีระพล วงษ์ประเสริฐ 75%
</t>
  </si>
  <si>
    <t>10912/2565</t>
  </si>
  <si>
    <t>อาจารย์ศักรินทร์ ศรีอุปโย 25%</t>
  </si>
  <si>
    <t>ความไว้วางใจตำรวจ การปฏิบัติตามกฎหมายและการให้ความร่วมมือกับตำรวจของประชาชนในเขตดุสิต กรุงเทพมหานคร</t>
  </si>
  <si>
    <t>ผู้ช่วยศาสตราจารย์ พ.ต.ท.ดร.ไวพจน์ กุลาชัย 100%</t>
  </si>
  <si>
    <t>10996/2565</t>
  </si>
  <si>
    <t>กฎหมายสิทธิบัตร: ศึกษากรณีปัญหาการบังคับใช้มาตรการการยกเลิกความคุ้มครองชั่วคราวในสิทธิบัตรการประดิษฐ์วัคซีน COVID-19</t>
  </si>
  <si>
    <t>อาจารย์ณธสร เอื้อการณ์ 100%</t>
  </si>
  <si>
    <t>11000/2565</t>
  </si>
  <si>
    <t>การจัดการความรู้และการถ่ายทอดผลงานวิจัยด้านการบังคับใช้กฎหมายและความปลอดภัยทางถนน (โครงการนำร่องจังหวัดสุพรรณบุรี)</t>
  </si>
  <si>
    <t>ผู้ฃ่วยศาสตราจารย์ พันตำรวจโท ดร.ไวพจน์ กุลาชัย  65%</t>
  </si>
  <si>
    <t>N71B650014</t>
  </si>
  <si>
    <t>ผู้ฃ่วยศาสตราจารย์ พันตำรวจโท ดร.สัณฐาน ชยนนท์ 20%</t>
  </si>
  <si>
    <t>ผู้ฃ่วยศาสตราจารย์ ดร.วิจิตรา ศรีสอน  10%</t>
  </si>
  <si>
    <t>อาจารย์ ดร.เยาวลักษณ์ ชาวบ้านโพธิ์  5%</t>
  </si>
  <si>
    <t>การบริหารจัดการกลไกการสร้างอาชีพเพื่อยกระดับคุณภาพชีวิตของชุมชนแออัด ในพื้นที่เขตดอนเมือง กรุงเทพมหานคร</t>
  </si>
  <si>
    <t xml:space="preserve">ผู้ช่วยศาสตราจารย์ ดร.พิมพ์ชนา ศรีบุณยพรรัฐ </t>
  </si>
  <si>
    <t>สัญญาเลขที่ 65C10</t>
  </si>
  <si>
    <t>การเพิ่มประสิทธิภาพผลิตภัณฑ์กระชายในนครปฐม</t>
  </si>
  <si>
    <t>อาจารย์ รจนารถ วรมนตรี 90%</t>
  </si>
  <si>
    <t>10718/2565</t>
  </si>
  <si>
    <t>อาจารย์ ดร.ยิ่งศักดิ์ แหวนเพชร 10%</t>
  </si>
  <si>
    <t>การพัฒนาการตลาดท่องเที่ยวเชิงเกษตรและห่วงโซ่อุปทานท่องเที่ยววิสาหกิจชุมชนบ้านโฉนดชุมชนคลองโยง-ลานตากฟ้า ตำบลลานตากฟ้า อำเภอนครชัยศรี จังหวัดนครปฐม บนฐานทรัพยากรนวัตกรรมชุมชน</t>
  </si>
  <si>
    <t>อาจารย์ ศศิธร เจตานนท์ 75%</t>
  </si>
  <si>
    <t>10932/2565</t>
  </si>
  <si>
    <t>ผู้ช่วยศาสตราจารย์ ดร.ชินวัฒน์ ศาสนนันทน์ 25%</t>
  </si>
  <si>
    <t>เส้นทางต้นแบบการท่องเที่ยวเชิงสุขภาพบนฐานภูมิปัญญาท้องถิ่นและวัฒนธรรม จังหวัดระนอง</t>
  </si>
  <si>
    <t>อาจารย์ ดร.สริตา พันธ์เทียน 30%</t>
  </si>
  <si>
    <t>งป 11027/2565</t>
  </si>
  <si>
    <t>ผู้ช่วยศาสตราจารย์ อลิสา ฤทธิชัยฤกษ์ 25%</t>
  </si>
  <si>
    <t>อาจารย์ เนตรนภา เหลืองสอาด 25%</t>
  </si>
  <si>
    <t>อาจารย์ พิมนภัทร์ พันทนา 20%</t>
  </si>
  <si>
    <t>แนวทางการพัฒนาเส้นทางท้องเที่ยวสีเขียวตามแนวรถไฟความเร็วสูง จังหวัดอุดรธานี</t>
  </si>
  <si>
    <t>อาจารย์ ดร.รัมภาภัค ฤกษ์วีระวัฒนา 60%</t>
  </si>
  <si>
    <t>งป 11038/2565</t>
  </si>
  <si>
    <t>อาจารย์ ธีระ อินทรเรือง 10%</t>
  </si>
  <si>
    <t>อาจารย์ ดร.ภรณ์นภัส เบินท์ 10%</t>
  </si>
  <si>
    <t>อาจารย์ ดร.ศุภศักดิ์ เงาประเสริฐวงศ์ 10%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</si>
  <si>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</si>
  <si>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สำนักงานกองทุนเพื่อความเสมอภาคทางการศึกษา (สำนักงาน กสศ.)</t>
  </si>
  <si>
    <t>อาจารย์ ดร.ศิริเพ็ญ เยี่ยมจรรยา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</si>
  <si>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</si>
  <si>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</si>
  <si>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</si>
  <si>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</si>
  <si>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</si>
  <si>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</si>
  <si>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การสำรวจความพึงพอใจของผู้เช่าและผู้ใช้บริการในแต่ละตลาดขององค์การตลาด</t>
  </si>
  <si>
    <t>องค์การตลาด กระทรวงมหาดไทย</t>
  </si>
  <si>
    <t xml:space="preserve">	ผู้ช่วยศาสตราจารย์ ดร.อาณัติ ต๊ะปินตา 12.5%</t>
  </si>
  <si>
    <t>50/2564</t>
  </si>
  <si>
    <t xml:space="preserve">		ผู้ช่วยศาสตราจารย์ ดร.กรองทอง ไคริรี 12.5%</t>
  </si>
  <si>
    <t xml:space="preserve">		รองศาสตราจารย์ทัศนีย์ ศิริวรรณ 12.5%</t>
  </si>
  <si>
    <t xml:space="preserve">	รองศาสตราจารย์ฉวีวรรณ แก้วไทรฮะ 12.5%</t>
  </si>
  <si>
    <t>อาจารย์ ดร.บุญทอง บุญทวี 12.5%</t>
  </si>
  <si>
    <t>ผู้ช่วยศาสตราจารย์ ดร.สุพจน์ ไชยสังข์ 12.5%</t>
  </si>
  <si>
    <t xml:space="preserve">	ผู้ช่วยศาสตราจารย์ ดร.จันทร์ชัย หญิงประยูร 12.5%</t>
  </si>
  <si>
    <t xml:space="preserve">	อาจารย์ลือชัย ทิพรังศรี 12.5%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</si>
  <si>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</si>
  <si>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 xml:space="preserve">อาจารย์โสภาวรรณ ตรีสุวรรณ์ 85%
</t>
  </si>
  <si>
    <t>10526/2565</t>
  </si>
  <si>
    <t>ผู้ช่วยศาสตราจารย์ ดร.ชญานันท์ เกิดพิทักษ์  5%</t>
  </si>
  <si>
    <t>อาจารย์นภัสสร เกิดพิทักษ์ 5%</t>
  </si>
  <si>
    <t>การสร้างมูลค่าเพิ่มธุรกิจที่พักโดยใช้ทุนวัฒนธรรมริมแม่น้ำนครชัยศรี จังหวัดนครปฐม</t>
  </si>
  <si>
    <t xml:space="preserve">อาจารย์โสภาวรรณ ตรีสุวรรณ์ 90%
</t>
  </si>
  <si>
    <t>10549/2565</t>
  </si>
  <si>
    <t>อาจารย์ปานแพร บุณยพุกกณะ 5%</t>
  </si>
  <si>
    <t>อาจารย์สุนิษา เพ็ญทรัพย์ 5%</t>
  </si>
  <si>
    <t>การจัดการศักยภาพแหล่งท่องเที่ยวเชิงวิถีวัฒนธรรม ริมแม่น้ำนครชัยศรี จังหวัดนครปฐม</t>
  </si>
  <si>
    <t xml:space="preserve">อาจารย์นรินทร์ ยืนทน 80%
</t>
  </si>
  <si>
    <t>10670/2565</t>
  </si>
  <si>
    <t>อาจารย์อรนพัฒน์ เหมือนเผ่าพงษ์ 10%</t>
  </si>
  <si>
    <t>อาจารย์ ดร.กมลลักษณ์ โพธิ์พันธุ์ 10%</t>
  </si>
  <si>
    <t>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</si>
  <si>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 xml:space="preserve">อาจารย์ โสภาวรรณ ตรีสุวรรณ์ 15%
</t>
  </si>
  <si>
    <t>10699/2565</t>
  </si>
  <si>
    <t>อาจารย์ ดร.นรินทร์ ยืนทน 10%</t>
  </si>
  <si>
    <t>อาจารย์ เบญจพร แย้มจ่าเมือง 10%</t>
  </si>
  <si>
    <t>อาจารย์ อรนพัฒน์ เหมือนเผ่าพงษ์ 65%</t>
  </si>
  <si>
    <t>กลยุทธ์การบริหารและพัฒนาอุสาหกรรมการบินของประเทศไทยในยุควัฒนธรรมปกติใหม่ ภายหลังวิกฤตโรคระบาดโควิด 19</t>
  </si>
  <si>
    <t xml:space="preserve">อาจารย์ ขนิษฐา เจริญนิตย์ 50%
</t>
  </si>
  <si>
    <t>10611/2565</t>
  </si>
  <si>
    <t>อาจารย์ รจนารถ วรมนตรี 40%</t>
  </si>
  <si>
    <t>อาจารย์ เทพลักษณ์ โกมลวณิช 10%</t>
  </si>
  <si>
    <t>การจัดการทรัพยากรมนุษย์เชิงกลยุทธ์ของอุตสาหกรรมการบินในประเทศไทยในยุควัฒนธรรมความปกติใหม่ หลังวิกฤตโรคระบาดโควิด-19</t>
  </si>
  <si>
    <t xml:space="preserve">อาจารย์ ขนิษฐา เจริญนิตย์ 60%
</t>
  </si>
  <si>
    <t>10850/2565</t>
  </si>
  <si>
    <t>อาจารย์ นิสรา แพทย์รังษี 20%</t>
  </si>
  <si>
    <t>ผู้ช่วยศาสตราจารย์ ดร.กรรนภัทร กันแก้ว 20%</t>
  </si>
  <si>
    <t>กลยุทธ์การบริหารการตลาดอุตสาหกรรมการบินในประเทศไทยในยุควัฒนธรรมความปกติใหม่หลังวิกฤตโรคระบาดโควิด 19</t>
  </si>
  <si>
    <t xml:space="preserve">อาจารย์ เทพลักษณ์ โกมลวณิช 50%
</t>
  </si>
  <si>
    <t>10941/2565</t>
  </si>
  <si>
    <t>อาจารย์ ขนิษฐา เจริญนิตย์ 20%</t>
  </si>
  <si>
    <t>อาจารย์ นิสรา แพทย์รังษี 10%</t>
  </si>
  <si>
    <t>การพัฒนาผลิตภัณฑ์กระชายสู่การจัดการชุมชนอย่างยั่งยืนในจังหวัดนครปฐม</t>
  </si>
  <si>
    <t xml:space="preserve">อาจารย์ กรวินท์ กังวล 80%
</t>
  </si>
  <si>
    <t>10664/2565</t>
  </si>
  <si>
    <t>อาจารย์ โสมยา ปรัชญางค์ปรีชา 10%</t>
  </si>
  <si>
    <t>อาจารย์ รจนารถ วรมนตรี 10%</t>
  </si>
  <si>
    <t>การพัฒนาผลิตภัณฑ์กระชายเพื่อเพิ่มรายได้ชุมชนในจังหวัดนครปฐม</t>
  </si>
  <si>
    <t xml:space="preserve">อาจารย์ โสมยา ปรัชญางค์ปรีชา 10%
</t>
  </si>
  <si>
    <t>10655/2565</t>
  </si>
  <si>
    <t>อาจารย์ กรวินท์ กังวล 80%</t>
  </si>
  <si>
    <t>การพัฒนาแนวทางการท่องเที่ยวเชิงกัญชาในประเทศไทย (ชุดโครงการใหญ่)</t>
  </si>
  <si>
    <t xml:space="preserve">อาจารย์ ดร.ศิริเพ็ญ เยี่ยมจรรยา 15%
</t>
  </si>
  <si>
    <t>10756/2565</t>
  </si>
  <si>
    <t>อาจารย์ สุภัคศิริ ปราการเจริญ 20%</t>
  </si>
  <si>
    <t>อาจารย์ นลิน สีมะเสถียรโสภณ 15%</t>
  </si>
  <si>
    <t>อาจารย์ ดร.พงศ์ระพี แก้วไทรฮะ 20%</t>
  </si>
  <si>
    <t>อาจารย์ ภิญญา ชัยสงคราม 15%</t>
  </si>
  <si>
    <t>อาจารย์ คงศักดิ์ บุญอาชาทอง 15%</t>
  </si>
  <si>
    <t>การศึกษาการรับรู้ของผู้บริโภคเกี่ยวกับการท่องเที่ยวเชิงกัญชาในประเทศไทย</t>
  </si>
  <si>
    <t xml:space="preserve">อาจารย์ ดร.พงศ์ระพี แก้วไทรฮะ 40%
</t>
  </si>
  <si>
    <t>10717/2565</t>
  </si>
  <si>
    <t>อาจารย์ ภิญญา ชัยสงคราม 30%</t>
  </si>
  <si>
    <t>อาจารย์ คงศักดิ์ บุญอาชาทอง 30%</t>
  </si>
  <si>
    <t>การวิเคราะห์ปัจจัยแห่งความสำเร็จของธุรกิจท่องเที่ยวเชิงกัญชาในประเทศไทย (ชุดโครงการย่อยภายใต้โครงการใหญ่ "การพัฒนาแนวทางการท่องเที่ยวเชิงกัญชาในประเทศไทย"</t>
  </si>
  <si>
    <t xml:space="preserve">อาจารย์ สุภัคศิริ ปราการเจริญ 30%
</t>
  </si>
  <si>
    <t>10761/2565</t>
  </si>
  <si>
    <t>อาจารย์ ดร.ศิริเพ็ญ เยี่ยมจรรยา 25%</t>
  </si>
  <si>
    <t>อาจารย์ นลิน สีมะเสถียรโสภณ 25%</t>
  </si>
  <si>
    <t>อาจารย์ ญานิกา ชื่นตะโก 20%</t>
  </si>
  <si>
    <t>กลยุทธ์ทางการตลาดของอุตสาหกรรมบริการสู่ชีวิตวิถีใหม่ กรณีศึกษาจังหวัดสมุทรสงคราม</t>
  </si>
  <si>
    <t xml:space="preserve">อาจารย์ ดร.กมลลักษณ์ โพธิ์พันธุ์ 60%
</t>
  </si>
  <si>
    <t>10836/2565</t>
  </si>
  <si>
    <t>อาจารย์ ชลลดา ชูวณิชชานนท์ 10%</t>
  </si>
  <si>
    <t>อาจารย์ โสภาวรรณ ตรีสุวรรณ์ 10%</t>
  </si>
  <si>
    <t>อาจารย์ อรนพัฒน์ เหมือนเผ่าพงษ์ 10%</t>
  </si>
  <si>
    <t>แนวทางการพัฒนาการตลาดของแหล่งท่องเที่ยวประเภทตลาดน้ำสู่ชีวิตวิถีใหม่ จังหวัดสมุทรสงคราม</t>
  </si>
  <si>
    <t xml:space="preserve">อาจารย์ ดร.นรินทร์ ยืนทน 20%
</t>
  </si>
  <si>
    <t>10905/2565</t>
  </si>
  <si>
    <t>อาจารย์ ชลลดา ชูวณิชชานนท์ 60%</t>
  </si>
  <si>
    <t>แนวทางการพัฒนาการตลาดของธุรกิจที่พักแรมสู่ชีวิตวิถีใหม่ ในจังหวัดสมุทรสงคราม</t>
  </si>
  <si>
    <t xml:space="preserve">อาจารย์ ดร.กมลลักษณ์ โพธิ์พันธุ์ 70%
</t>
  </si>
  <si>
    <t>10916/2565</t>
  </si>
  <si>
    <t>อาจารย์ อรนพัฒน์ เหมือนเผ่าพงษ์ 30%</t>
  </si>
  <si>
    <t>ORGANIZATIONAL STRUCTURE ENHANCING AIRLINES EFFIECEINCY AMID THE PANDEMIC: LOW-COST CARRIERS IN THAILAND AS A CASE</t>
  </si>
  <si>
    <t>ผู้ช่วยศาสตราจารย์ ดร.กรรนภัทร กันแก้ว</t>
  </si>
  <si>
    <t>11025/2565</t>
  </si>
  <si>
    <t>โครงการวิจัย ระดับความคิดและความสามารถในการพิสูจน์ในวิชาเรขาคณิตของนักศึกษาครู สาขาวิชาคณิตศาสตร์ชั้นปี่ที่หนี่ง</t>
  </si>
  <si>
    <t>บริษัท เจ.บี.ไอ ทีโซลูชั่น จำกัด</t>
  </si>
  <si>
    <t>ผู้ช่วยศาสตราจารย์ ดร.สุพจน์ ไชยสังข์</t>
  </si>
  <si>
    <t>สัญญาเลขที่ 6/2565</t>
  </si>
  <si>
    <t>แนวทางการพัฒนาคุณภาพการบริการของธุรกิจที่พัก เพื่อรองรับชีวิตวิถีใหม่</t>
  </si>
  <si>
    <t>อาจารย์ ปานฤทัย เห่งพุ่ม 50%</t>
  </si>
  <si>
    <t>02/2565</t>
  </si>
  <si>
    <t>อาจารย์ ชิดชม กันจุฬา 50%</t>
  </si>
  <si>
    <t>การศึกษาพฤติกรรมการท่องเที่ยวของนักศึกษามหาวิทยาลัยราชภัฎสวนสุนันทา ณ ถนนข้าวสาร เขตพระนคร จังหวัดกรุงเทพ</t>
  </si>
  <si>
    <t>ผู้ช่วยศาสตราจารย์ ฉันทัช วรรณถนอม 40%</t>
  </si>
  <si>
    <t>อาจารย์ ดร.วีระ วีระโสภณ 30%</t>
  </si>
  <si>
    <t>อาจารย์บัว ศรีคช 30%</t>
  </si>
  <si>
    <t>DetDerminants Of Organizational Survival During The Covid -19 Crisis: The Case Of The Airline Industry In Thailand</t>
  </si>
  <si>
    <t>อาจารย์ ดร.นิสรา แพทย์รังษี</t>
  </si>
  <si>
    <t>11542/2565</t>
  </si>
  <si>
    <t>การวิจัยเพื่อการยกระดับการท่องเที่ยวชุมชนอย่างยั่งยืนในจังหวัดระนอง</t>
  </si>
  <si>
    <t>อาจารย์ ศักรินทร์ ศรีอุปโย 75%</t>
  </si>
  <si>
    <t>10669/2565</t>
  </si>
  <si>
    <t>อาจารย์ วีระพล วงษ์ประเสริฐ 25%</t>
  </si>
  <si>
    <t>การวิจัยเพื่อการพัฒนาเส้นทางการท่องเที่ยวชุมชนอย่างยั่งยืนในจังหวัดระนอง</t>
  </si>
  <si>
    <t>10674/2565</t>
  </si>
  <si>
    <t>ผู้สูงอายุกับพฤติกรรมการใช้สื่อออนไลน์ในยุคดิจิทัล</t>
  </si>
  <si>
    <t>อาจารย์ ดร.สาวิตรี สุวรรณโณ 50%</t>
  </si>
  <si>
    <t>10835/2565</t>
  </si>
  <si>
    <t>อาจารย์ ดร.นันทิดา โอฐกรรม 25%</t>
  </si>
  <si>
    <t>อาจารย์ ดร.ดุษฎี นิลดำ 25%</t>
  </si>
  <si>
    <t>การเปิดรับกับการรู้เท่าทันสื่อออนไลน์ของผู้สูงอายุในเขตกรุงเทพมหานคร</t>
  </si>
  <si>
    <t>อาจารย์ ดร.สาวิตรี สุวรรณโณ  70%</t>
  </si>
  <si>
    <t>10731/2565</t>
  </si>
  <si>
    <t>อาจารย์ ดร.นันทิดา โอฐกรรม 20%</t>
  </si>
  <si>
    <t>ผู้ช่วยศาสตราจารย์ กัญภัส อู่ตะเภา 10%</t>
  </si>
  <si>
    <t>การสื่อสารการตลาดด้วยแอพพลิเคชั่น Line กับผู้สูงอายุ ในเขตกรุงเทพมหานคร</t>
  </si>
  <si>
    <t>อาจารย์ อิสรี ไพเราะ 50%</t>
  </si>
  <si>
    <t>10505/2565</t>
  </si>
  <si>
    <t>ผู้ช่วยศาสตราจารย์ กัญภัส อู่ตะเภา 25%</t>
  </si>
  <si>
    <t>อาจารย์ ดร.พิทยา กลองกระโทก 25%</t>
  </si>
  <si>
    <t>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</si>
  <si>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 40%</t>
  </si>
  <si>
    <t>10752/2565</t>
  </si>
  <si>
    <t>ผู้ช่วยศาสตราจารย์ ภากิตติ์ ตรีสุกล 30%</t>
  </si>
  <si>
    <t>ผู้ช่วยศาสตราจารย์ วิภาณี แม้นอินทร์ 30%</t>
  </si>
  <si>
    <t>ทัศนคติและพฤติกรรมการใช้เฟซบุ๊กของผู้สูงอายุในกรุงเทพมหานคร</t>
  </si>
  <si>
    <t>อาจารย์ ดร.นันทิดา โอฐกรรม 60%</t>
  </si>
  <si>
    <t>10646/2565</t>
  </si>
  <si>
    <t>อาจารย์ ดร.สาวิตรี สุวรรณโณ 20%</t>
  </si>
  <si>
    <t>อาจารย์ ดร.สมทบ แก้วเชื้อ 20%</t>
  </si>
  <si>
    <t>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</si>
  <si>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 60%</t>
  </si>
  <si>
    <t>10782/2565</t>
  </si>
  <si>
    <t>ผู้ช่วยศาสตราจารย์ วิโรจน์ ศรีหิรัญ 20%</t>
  </si>
  <si>
    <t>อาจารย์ สุวิมล อาภาผล 20%</t>
  </si>
  <si>
    <t>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</si>
  <si>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ผู้ช่วยศาสตราจารย์ วิโรจน์ ศรีหิรัญ 60%</t>
  </si>
  <si>
    <t>10747/2565</t>
  </si>
  <si>
    <t>อาจารย์ ประพจน์ ณ บางช้าง 20%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</si>
  <si>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</si>
  <si>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10768/2565</t>
  </si>
  <si>
    <t>การศึกษาปัจจัยมีอิทธิพลต่อการอุปโภคบริโภคในช่วงวิถีชีวิตปกติใหม่ของผู้บริโภคเจเนอเรชั่นซี</t>
  </si>
  <si>
    <t>อาจารย์ ดร.สมทบ แก้วเชื้อ 80%</t>
  </si>
  <si>
    <t>10872/2565</t>
  </si>
  <si>
    <t>อาจารย์ สมิทธินันท์ ไทยรุ่งโรจน์ 20%</t>
  </si>
  <si>
    <t>ส่วนประสมทางการตลาดในช่วงวิถีชีวิตปกติใหม่ที่ส่งผลต่อพฤติกรรมผู้บริโภคเจเนอเรชั่นซี</t>
  </si>
  <si>
    <t>อาจารย์ ดร.สมทบ แก้วเชื้อ 70%</t>
  </si>
  <si>
    <t>10885/2565</t>
  </si>
  <si>
    <t>อาจารย์ สมิทธินันท์ ไทยรุ่งโรจน์ 30%</t>
  </si>
  <si>
    <t xml:space="preserve">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</si>
  <si>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</si>
  <si>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ผู้ช่วยศาสตราจารย์ ดร.ประกายกาวิล ศรีจินดา 20%</t>
  </si>
  <si>
    <t xml:space="preserve">สัญญาเลขที่ 8640338 </t>
  </si>
  <si>
    <t>รองศาสตราจารย์ ดร.วิทยา เมฆขำ  5%</t>
  </si>
  <si>
    <t>อาจารย์ปิติมนัส บรรลือ  5%</t>
  </si>
  <si>
    <t>อาจารย์ ดร.ดุษฎี นิลดำ  5%</t>
  </si>
  <si>
    <t>ผู้ช่วยศาสตราจารย์ ดร.กมลวรรณ อยู่วัฒนะ 5%</t>
  </si>
  <si>
    <t>รองศาสตราจารย์ ดร.นิศากร สังวาระนที 5%</t>
  </si>
  <si>
    <t>ผู้ช่วยศาสตราจารย์สุปราณี วัฒนสิน  5%</t>
  </si>
  <si>
    <t>ผู้ช่วยศาสตราจารย์นารีนารถ ปานบุญ 5%</t>
  </si>
  <si>
    <t>รองศาสตราจารย์ สุรสิทธิ์ วิทยารัฐ 5%</t>
  </si>
  <si>
    <t>ผู้ช่วยศาสตราจารย์ปาริชาต รัตนบรรณสกุล5%</t>
  </si>
  <si>
    <t>อาจารย์ ดร.สมทบ แก้วเชื้อ 5%</t>
  </si>
  <si>
    <t>อาจารย์สมิทธินันท์ ไทยรุ่งโรจน์  5%</t>
  </si>
  <si>
    <t>อาจารย์ปุณรภา ประดิษฐพงษ์ 5%</t>
  </si>
  <si>
    <t>อาจารย์ ดร.วลีรักษ์ สิทธิสม  5%</t>
  </si>
  <si>
    <t>การพัฒนารูปแบบการสื่อสารการตลาดสำหรับวิสาหกิจรายย่อยในจังหวัดสมุทรสงคราม</t>
  </si>
  <si>
    <t>รองศาสตราจารย์สุรสิทธิ์ วิทยารัฐ 10%</t>
  </si>
  <si>
    <t>10494/2565</t>
  </si>
  <si>
    <t>ผู้ช่วยศาสตราจารย์ชิโนรส ถิ่นวิไลสกุล 6%</t>
  </si>
  <si>
    <t>ผู้ช่วยศาสตราจารย์นารีนารถ ปานบุญ 6%</t>
  </si>
  <si>
    <t>ผู้ช่วยศาสตราจารย์ปาริชาต รัตนบรรณสกุล 6%</t>
  </si>
  <si>
    <t>ผู้ช่วยศาสตราจารย์ ดร.ประกายกาวิล ศรีจินดา 30%</t>
  </si>
  <si>
    <t>ผู้ช่วยศาสตราจารย์พยนต์ธร สำเร็จกิจเจริญ 32%</t>
  </si>
  <si>
    <t>ความผูกพันต่อตราแอพพลิเคชั่นไลน์ของผู้สูงอายุ</t>
  </si>
  <si>
    <t>อาจารย์ ดร.ดุษฎี นิลดำ</t>
  </si>
  <si>
    <t>10686/2565</t>
  </si>
  <si>
    <t>การศึกษาการเดินทางของผู้ใช้เว็บไซต์ที่ใช้ได้กับทุกอุปกรณ์ระหว่างกูเกิ้ลไซต์ และเว็ปไซต์ที่สร้างเองในการเรียนรู้งานจิตรกรรมฝาผนังล้านนาที่วัดภูมินทร์ จังหวัดน่าน</t>
  </si>
  <si>
    <t>ผู้ช่วยศาสตราจารย์ ดร.ทวิพาสน์ พิชัยชาญณรงค์</t>
  </si>
  <si>
    <t>วนท. 001/2565</t>
  </si>
  <si>
    <t>สื่อสังคมออนไลน์เพื่อพัฒนาคุณภาพชีวิตของผู้สูงอายุอย่างยั่งยืน กรณีศึกษา ผู้สูงอายุเขตบางแค</t>
  </si>
  <si>
    <t>ผู้ช่วยศาสตราจารย์ วิชชา สันทนาประสิทธิ์</t>
  </si>
  <si>
    <t>10741/2565</t>
  </si>
  <si>
    <t>การพัฒนา LINE Official เพื่อใช้ในการสื่อสารกับผู้สูงอายุเชิงการท่องเที่ยว ในชุมชนสวนอ้อย เขตดุสิต กรุงเทพมหานคร</t>
  </si>
  <si>
    <t xml:space="preserve">ผู้ช่วยศาสตราจารย์ ธนิต พฤกธรา 50%
</t>
  </si>
  <si>
    <t>10499/2565</t>
  </si>
  <si>
    <t>ผู้ช่วยศาสตราจารย์ ดร.ปรมัตถ์ ชุติมันต์ 20%</t>
  </si>
  <si>
    <t>อาจารย์ ปุณรภา ประดิษฐพงษ์ 20%</t>
  </si>
  <si>
    <t>อาจารย์ ดร.บัญยง พูลทรัพย์ 10%</t>
  </si>
  <si>
    <t>การศึกษาพฤติกรรมผู้บริโภคเจเนอเรชั่นซีกับที่มีอิทธิพลการตัดสินใจซื้อสินค้าในช่วงวิถีชีวิตปกติใหม่</t>
  </si>
  <si>
    <t>อาจารย์ สมิทธินันท์ ไทยรุ่งโรจน์ 60%</t>
  </si>
  <si>
    <t>10889/2565</t>
  </si>
  <si>
    <t>อาจารย์ ดร.สมทบ แก้วเชื้อ 40%</t>
  </si>
  <si>
    <t>รูปแบบรายการบนสื่อสังคมออนไลน์สำหรับผู้สูงอายุ กรณีศึกษาผู้สูงอายุ เขตบางแค</t>
  </si>
  <si>
    <t>อาจารย์ปิติมนัส บรรลือ 60%</t>
  </si>
  <si>
    <t>10758/2565</t>
  </si>
  <si>
    <t>ผู้ช่วยศาสตราจารย์วิชชา สันทนาประสิทธิ์ 40%</t>
  </si>
  <si>
    <t>อัตลักษณ์ทางสถาปัตยกรรมเชิงพื้นที่เพื่อเป็นแนวทางการออกแบบสภาพแวดล้อมตลาดต้นแบบและร้านค้าชุมชนเพื่อพัฒนาเศรษฐกิจฐานรากบ้านในวงใต้ อำเภอละอุ่น จังหวัดระนอง : ทุเรียน GI</t>
  </si>
  <si>
    <t>อาจารย์สวลักษณ์ เชื้อสุวรรณ์ 70%</t>
  </si>
  <si>
    <t>งป 11098/2565</t>
  </si>
  <si>
    <t>ผู้ช่วยศาสตราจารย์ ดร.สมบูรณ์ เวสน์ 5%</t>
  </si>
  <si>
    <t>อาจารย์ ดร.ชนกพร ไผทสิทธิกุล 5%</t>
  </si>
  <si>
    <t>อาจารย์ ภาวิณ สุทธินนท์ 5%</t>
  </si>
  <si>
    <t>อาจารย์ สุริยันต์ จันทร์สว่าง 5%</t>
  </si>
  <si>
    <t>อาจารย์ พิพัฒน์ ศักดิ์ศิริเกษมกุล 5%</t>
  </si>
  <si>
    <t>อาจารย์ ดร. ศุภกิจ มูลประมุข 5%</t>
  </si>
  <si>
    <t>โครงการการท่องเที่ยวเชิงอาหารผ่านอัตลักษณ์รัตนโกสินทร์</t>
  </si>
  <si>
    <t>ผู้ช่วยศาสตราจารย์ ดร.สมบูรณ์ เวสน์ 20%</t>
  </si>
  <si>
    <t>C10F640097</t>
  </si>
  <si>
    <t>ดร.ชนกพร ไผทสิทธิกุล 20%</t>
  </si>
  <si>
    <t>อาจารย์ภาวิณ สุทธินนท์ 20%</t>
  </si>
  <si>
    <t>อาจารย์สวลักษณ์ เชื้อสุวรรณ์ 20%</t>
  </si>
  <si>
    <t>ผู้ช่วยศาสตราจารย์ฐิติรัตน์ หมื่นอนันต์ 20%</t>
  </si>
  <si>
    <t>แนวทางการใช้นวัตกรรมเพื่อส่งเสริมเศรษฐกิจสร้างสรรค์จากการท่องเที่ยวเชิงสถาปัตยกรรมวิถีใหม่ ด้วยเทคนิคภาพไทม์แลปส์ กรณีศึกษา เขตดุสิต กรุงเทพมหานคร</t>
  </si>
  <si>
    <t>อาจารย์ พิชา ศรีพระจันทร์</t>
  </si>
  <si>
    <t>10854/2565</t>
  </si>
  <si>
    <t>รูปแบบการพัฒนาผลิตภัณฑ์ทางการท่องเที่ยวจังหวัดอุดรธานีเพื่อสร้างมูลค่าเพิ่ม  สู่การรองรับเป็นเมืองเศรษฐกิจสร้างสรรค์ วิถีใหม่</t>
  </si>
  <si>
    <t>อาจารย์ เอกชัย สีทำมา 40%</t>
  </si>
  <si>
    <t>10624/2565</t>
  </si>
  <si>
    <t>อาจารย์ ธีรารัตน์ อำนาจเจริญ 30%</t>
  </si>
  <si>
    <t>อาจารย์ วรกฤต ชื่นจิตต์ 20%</t>
  </si>
  <si>
    <t>อาจารย์ ธนดล อามาตพล 10%</t>
  </si>
  <si>
    <t>การยกระดับผลิตภัณฑ์และบริการทางการท่องเที่ยวโดยเชื่อมโยงภูมิปัญญาท้องถิ่น จังหวัดอุดรธานี</t>
  </si>
  <si>
    <t>อาจารย์ เอกชัย สีทำมา 50%</t>
  </si>
  <si>
    <t>10770/2565</t>
  </si>
  <si>
    <t>การส่งเสริมการตลาดการท่องเที่ยวเชิงอาหารในเมืองอุดรธานีเพื่อก้าวสู่ยุคปกติถัดไป</t>
  </si>
  <si>
    <t>อาจารย์ วรกฤต ชื่นจิตต์ 50%</t>
  </si>
  <si>
    <t>10896/2565</t>
  </si>
  <si>
    <t>อาจารย์ ธนดล อามาตพล 5%</t>
  </si>
  <si>
    <t>อาจารย์ เอกชัย สีทำมา 15%</t>
  </si>
  <si>
    <t>การพัฒนาผลิตภัณฑ์ท้องถิ่น ข้าวเหนียวโพนงาม ภายใต้แนวคิดเป็นมิตรกับสิ่งแวดล้อม ตำบลโพนงาม อำเภอหนองหาน จังหวัดอุดรธานี</t>
  </si>
  <si>
    <t>อาจารย์ อรรณพ ต.ศรีวงษ์ 80%</t>
  </si>
  <si>
    <t>ศูนย์การศึกษาจังหวัดอุดรธานี (วิทยาลัยนวัตกรรมฯ)</t>
  </si>
  <si>
    <t>10504/2565</t>
  </si>
  <si>
    <t>อาจารย์ ดารณี ดวงพรม 5%</t>
  </si>
  <si>
    <t>อาจารย์ ชลิดา ศรีสุนทร 5%</t>
  </si>
  <si>
    <t>อาจารย์ ชนากานต์ อุณาพรหม 5%</t>
  </si>
  <si>
    <t>อาจารย์ วสุธา อุยพิตัง 5%</t>
  </si>
  <si>
    <t>การพัฒนากระบวนการผลิตไม้กวาดดอกหญ้าวิสาหกิจชุมชนกลุ่มอาชีพสตรีทำไม้กวาดดอกแขมบ้านโคกสี</t>
  </si>
  <si>
    <t>อาจารย์ ศรายุทธ ขวัญเมือง 80%</t>
  </si>
  <si>
    <t>10484/2565</t>
  </si>
  <si>
    <t>อาจารย์ ภิรายุ แสนบุดดา 5%</t>
  </si>
  <si>
    <t>อาจารย์ นภัสวรรณ คุ้มครอง 5%</t>
  </si>
  <si>
    <t>อาจารย์ อมรรัตน์ หมื่นจิตน้อย 5%</t>
  </si>
  <si>
    <t>การเพิ่มประสิทธิภาพในการผลิตไม้กวาดดอกหญ้าวิสาหกิจชุมชนกลุ่มอาชีพสตรีทำไม้กวาดดอกแขมบ้านโคกสี</t>
  </si>
  <si>
    <t>อาจารย์ นภัสวรรณ คุ้มครอง 65%</t>
  </si>
  <si>
    <t>10495/2565</t>
  </si>
  <si>
    <t>อาจารย์ ศรายุทธ ขวัญเมือง 20%</t>
  </si>
  <si>
    <t>นวัตกรรมการยกระดับคุณภาพชีวิตบนฐานรากทุนทางวัฒนธรรมและฟาร์มรู้ของชุมชน บ้านนาชมภู อำเภอนายูง จังหวัดอุดรธานี</t>
  </si>
  <si>
    <t>อาจารย์ ดร.วลีรัตน์ แสงไชย 30%</t>
  </si>
  <si>
    <t>10702/2565</t>
  </si>
  <si>
    <t>อาจารย์ วรกฤต ชื่นจิตต์ 40%</t>
  </si>
  <si>
    <t>การจัดการภูมิทัศน์วัฒนธรรมของชุมชน สู่การรองรับการท่องเที่ยวสีเขียว หมู่บ้านคีรีวงกต อำเภอนายูง จังหวัดอุดรธานี</t>
  </si>
  <si>
    <t>อาจารย์ ดร.ณัฏฐชัย เอกนราจินดาวัฒน์ 50%</t>
  </si>
  <si>
    <t>10793/2565</t>
  </si>
  <si>
    <t>อาจารย์ ดร.วลีรัตน์ แสงไชย 10%</t>
  </si>
  <si>
    <t>อาจารย์ ธีรารัตน์ อำนาจเจริญ 20%</t>
  </si>
  <si>
    <t>อาจารย์ วรกฤต ชื่นจิตต์  10%</t>
  </si>
  <si>
    <t>ศูนย์การศึกษาจังหวัดอุดรธานี  (วิทยาลัยการจัดการอุตสาหกรรมฯ)</t>
  </si>
  <si>
    <t>อาจารย์ ศุภกานต์ โสภาพร 10%</t>
  </si>
  <si>
    <t>ลูกประคบกาแฟ : ศาสตร์แพทย์แผนไทยเพื่อพัฒนานวัตกรรมผลิตภัณฑ์จากทุนทางวัฒนธรรมและผลผลิตด้อยราคา</t>
  </si>
  <si>
    <t>อาจารย์ ศุภกานต์ โสภาพร  40%</t>
  </si>
  <si>
    <t>10795/2565</t>
  </si>
  <si>
    <t>อาจารย์ ดร.ณัฏฐชัย เอกนราจินดาวัฒน์ 20%</t>
  </si>
  <si>
    <t>อัตลักษณ์วัฒนธรรม “หมอลำ” เพื่อการท่องเที่ยวอย่างสร้างสรรค์</t>
  </si>
  <si>
    <t>อาจารย์ ธนดล อามาตพล 50%</t>
  </si>
  <si>
    <t>10603/2565</t>
  </si>
  <si>
    <t>อาจารย์ ธีรารัตน์ อำนาจเจริญ 50%</t>
  </si>
  <si>
    <t>แนวทางการพัฒนาเส้นทางท่องเที่ยวเชิงวัฒนธรรมบนวิถีความเชื่อจังหวัดอุดรธานี</t>
  </si>
  <si>
    <t>อาจารย์ ศุภกานต์ โสภาพร 60%</t>
  </si>
  <si>
    <t>10621/2565</t>
  </si>
  <si>
    <t>อาจารย์ ธีรารัตน์ อำนาจเจริญ 40%</t>
  </si>
  <si>
    <t>แนวทางการส่งเสริมการตลาดออนไลน์ผ้าทอหมี่ขิดย้อมครามสู่การท่องเที่ยวชุมชน กรณีศึกษา: ตำบลบ้านแดง  อำเภอพิบูลย์รักษ์  จังหวัดอุดรธานี</t>
  </si>
  <si>
    <t xml:space="preserve">ศูนย์การศึกษาจังหวัดอุดรธานี (วิทยาลัยการเมืองฯ)
</t>
  </si>
  <si>
    <t>10707/2565</t>
  </si>
  <si>
    <t>การเลือกทำเลที่ตั้งเพื่อจัดตั้งศูนย์กระจายสินค้าการเกษตร กรณีศึกษา : กลุ่มวิสาหกิจชุมชนจังหวัดอุดรธานี</t>
  </si>
  <si>
    <t xml:space="preserve">อาจารย์ ศรายุทธ ขวัญเมือง 5%
</t>
  </si>
  <si>
    <t xml:space="preserve">ศูนย์การศึกษาจังหวัดอุดรธานี (วิทยาลัยโลจิสติกส์ฯ)
</t>
  </si>
  <si>
    <t>10479/2565</t>
  </si>
  <si>
    <t>อาจารย์ สุรพงศ์ อินทรภักดิ์ 80%</t>
  </si>
  <si>
    <t>การพัฒนาช่องทางการจัดจำหน่ายสินค้า กรณีศึกษา วิสาหกิจชุมชนปลาร้าหลนนิคมสงเคราะห์ จังหวัดอุดรธานี</t>
  </si>
  <si>
    <t xml:space="preserve">อาจารย์ นภัสวรรณ คุ้มครอง 80%
</t>
  </si>
  <si>
    <t>10485/2565</t>
  </si>
  <si>
    <t>อาจารย์ ศรายุทธ ขวัญเมือง 5%</t>
  </si>
  <si>
    <t>การเพิ่มประสิทธิภาพการบริหารสินค้าคงคลังของวิสาหกิจชุมชนปลาร้าหลนนิคมสงเคราะห์</t>
  </si>
  <si>
    <t xml:space="preserve">อาจารย์ ภิรายุ แสนบุดดา 5%
</t>
  </si>
  <si>
    <t>10779/2565</t>
  </si>
  <si>
    <t>อาจารย์ อมรรัตน์ หมื่นจิตน้อย 80%</t>
  </si>
  <si>
    <t>การพัฒนาช่องทางการจัดจำหน่ายสินค้าผ่านสื่อพาณิชย์อิเล็กทรอนิกส์ วิสาหกิจชุมชนกลุ่มส่งเสริมแปลงใหญ่ราชินีข้าวเหนียวตำบลโพนงาม จังหวัดอุดรธานี</t>
  </si>
  <si>
    <t xml:space="preserve">อาจารย์ดารณี ดวงพรม 80%
</t>
  </si>
  <si>
    <t xml:space="preserve">ศูนย์การศึกษาจังหวัดอุดรธานี (วิทยาลัยนวัตกรรมฯ)
</t>
  </si>
  <si>
    <t>10643/2565</t>
  </si>
  <si>
    <t>อาจารย์อรรณพ ต.ศรีวงษ์ 5%</t>
  </si>
  <si>
    <t>อาจารย์ชลิดา ศรีสุนทร 5%</t>
  </si>
  <si>
    <t>อาจารย์ชนากานต์ อุณาพรหม 5%</t>
  </si>
  <si>
    <t>อาจารย์วสุธา อุยพิตัง 5%</t>
  </si>
  <si>
    <t>การพัฒนาบรรจุภัณฑ์ข้าวเหนียวโพนงามจากวัสดุธรรมชาติ ตำบลโพนงาม อำเภอหนองหาน จังหวัดอุดรธานี</t>
  </si>
  <si>
    <t xml:space="preserve">อาจารย์ อรรณพ ต.ศรีวงษ์  80%
</t>
  </si>
  <si>
    <t>10648/2565</t>
  </si>
  <si>
    <t>รูปแบบการบริหารจัดการภายใต้แนวคิดการตลาดสีเขียวของวิสาหกิจชุมชนกลุ่มส่งเสริมแปลงใหญ่ราชินีข้าวเหนียว ตำบลโพนงาม อำเภอหนองหาน จังหวัดอุดรธานี</t>
  </si>
  <si>
    <t xml:space="preserve">อาจารย์ ชนากานต์ อุณาพรหม 80%
</t>
  </si>
  <si>
    <t>10650/2565</t>
  </si>
  <si>
    <t>อาจารย์ อรรณพ ต.ศรีวงษ์ 5%</t>
  </si>
  <si>
    <t>การสื่อสารการตลาดแบบบูรณาการที่มีผลต่อการตัดสินใจซื้อข้าวเหนียว วิสาหกิจชุมชนกลุ่มส่งเสริมแปลงใหญ่ราชินีข้าวเหนียว ตำบลโพนงาม จังหวัดอุดรธานี</t>
  </si>
  <si>
    <t xml:space="preserve">อาจารย์ ชลิดา ศรีสุนทร 80%
</t>
  </si>
  <si>
    <t>10689/2565</t>
  </si>
  <si>
    <t>การลดต้นทุนในการผลิตไม้กวาดดอกหญ้าวิสาหกิจชุมชนกลุ่มอาชีพสตรีทำไม้กวาดดอกแขมบ้านโคกสี</t>
  </si>
  <si>
    <t xml:space="preserve">อาจารย์ สุรพงศ์ อินทรภักดิ์ 65%
</t>
  </si>
  <si>
    <t>10506/2565</t>
  </si>
  <si>
    <t>การพัฒนาบรรจุภัณฑ์ข้าวเหนียวโพนงาม ตำบลโพนงาม อำเภอหนองหาน จังหวัดอุดรธานี</t>
  </si>
  <si>
    <t>อาจารย์ วสุธา อุยพิตัง</t>
  </si>
  <si>
    <t>ศูนย์การศึกษาจังหวัดอุดรธานี  (วิทยาลัยนวัตกรรมฯ)</t>
  </si>
  <si>
    <t>10978/2565</t>
  </si>
  <si>
    <t>นวัตกรรมบริการเชิงสร้างสรรค์สู่มาตรฐานความปกติใหม่ (New Normal) อย่างรับผิดชอบเพื่อรองรับการท่องเที่ยวโดยชุมชนสีเขียวอย่างยั่งยืน กรณีศึกษา กลุ่มจังหวัด “นคราธานี”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</si>
  <si>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</si>
  <si>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อาจารย์ ธีรารัตน์ อำนาจเจริญ</t>
  </si>
  <si>
    <t>10993/2565</t>
  </si>
  <si>
    <t>การถอดบทเรียนผ่านกระบวนการประชาธิปไตยชุมชนเพื่อการพัฒนาคุณภาพชีวิตของประชาชนในเขตพื้นที่องค์การบริหารส่วนตำบลนาดี อำเภอเมืองอุดรธานี จังหวัดอุดรธานี</t>
  </si>
  <si>
    <t>อาจารย์ ดร.วลีรัตน์​ แสงไชย</t>
  </si>
  <si>
    <t>ศูนย์การศึกษาจังหวัดอุดรธานี (วิทยาลัยการเมืองการปกครองฯ)</t>
  </si>
  <si>
    <t>10995/2565</t>
  </si>
  <si>
    <t>โครงการสำรวจและศึกษาความต้องการ ความคาดหวังของผู้รับบริการและประเมินผลการทำงานระหว่างและหลังดำเนินการ ณ ศูนย์แห่งการบริการนานาชาตินครอุดรธานีและศูนย์บริการอุดรธานี</t>
  </si>
  <si>
    <t>เทศบาลนครอุดรธานี</t>
  </si>
  <si>
    <t>ผู้ช่วยศาสตราจารย์ ดร.ภัทรวิทย์ อยู่วัฒนะ  40%</t>
  </si>
  <si>
    <t>ใบสั่งจ้างเลขที่ จ.133/2565</t>
  </si>
  <si>
    <t>อาจารย์ ดร.วลีรัตน์ แสงไชย  20%</t>
  </si>
  <si>
    <t>อาจารย์ ธีรารัตน์ อำนาจเจริญ  20%</t>
  </si>
  <si>
    <t>อาจารย์ชนากานต์ อุณาพรหม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</si>
</sst>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87" formatCode="_-* #,##0_-;\-* #,##0_-;_-* &quot;-&quot;??_-;_-@_-"/>
    <numFmt numFmtId="188" formatCode="0.0000"/>
    <numFmt numFmtId="189" formatCode="_-* #,##0.00_-;\-* #,##0.00_-;_-* &quot;-&quot;??_-;_-@_-"/>
  </numFmts>
  <fonts count="29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  <charset val="222"/>
    </font>
    <font>
      <b/>
      <sz val="15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189" fontId="27" fillId="0" borderId="0" applyFont="0" applyFill="0" applyBorder="0" applyAlignment="0" applyProtection="0"/>
  </cellStyleXfs>
  <cellXfs count="499">
    <xf numFmtId="0" fontId="0" fillId="0" borderId="0" xfId="0"/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2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 applyProtection="1">
      <alignment horizontal="left" vertical="center"/>
      <protection locked="0"/>
    </xf>
    <xf numFmtId="187" fontId="11" fillId="7" borderId="8" xfId="1" applyNumberFormat="1" applyFont="1" applyFill="1" applyBorder="1" applyAlignment="1" applyProtection="1">
      <alignment horizontal="center" vertical="top" wrapText="1"/>
      <protection locked="0"/>
    </xf>
    <xf numFmtId="43" fontId="11" fillId="7" borderId="4" xfId="1" applyFont="1" applyFill="1" applyBorder="1" applyAlignment="1" applyProtection="1">
      <alignment horizontal="center" vertical="center" wrapText="1"/>
      <protection locked="0"/>
    </xf>
    <xf numFmtId="0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7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7" borderId="8" xfId="0" applyNumberFormat="1" applyFont="1" applyFill="1" applyBorder="1" applyAlignment="1" applyProtection="1">
      <alignment horizontal="center" vertical="top" wrapText="1"/>
      <protection hidden="1"/>
    </xf>
    <xf numFmtId="0" fontId="12" fillId="7" borderId="8" xfId="0" applyFont="1" applyFill="1" applyBorder="1" applyAlignment="1" applyProtection="1">
      <alignment horizontal="center" vertical="top" wrapText="1"/>
      <protection hidden="1"/>
    </xf>
    <xf numFmtId="0" fontId="4" fillId="7" borderId="7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 applyProtection="1">
      <alignment horizontal="left" vertical="top"/>
    </xf>
    <xf numFmtId="3" fontId="13" fillId="0" borderId="5" xfId="0" applyNumberFormat="1" applyFont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3" fillId="4" borderId="7" xfId="0" applyFont="1" applyFill="1" applyBorder="1" applyAlignment="1" applyProtection="1">
      <alignment horizontal="left" vertical="top" wrapText="1" indent="1"/>
      <protection locked="0"/>
    </xf>
    <xf numFmtId="187" fontId="13" fillId="4" borderId="7" xfId="1" applyNumberFormat="1" applyFont="1" applyFill="1" applyBorder="1" applyAlignment="1" applyProtection="1">
      <alignment horizontal="center" vertical="top" wrapText="1"/>
      <protection locked="0"/>
    </xf>
    <xf numFmtId="43" fontId="14" fillId="4" borderId="7" xfId="1" applyFont="1" applyFill="1" applyBorder="1" applyAlignment="1" applyProtection="1">
      <alignment horizontal="center" vertical="top" wrapText="1"/>
      <protection locked="0"/>
    </xf>
    <xf numFmtId="43" fontId="14" fillId="4" borderId="7" xfId="3" applyFont="1" applyFill="1" applyBorder="1" applyAlignment="1" applyProtection="1">
      <alignment horizontal="center" vertical="top" wrapText="1"/>
      <protection locked="0"/>
    </xf>
    <xf numFmtId="43" fontId="11" fillId="0" borderId="9" xfId="1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top" wrapText="1"/>
      <protection locked="0"/>
    </xf>
    <xf numFmtId="4" fontId="1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1" fillId="4" borderId="7" xfId="0" applyNumberFormat="1" applyFont="1" applyFill="1" applyBorder="1" applyAlignment="1" applyProtection="1">
      <alignment horizontal="center" vertical="top" wrapText="1"/>
      <protection hidden="1"/>
    </xf>
    <xf numFmtId="0" fontId="15" fillId="4" borderId="7" xfId="0" applyFont="1" applyFill="1" applyBorder="1" applyAlignment="1" applyProtection="1">
      <alignment horizontal="center" vertical="top" wrapText="1"/>
      <protection hidden="1"/>
    </xf>
    <xf numFmtId="4" fontId="14" fillId="4" borderId="7" xfId="0" applyNumberFormat="1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1" fillId="8" borderId="7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left" vertical="top" wrapText="1" indent="1"/>
      <protection locked="0"/>
    </xf>
    <xf numFmtId="43" fontId="11" fillId="4" borderId="9" xfId="1" applyFont="1" applyFill="1" applyBorder="1" applyAlignment="1" applyProtection="1">
      <alignment horizontal="center" vertical="center" wrapText="1"/>
      <protection locked="0"/>
    </xf>
    <xf numFmtId="3" fontId="13" fillId="0" borderId="7" xfId="0" applyNumberFormat="1" applyFont="1" applyBorder="1" applyAlignment="1" applyProtection="1">
      <alignment horizontal="center" vertical="top" wrapText="1"/>
    </xf>
    <xf numFmtId="43" fontId="1" fillId="4" borderId="7" xfId="1" applyFont="1" applyFill="1" applyBorder="1" applyAlignment="1" applyProtection="1">
      <alignment horizontal="center" vertical="top" wrapText="1"/>
      <protection locked="0"/>
    </xf>
    <xf numFmtId="0" fontId="1" fillId="9" borderId="7" xfId="0" applyFont="1" applyFill="1" applyBorder="1" applyAlignment="1" applyProtection="1">
      <alignment horizontal="left" vertical="top"/>
      <protection locked="0"/>
    </xf>
    <xf numFmtId="43" fontId="14" fillId="4" borderId="10" xfId="1" applyFont="1" applyFill="1" applyBorder="1" applyAlignment="1" applyProtection="1">
      <alignment horizontal="center" vertical="top" wrapText="1"/>
      <protection locked="0"/>
    </xf>
    <xf numFmtId="43" fontId="14" fillId="4" borderId="10" xfId="3" applyFont="1" applyFill="1" applyBorder="1" applyAlignment="1" applyProtection="1">
      <alignment horizontal="center" vertical="top" wrapText="1"/>
      <protection locked="0"/>
    </xf>
    <xf numFmtId="0" fontId="14" fillId="4" borderId="10" xfId="0" applyFont="1" applyFill="1" applyBorder="1" applyAlignment="1" applyProtection="1">
      <alignment horizontal="center" vertical="top" wrapText="1"/>
      <protection locked="0"/>
    </xf>
    <xf numFmtId="187" fontId="13" fillId="4" borderId="11" xfId="1" applyNumberFormat="1" applyFont="1" applyFill="1" applyBorder="1" applyAlignment="1" applyProtection="1">
      <alignment horizontal="center" vertical="top" wrapText="1"/>
      <protection locked="0"/>
    </xf>
    <xf numFmtId="43" fontId="1" fillId="4" borderId="1" xfId="1" applyFont="1" applyFill="1" applyBorder="1" applyAlignment="1" applyProtection="1">
      <alignment horizontal="center" vertical="top" wrapText="1"/>
      <protection locked="0"/>
    </xf>
    <xf numFmtId="43" fontId="11" fillId="0" borderId="1" xfId="1" applyFont="1" applyFill="1" applyBorder="1" applyAlignment="1" applyProtection="1">
      <alignment horizontal="center" vertical="center" wrapText="1"/>
      <protection locked="0"/>
    </xf>
    <xf numFmtId="43" fontId="1" fillId="0" borderId="1" xfId="1" applyFont="1" applyFill="1" applyBorder="1" applyAlignment="1" applyProtection="1">
      <alignment horizontal="center" vertical="top" wrapText="1"/>
      <protection locked="0"/>
    </xf>
    <xf numFmtId="0" fontId="14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 wrapText="1" indent="1"/>
      <protection locked="0"/>
    </xf>
    <xf numFmtId="187" fontId="11" fillId="10" borderId="11" xfId="1" applyNumberFormat="1" applyFont="1" applyFill="1" applyBorder="1" applyAlignment="1" applyProtection="1">
      <alignment horizontal="center" vertical="top" wrapText="1"/>
      <protection locked="0"/>
    </xf>
    <xf numFmtId="43" fontId="4" fillId="0" borderId="1" xfId="1" applyFont="1" applyFill="1" applyBorder="1" applyAlignment="1" applyProtection="1">
      <alignment horizontal="center" vertical="top" wrapText="1"/>
      <protection locked="0"/>
    </xf>
    <xf numFmtId="0" fontId="14" fillId="11" borderId="1" xfId="0" applyFont="1" applyFill="1" applyBorder="1" applyAlignment="1" applyProtection="1">
      <alignment horizontal="center" vertical="top" wrapText="1"/>
      <protection locked="0"/>
    </xf>
    <xf numFmtId="43" fontId="4" fillId="10" borderId="7" xfId="1" applyFont="1" applyFill="1" applyBorder="1" applyAlignment="1" applyProtection="1">
      <alignment horizontal="center" vertical="top" wrapText="1"/>
      <protection hidden="1"/>
    </xf>
    <xf numFmtId="188" fontId="4" fillId="10" borderId="7" xfId="0" applyNumberFormat="1" applyFont="1" applyFill="1" applyBorder="1" applyAlignment="1" applyProtection="1">
      <alignment horizontal="center" vertical="top" wrapText="1"/>
      <protection hidden="1"/>
    </xf>
    <xf numFmtId="0" fontId="15" fillId="10" borderId="7" xfId="0" applyFont="1" applyFill="1" applyBorder="1" applyAlignment="1" applyProtection="1">
      <alignment horizontal="center" vertical="top" wrapText="1"/>
      <protection hidden="1"/>
    </xf>
    <xf numFmtId="0" fontId="1" fillId="10" borderId="7" xfId="0" applyFont="1" applyFill="1" applyBorder="1" applyAlignment="1" applyProtection="1">
      <alignment horizontal="center" vertical="top" wrapText="1"/>
      <protection hidden="1"/>
    </xf>
    <xf numFmtId="0" fontId="1" fillId="10" borderId="7" xfId="0" applyFont="1" applyFill="1" applyBorder="1" applyAlignment="1" applyProtection="1">
      <alignment horizontal="left" vertical="top" wrapText="1"/>
      <protection hidden="1"/>
    </xf>
    <xf numFmtId="0" fontId="13" fillId="10" borderId="7" xfId="0" applyFont="1" applyFill="1" applyBorder="1" applyProtection="1">
      <protection locked="0"/>
    </xf>
    <xf numFmtId="43" fontId="1" fillId="0" borderId="7" xfId="1" applyFont="1" applyFill="1" applyBorder="1" applyAlignment="1" applyProtection="1">
      <alignment horizontal="center"/>
      <protection locked="0"/>
    </xf>
    <xf numFmtId="43" fontId="11" fillId="4" borderId="7" xfId="1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Protection="1">
      <protection locked="0"/>
    </xf>
    <xf numFmtId="0" fontId="14" fillId="11" borderId="7" xfId="0" applyFont="1" applyFill="1" applyBorder="1" applyAlignment="1" applyProtection="1">
      <alignment horizontal="center"/>
      <protection locked="0"/>
    </xf>
    <xf numFmtId="0" fontId="17" fillId="7" borderId="9" xfId="2" applyFont="1" applyFill="1" applyBorder="1" applyAlignment="1" applyProtection="1">
      <alignment horizontal="left" vertical="center" wrapText="1"/>
      <protection locked="0"/>
    </xf>
    <xf numFmtId="0" fontId="17" fillId="7" borderId="12" xfId="2" applyFont="1" applyFill="1" applyBorder="1" applyAlignment="1" applyProtection="1">
      <alignment horizontal="left" vertical="center" wrapText="1"/>
      <protection locked="0"/>
    </xf>
    <xf numFmtId="0" fontId="17" fillId="7" borderId="13" xfId="2" applyFont="1" applyFill="1" applyBorder="1" applyAlignment="1" applyProtection="1">
      <alignment horizontal="left" vertical="center" wrapText="1"/>
      <protection locked="0"/>
    </xf>
    <xf numFmtId="187" fontId="11" fillId="7" borderId="7" xfId="1" applyNumberFormat="1" applyFont="1" applyFill="1" applyBorder="1" applyAlignment="1" applyProtection="1">
      <alignment horizontal="center" vertical="top" wrapText="1"/>
      <protection locked="0"/>
    </xf>
    <xf numFmtId="43" fontId="11" fillId="7" borderId="9" xfId="1" applyFont="1" applyFill="1" applyBorder="1" applyAlignment="1" applyProtection="1">
      <alignment horizontal="center" vertical="center" wrapText="1"/>
      <protection locked="0"/>
    </xf>
    <xf numFmtId="0" fontId="11" fillId="7" borderId="9" xfId="0" applyNumberFormat="1" applyFont="1" applyFill="1" applyBorder="1" applyAlignment="1" applyProtection="1">
      <alignment horizontal="center" vertical="center" wrapText="1"/>
      <protection locked="0"/>
    </xf>
    <xf numFmtId="188" fontId="4" fillId="7" borderId="7" xfId="0" applyNumberFormat="1" applyFont="1" applyFill="1" applyBorder="1" applyAlignment="1" applyProtection="1">
      <alignment horizontal="center" vertical="top" wrapText="1"/>
      <protection hidden="1"/>
    </xf>
    <xf numFmtId="0" fontId="12" fillId="7" borderId="7" xfId="0" applyFont="1" applyFill="1" applyBorder="1" applyAlignment="1" applyProtection="1">
      <alignment horizontal="center" vertical="top" wrapText="1"/>
      <protection hidden="1"/>
    </xf>
    <xf numFmtId="0" fontId="4" fillId="7" borderId="7" xfId="0" applyFont="1" applyFill="1" applyBorder="1" applyAlignment="1" applyProtection="1">
      <alignment horizontal="left" vertical="top" wrapText="1"/>
      <protection hidden="1"/>
    </xf>
    <xf numFmtId="43" fontId="1" fillId="4" borderId="10" xfId="1" applyFont="1" applyFill="1" applyBorder="1" applyAlignment="1" applyProtection="1">
      <alignment horizontal="center" vertical="top" wrapText="1"/>
      <protection locked="0"/>
    </xf>
    <xf numFmtId="43" fontId="1" fillId="4" borderId="10" xfId="1" applyFont="1" applyFill="1" applyBorder="1" applyAlignment="1" applyProtection="1">
      <alignment horizontal="right" vertical="top" wrapText="1"/>
      <protection locked="0"/>
    </xf>
    <xf numFmtId="43" fontId="1" fillId="4" borderId="9" xfId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43" fontId="18" fillId="4" borderId="7" xfId="1" applyFont="1" applyFill="1" applyBorder="1" applyAlignment="1" applyProtection="1">
      <alignment horizontal="center" vertical="top" wrapText="1"/>
      <protection locked="0"/>
    </xf>
    <xf numFmtId="43" fontId="18" fillId="4" borderId="9" xfId="1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6" fillId="4" borderId="7" xfId="0" applyFont="1" applyFill="1" applyBorder="1" applyAlignment="1" applyProtection="1">
      <alignment horizontal="left" vertical="top" wrapText="1"/>
      <protection locked="0"/>
    </xf>
    <xf numFmtId="43" fontId="18" fillId="4" borderId="9" xfId="1" applyFont="1" applyFill="1" applyBorder="1" applyAlignment="1" applyProtection="1">
      <alignment horizontal="center" vertical="top" wrapText="1"/>
      <protection locked="0"/>
    </xf>
    <xf numFmtId="0" fontId="18" fillId="0" borderId="9" xfId="0" applyFont="1" applyBorder="1" applyAlignment="1" applyProtection="1">
      <alignment horizontal="center" vertical="top" wrapText="1"/>
      <protection locked="0"/>
    </xf>
    <xf numFmtId="43" fontId="11" fillId="7" borderId="9" xfId="1" applyFont="1" applyFill="1" applyBorder="1" applyAlignment="1" applyProtection="1">
      <alignment horizontal="center" vertical="top" wrapText="1"/>
      <protection locked="0"/>
    </xf>
    <xf numFmtId="43" fontId="1" fillId="0" borderId="7" xfId="1" applyFont="1" applyFill="1" applyBorder="1" applyAlignment="1" applyProtection="1">
      <alignment horizontal="center" vertical="top" wrapText="1"/>
      <protection locked="0"/>
    </xf>
    <xf numFmtId="43" fontId="14" fillId="0" borderId="7" xfId="1" applyFont="1" applyFill="1" applyBorder="1" applyAlignment="1" applyProtection="1">
      <alignment horizontal="center" vertical="top" wrapText="1"/>
      <protection locked="0"/>
    </xf>
    <xf numFmtId="43" fontId="14" fillId="4" borderId="9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top" wrapText="1"/>
      <protection locked="0"/>
    </xf>
    <xf numFmtId="43" fontId="18" fillId="0" borderId="7" xfId="1" applyFont="1" applyFill="1" applyBorder="1" applyAlignment="1" applyProtection="1">
      <alignment horizontal="center" vertical="top" wrapText="1"/>
      <protection locked="0"/>
    </xf>
    <xf numFmtId="0" fontId="11" fillId="12" borderId="9" xfId="0" applyFont="1" applyFill="1" applyBorder="1" applyAlignment="1" applyProtection="1">
      <alignment horizontal="center"/>
      <protection locked="0"/>
    </xf>
    <xf numFmtId="0" fontId="11" fillId="12" borderId="12" xfId="0" applyFont="1" applyFill="1" applyBorder="1" applyAlignment="1" applyProtection="1">
      <alignment horizontal="center"/>
      <protection locked="0"/>
    </xf>
    <xf numFmtId="0" fontId="11" fillId="12" borderId="13" xfId="0" applyFont="1" applyFill="1" applyBorder="1" applyAlignment="1" applyProtection="1">
      <alignment horizontal="center"/>
      <protection locked="0"/>
    </xf>
    <xf numFmtId="2" fontId="11" fillId="12" borderId="7" xfId="0" applyNumberFormat="1" applyFont="1" applyFill="1" applyBorder="1" applyAlignment="1" applyProtection="1">
      <alignment horizontal="center" vertical="top" wrapText="1"/>
      <protection locked="0"/>
    </xf>
    <xf numFmtId="43" fontId="11" fillId="12" borderId="11" xfId="1" applyFont="1" applyFill="1" applyBorder="1" applyAlignment="1" applyProtection="1">
      <alignment horizontal="center"/>
      <protection locked="0"/>
    </xf>
    <xf numFmtId="43" fontId="11" fillId="12" borderId="9" xfId="1" applyFont="1" applyFill="1" applyBorder="1" applyAlignment="1" applyProtection="1">
      <alignment horizontal="center" vertical="center" wrapText="1"/>
      <protection locked="0"/>
    </xf>
    <xf numFmtId="0" fontId="11" fillId="12" borderId="11" xfId="0" applyNumberFormat="1" applyFont="1" applyFill="1" applyBorder="1" applyAlignment="1" applyProtection="1">
      <alignment horizontal="center"/>
      <protection locked="0"/>
    </xf>
    <xf numFmtId="4" fontId="4" fillId="12" borderId="7" xfId="0" applyNumberFormat="1" applyFont="1" applyFill="1" applyBorder="1" applyAlignment="1" applyProtection="1">
      <alignment horizontal="center" vertical="top" wrapText="1"/>
      <protection hidden="1"/>
    </xf>
    <xf numFmtId="188" fontId="4" fillId="12" borderId="7" xfId="0" applyNumberFormat="1" applyFont="1" applyFill="1" applyBorder="1" applyAlignment="1" applyProtection="1">
      <alignment horizontal="center" vertical="top" wrapText="1"/>
      <protection hidden="1"/>
    </xf>
    <xf numFmtId="0" fontId="12" fillId="12" borderId="7" xfId="0" applyFont="1" applyFill="1" applyBorder="1" applyAlignment="1" applyProtection="1">
      <alignment horizontal="center" vertical="top" wrapText="1"/>
      <protection hidden="1"/>
    </xf>
    <xf numFmtId="0" fontId="4" fillId="12" borderId="7" xfId="0" applyFont="1" applyFill="1" applyBorder="1" applyAlignment="1" applyProtection="1">
      <alignment horizontal="center" vertical="top" wrapText="1"/>
      <protection hidden="1"/>
    </xf>
    <xf numFmtId="0" fontId="19" fillId="9" borderId="7" xfId="0" applyFont="1" applyFill="1" applyBorder="1" applyAlignment="1" applyProtection="1">
      <alignment horizontal="left" vertical="top" wrapText="1" indent="1"/>
      <protection locked="0"/>
    </xf>
    <xf numFmtId="2" fontId="11" fillId="9" borderId="7" xfId="0" applyNumberFormat="1" applyFont="1" applyFill="1" applyBorder="1" applyAlignment="1" applyProtection="1">
      <alignment horizontal="center" vertical="top" wrapText="1"/>
      <protection locked="0"/>
    </xf>
    <xf numFmtId="43" fontId="19" fillId="9" borderId="7" xfId="1" applyFont="1" applyFill="1" applyBorder="1" applyAlignment="1" applyProtection="1">
      <alignment horizontal="center" vertical="top" wrapText="1"/>
      <protection locked="0"/>
    </xf>
    <xf numFmtId="43" fontId="19" fillId="13" borderId="7" xfId="1" applyFont="1" applyFill="1" applyBorder="1" applyAlignment="1" applyProtection="1">
      <alignment horizontal="center" vertical="center" wrapText="1"/>
      <protection locked="0"/>
    </xf>
    <xf numFmtId="43" fontId="19" fillId="13" borderId="9" xfId="1" applyFont="1" applyFill="1" applyBorder="1" applyAlignment="1" applyProtection="1">
      <alignment horizontal="center" vertical="center" wrapText="1"/>
      <protection locked="0"/>
    </xf>
    <xf numFmtId="0" fontId="19" fillId="9" borderId="7" xfId="0" applyNumberFormat="1" applyFont="1" applyFill="1" applyBorder="1" applyAlignment="1" applyProtection="1">
      <alignment horizontal="center" vertical="top" wrapText="1"/>
      <protection locked="0"/>
    </xf>
    <xf numFmtId="4" fontId="2" fillId="14" borderId="7" xfId="0" applyNumberFormat="1" applyFont="1" applyFill="1" applyBorder="1" applyAlignment="1" applyProtection="1">
      <alignment horizontal="center" vertical="top" wrapText="1"/>
      <protection hidden="1"/>
    </xf>
    <xf numFmtId="188" fontId="20" fillId="14" borderId="7" xfId="0" applyNumberFormat="1" applyFont="1" applyFill="1" applyBorder="1" applyAlignment="1" applyProtection="1">
      <alignment horizontal="center" vertical="top" wrapText="1"/>
      <protection hidden="1"/>
    </xf>
    <xf numFmtId="0" fontId="21" fillId="14" borderId="7" xfId="0" applyFont="1" applyFill="1" applyBorder="1" applyAlignment="1" applyProtection="1">
      <alignment horizontal="center" vertical="top" wrapText="1"/>
      <protection hidden="1"/>
    </xf>
    <xf numFmtId="0" fontId="10" fillId="14" borderId="7" xfId="0" applyFont="1" applyFill="1" applyBorder="1" applyAlignment="1" applyProtection="1">
      <alignment horizontal="center" vertical="top" wrapText="1"/>
      <protection hidden="1"/>
    </xf>
    <xf numFmtId="0" fontId="22" fillId="15" borderId="7" xfId="0" applyFont="1" applyFill="1" applyBorder="1" applyAlignment="1" applyProtection="1">
      <alignment horizontal="center" vertical="center"/>
      <protection locked="0"/>
    </xf>
    <xf numFmtId="0" fontId="23" fillId="16" borderId="7" xfId="0" applyFont="1" applyFill="1" applyBorder="1" applyAlignment="1" applyProtection="1">
      <alignment horizontal="left" vertical="top" wrapText="1"/>
      <protection locked="0"/>
    </xf>
    <xf numFmtId="0" fontId="22" fillId="15" borderId="7" xfId="0" applyFont="1" applyFill="1" applyBorder="1" applyAlignment="1" applyProtection="1">
      <alignment horizontal="center" vertical="center" wrapText="1"/>
      <protection locked="0"/>
    </xf>
    <xf numFmtId="0" fontId="24" fillId="11" borderId="7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 applyProtection="1">
      <alignment horizontal="center" vertical="center"/>
      <protection locked="0"/>
    </xf>
    <xf numFmtId="188" fontId="25" fillId="4" borderId="7" xfId="0" applyNumberFormat="1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 wrapText="1"/>
      <protection hidden="1"/>
    </xf>
    <xf numFmtId="0" fontId="1" fillId="17" borderId="7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left" vertical="top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top"/>
      <protection locked="0"/>
    </xf>
    <xf numFmtId="43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left" vertical="top"/>
    </xf>
    <xf numFmtId="0" fontId="22" fillId="4" borderId="14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top" wrapText="1"/>
    </xf>
    <xf numFmtId="0" fontId="10" fillId="3" borderId="11" xfId="2" applyFont="1" applyFill="1" applyBorder="1" applyAlignment="1">
      <alignment horizontal="center" vertical="center" shrinkToFit="1"/>
    </xf>
    <xf numFmtId="0" fontId="10" fillId="3" borderId="1" xfId="2" applyFont="1" applyFill="1" applyBorder="1" applyAlignment="1">
      <alignment horizontal="center" vertical="center" wrapText="1" shrinkToFit="1"/>
    </xf>
    <xf numFmtId="0" fontId="10" fillId="3" borderId="3" xfId="2" applyFont="1" applyFill="1" applyBorder="1" applyAlignment="1">
      <alignment horizontal="center" vertical="center" wrapText="1" shrinkToFit="1"/>
    </xf>
    <xf numFmtId="0" fontId="26" fillId="3" borderId="11" xfId="2" applyFont="1" applyFill="1" applyBorder="1" applyAlignment="1">
      <alignment horizontal="center" vertical="center" wrapText="1" shrinkToFit="1"/>
    </xf>
    <xf numFmtId="0" fontId="10" fillId="3" borderId="9" xfId="2" applyFont="1" applyFill="1" applyBorder="1" applyAlignment="1">
      <alignment horizontal="center" vertical="center" wrapText="1" shrinkToFit="1"/>
    </xf>
    <xf numFmtId="0" fontId="10" fillId="3" borderId="12" xfId="2" applyFont="1" applyFill="1" applyBorder="1" applyAlignment="1">
      <alignment horizontal="center" vertical="center" wrapText="1" shrinkToFit="1"/>
    </xf>
    <xf numFmtId="0" fontId="10" fillId="3" borderId="13" xfId="2" applyFont="1" applyFill="1" applyBorder="1" applyAlignment="1">
      <alignment horizontal="center" vertical="center" wrapText="1" shrinkToFit="1"/>
    </xf>
    <xf numFmtId="0" fontId="10" fillId="3" borderId="11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 shrinkToFit="1"/>
    </xf>
    <xf numFmtId="189" fontId="10" fillId="3" borderId="11" xfId="4" applyFont="1" applyFill="1" applyBorder="1" applyAlignment="1">
      <alignment horizontal="center" vertical="center" wrapText="1" shrinkToFit="1"/>
    </xf>
    <xf numFmtId="3" fontId="10" fillId="3" borderId="11" xfId="2" applyNumberFormat="1" applyFont="1" applyFill="1" applyBorder="1" applyAlignment="1">
      <alignment horizontal="center" vertical="center" wrapText="1" shrinkToFit="1"/>
    </xf>
    <xf numFmtId="49" fontId="10" fillId="3" borderId="11" xfId="2" applyNumberFormat="1" applyFont="1" applyFill="1" applyBorder="1" applyAlignment="1">
      <alignment horizontal="center" vertical="center" wrapText="1" shrinkToFit="1"/>
    </xf>
    <xf numFmtId="0" fontId="10" fillId="3" borderId="15" xfId="2" applyFont="1" applyFill="1" applyBorder="1" applyAlignment="1">
      <alignment horizontal="center" vertical="center" shrinkToFit="1"/>
    </xf>
    <xf numFmtId="0" fontId="10" fillId="3" borderId="14" xfId="2" applyFont="1" applyFill="1" applyBorder="1" applyAlignment="1">
      <alignment horizontal="center" vertical="center" wrapText="1" shrinkToFit="1"/>
    </xf>
    <xf numFmtId="0" fontId="10" fillId="3" borderId="16" xfId="2" applyFont="1" applyFill="1" applyBorder="1" applyAlignment="1">
      <alignment horizontal="center" vertical="center" wrapText="1" shrinkToFit="1"/>
    </xf>
    <xf numFmtId="0" fontId="26" fillId="3" borderId="15" xfId="2" applyFont="1" applyFill="1" applyBorder="1" applyAlignment="1">
      <alignment horizontal="center" vertical="center" wrapText="1" shrinkToFit="1"/>
    </xf>
    <xf numFmtId="0" fontId="26" fillId="3" borderId="1" xfId="2" applyFont="1" applyFill="1" applyBorder="1" applyAlignment="1">
      <alignment horizontal="center" vertical="center" wrapText="1" shrinkToFit="1"/>
    </xf>
    <xf numFmtId="0" fontId="10" fillId="3" borderId="11" xfId="2" applyFont="1" applyFill="1" applyBorder="1" applyAlignment="1">
      <alignment horizontal="center" vertical="center" wrapText="1" shrinkToFit="1"/>
    </xf>
    <xf numFmtId="0" fontId="26" fillId="3" borderId="1" xfId="2" applyFont="1" applyFill="1" applyBorder="1" applyAlignment="1">
      <alignment horizontal="center" vertical="top" wrapText="1" shrinkToFit="1"/>
    </xf>
    <xf numFmtId="0" fontId="10" fillId="3" borderId="15" xfId="2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horizontal="center" vertical="center" wrapText="1" shrinkToFit="1"/>
    </xf>
    <xf numFmtId="189" fontId="10" fillId="3" borderId="15" xfId="4" applyFont="1" applyFill="1" applyBorder="1" applyAlignment="1">
      <alignment horizontal="center" vertical="center" wrapText="1" shrinkToFit="1"/>
    </xf>
    <xf numFmtId="3" fontId="10" fillId="3" borderId="15" xfId="2" applyNumberFormat="1" applyFont="1" applyFill="1" applyBorder="1" applyAlignment="1">
      <alignment horizontal="center" vertical="center" wrapText="1" shrinkToFit="1"/>
    </xf>
    <xf numFmtId="49" fontId="10" fillId="3" borderId="15" xfId="2" applyNumberFormat="1" applyFont="1" applyFill="1" applyBorder="1" applyAlignment="1">
      <alignment horizontal="center" vertical="center" wrapText="1" shrinkToFit="1"/>
    </xf>
    <xf numFmtId="0" fontId="14" fillId="4" borderId="11" xfId="2" applyFont="1" applyFill="1" applyBorder="1" applyAlignment="1">
      <alignment horizontal="center" vertical="top" shrinkToFi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left" vertical="top" wrapText="1"/>
    </xf>
    <xf numFmtId="4" fontId="1" fillId="4" borderId="17" xfId="0" applyNumberFormat="1" applyFont="1" applyFill="1" applyBorder="1" applyAlignment="1">
      <alignment horizontal="right" vertical="top"/>
    </xf>
    <xf numFmtId="0" fontId="1" fillId="4" borderId="18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4" fontId="1" fillId="4" borderId="0" xfId="0" applyNumberFormat="1" applyFont="1" applyFill="1" applyAlignment="1">
      <alignment horizontal="left" vertical="top"/>
    </xf>
    <xf numFmtId="0" fontId="14" fillId="4" borderId="15" xfId="2" applyFont="1" applyFill="1" applyBorder="1" applyAlignment="1">
      <alignment horizontal="center" vertical="top" shrinkToFit="1"/>
    </xf>
    <xf numFmtId="0" fontId="1" fillId="4" borderId="14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" fontId="1" fillId="4" borderId="21" xfId="0" applyNumberFormat="1" applyFont="1" applyFill="1" applyBorder="1" applyAlignment="1">
      <alignment horizontal="right" vertical="top"/>
    </xf>
    <xf numFmtId="0" fontId="1" fillId="4" borderId="22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vertical="top" wrapText="1"/>
    </xf>
    <xf numFmtId="0" fontId="14" fillId="4" borderId="8" xfId="2" applyFont="1" applyFill="1" applyBorder="1" applyAlignment="1">
      <alignment horizontal="center" vertical="top" shrinkToFit="1"/>
    </xf>
    <xf numFmtId="0" fontId="1" fillId="4" borderId="4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23" xfId="0" applyFont="1" applyFill="1" applyBorder="1" applyAlignment="1">
      <alignment horizontal="left" vertical="top" wrapText="1"/>
    </xf>
    <xf numFmtId="4" fontId="1" fillId="4" borderId="24" xfId="0" applyNumberFormat="1" applyFont="1" applyFill="1" applyBorder="1" applyAlignment="1">
      <alignment horizontal="right" vertical="top"/>
    </xf>
    <xf numFmtId="0" fontId="1" fillId="4" borderId="25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4" fontId="1" fillId="4" borderId="27" xfId="0" applyNumberFormat="1" applyFont="1" applyFill="1" applyBorder="1" applyAlignment="1">
      <alignment horizontal="right" vertical="top"/>
    </xf>
    <xf numFmtId="4" fontId="1" fillId="4" borderId="28" xfId="0" applyNumberFormat="1" applyFont="1" applyFill="1" applyBorder="1" applyAlignment="1">
      <alignment horizontal="right" vertical="top"/>
    </xf>
    <xf numFmtId="4" fontId="1" fillId="4" borderId="29" xfId="0" applyNumberFormat="1" applyFont="1" applyFill="1" applyBorder="1" applyAlignment="1">
      <alignment horizontal="right" vertical="top"/>
    </xf>
    <xf numFmtId="0" fontId="1" fillId="4" borderId="23" xfId="0" applyFont="1" applyFill="1" applyBorder="1" applyAlignment="1">
      <alignment vertical="top" wrapText="1"/>
    </xf>
    <xf numFmtId="4" fontId="1" fillId="4" borderId="30" xfId="0" applyNumberFormat="1" applyFont="1" applyFill="1" applyBorder="1" applyAlignment="1">
      <alignment horizontal="right" vertical="top"/>
    </xf>
    <xf numFmtId="0" fontId="1" fillId="4" borderId="31" xfId="0" applyFont="1" applyFill="1" applyBorder="1" applyAlignment="1">
      <alignment horizontal="left" vertical="top" wrapText="1"/>
    </xf>
    <xf numFmtId="4" fontId="1" fillId="4" borderId="32" xfId="0" applyNumberFormat="1" applyFont="1" applyFill="1" applyBorder="1" applyAlignment="1">
      <alignment horizontal="right" vertical="top"/>
    </xf>
    <xf numFmtId="4" fontId="1" fillId="4" borderId="33" xfId="0" applyNumberFormat="1" applyFont="1" applyFill="1" applyBorder="1" applyAlignment="1">
      <alignment horizontal="right" vertical="top"/>
    </xf>
    <xf numFmtId="4" fontId="1" fillId="4" borderId="34" xfId="0" applyNumberFormat="1" applyFont="1" applyFill="1" applyBorder="1" applyAlignment="1">
      <alignment horizontal="right" vertical="top"/>
    </xf>
    <xf numFmtId="0" fontId="1" fillId="4" borderId="34" xfId="0" applyFont="1" applyFill="1" applyBorder="1" applyAlignment="1">
      <alignment horizontal="left" vertical="top" wrapText="1"/>
    </xf>
    <xf numFmtId="4" fontId="1" fillId="4" borderId="35" xfId="0" applyNumberFormat="1" applyFont="1" applyFill="1" applyBorder="1" applyAlignment="1">
      <alignment horizontal="right" vertical="top"/>
    </xf>
    <xf numFmtId="0" fontId="1" fillId="4" borderId="36" xfId="0" applyFont="1" applyFill="1" applyBorder="1" applyAlignment="1">
      <alignment horizontal="left" vertical="top" wrapText="1"/>
    </xf>
    <xf numFmtId="4" fontId="1" fillId="4" borderId="37" xfId="0" applyNumberFormat="1" applyFont="1" applyFill="1" applyBorder="1" applyAlignment="1">
      <alignment horizontal="right" vertical="top"/>
    </xf>
    <xf numFmtId="4" fontId="1" fillId="4" borderId="38" xfId="0" applyNumberFormat="1" applyFont="1" applyFill="1" applyBorder="1" applyAlignment="1">
      <alignment horizontal="right" vertical="top"/>
    </xf>
    <xf numFmtId="4" fontId="1" fillId="4" borderId="39" xfId="0" applyNumberFormat="1" applyFont="1" applyFill="1" applyBorder="1" applyAlignment="1">
      <alignment horizontal="right" vertical="top"/>
    </xf>
    <xf numFmtId="4" fontId="1" fillId="4" borderId="40" xfId="0" applyNumberFormat="1" applyFont="1" applyFill="1" applyBorder="1" applyAlignment="1">
      <alignment horizontal="right" vertical="top"/>
    </xf>
    <xf numFmtId="4" fontId="1" fillId="4" borderId="41" xfId="0" applyNumberFormat="1" applyFont="1" applyFill="1" applyBorder="1" applyAlignment="1">
      <alignment horizontal="right" vertical="top"/>
    </xf>
    <xf numFmtId="4" fontId="1" fillId="4" borderId="42" xfId="0" applyNumberFormat="1" applyFont="1" applyFill="1" applyBorder="1" applyAlignment="1">
      <alignment horizontal="right" vertical="top"/>
    </xf>
    <xf numFmtId="4" fontId="1" fillId="4" borderId="43" xfId="0" applyNumberFormat="1" applyFont="1" applyFill="1" applyBorder="1" applyAlignment="1">
      <alignment horizontal="right" vertical="top"/>
    </xf>
    <xf numFmtId="4" fontId="1" fillId="4" borderId="44" xfId="0" applyNumberFormat="1" applyFont="1" applyFill="1" applyBorder="1" applyAlignment="1">
      <alignment horizontal="right" vertical="top"/>
    </xf>
    <xf numFmtId="0" fontId="1" fillId="4" borderId="45" xfId="0" applyFont="1" applyFill="1" applyBorder="1" applyAlignment="1">
      <alignment horizontal="left" vertical="top" wrapText="1"/>
    </xf>
    <xf numFmtId="4" fontId="1" fillId="4" borderId="46" xfId="0" applyNumberFormat="1" applyFont="1" applyFill="1" applyBorder="1" applyAlignment="1">
      <alignment horizontal="right" vertical="top"/>
    </xf>
    <xf numFmtId="4" fontId="1" fillId="4" borderId="20" xfId="0" applyNumberFormat="1" applyFont="1" applyFill="1" applyBorder="1" applyAlignment="1">
      <alignment horizontal="right" vertical="top"/>
    </xf>
    <xf numFmtId="0" fontId="1" fillId="4" borderId="8" xfId="0" applyFont="1" applyFill="1" applyBorder="1" applyAlignment="1">
      <alignment horizontal="left" vertical="top" wrapText="1"/>
    </xf>
    <xf numFmtId="4" fontId="1" fillId="4" borderId="47" xfId="0" applyNumberFormat="1" applyFont="1" applyFill="1" applyBorder="1" applyAlignment="1">
      <alignment horizontal="right" vertical="top"/>
    </xf>
    <xf numFmtId="0" fontId="1" fillId="4" borderId="26" xfId="0" applyFont="1" applyFill="1" applyBorder="1" applyAlignment="1">
      <alignment vertical="top" wrapText="1"/>
    </xf>
    <xf numFmtId="4" fontId="1" fillId="4" borderId="48" xfId="0" applyNumberFormat="1" applyFont="1" applyFill="1" applyBorder="1" applyAlignment="1">
      <alignment horizontal="right" vertical="top"/>
    </xf>
    <xf numFmtId="4" fontId="1" fillId="4" borderId="49" xfId="0" applyNumberFormat="1" applyFont="1" applyFill="1" applyBorder="1" applyAlignment="1">
      <alignment horizontal="right" vertical="top"/>
    </xf>
    <xf numFmtId="4" fontId="1" fillId="4" borderId="50" xfId="0" applyNumberFormat="1" applyFont="1" applyFill="1" applyBorder="1" applyAlignment="1">
      <alignment horizontal="right" vertical="top"/>
    </xf>
    <xf numFmtId="4" fontId="1" fillId="4" borderId="51" xfId="0" applyNumberFormat="1" applyFont="1" applyFill="1" applyBorder="1" applyAlignment="1">
      <alignment horizontal="right" vertical="top"/>
    </xf>
    <xf numFmtId="0" fontId="1" fillId="4" borderId="5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53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54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top" wrapText="1"/>
    </xf>
    <xf numFmtId="4" fontId="1" fillId="4" borderId="55" xfId="0" applyNumberFormat="1" applyFont="1" applyFill="1" applyBorder="1" applyAlignment="1">
      <alignment horizontal="right" vertical="top"/>
    </xf>
    <xf numFmtId="4" fontId="1" fillId="4" borderId="45" xfId="0" applyNumberFormat="1" applyFont="1" applyFill="1" applyBorder="1" applyAlignment="1">
      <alignment horizontal="right" vertical="top"/>
    </xf>
    <xf numFmtId="4" fontId="1" fillId="4" borderId="56" xfId="0" applyNumberFormat="1" applyFont="1" applyFill="1" applyBorder="1" applyAlignment="1">
      <alignment horizontal="right" vertical="top"/>
    </xf>
    <xf numFmtId="0" fontId="14" fillId="4" borderId="7" xfId="2" applyFont="1" applyFill="1" applyBorder="1" applyAlignment="1">
      <alignment horizontal="center" vertical="top" shrinkToFit="1"/>
    </xf>
    <xf numFmtId="0" fontId="14" fillId="4" borderId="9" xfId="0" applyFont="1" applyFill="1" applyBorder="1" applyAlignment="1">
      <alignment horizontal="left" vertical="top" wrapText="1"/>
    </xf>
    <xf numFmtId="0" fontId="14" fillId="4" borderId="13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vertical="top" wrapText="1"/>
    </xf>
    <xf numFmtId="0" fontId="14" fillId="4" borderId="8" xfId="0" applyFont="1" applyFill="1" applyBorder="1" applyAlignment="1">
      <alignment horizontal="left" vertical="top" wrapText="1"/>
    </xf>
    <xf numFmtId="4" fontId="14" fillId="4" borderId="57" xfId="0" applyNumberFormat="1" applyFont="1" applyFill="1" applyBorder="1" applyAlignment="1">
      <alignment horizontal="right" vertical="top"/>
    </xf>
    <xf numFmtId="0" fontId="14" fillId="4" borderId="58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9" fontId="1" fillId="4" borderId="20" xfId="0" applyNumberFormat="1" applyFont="1" applyFill="1" applyBorder="1" applyAlignment="1">
      <alignment vertical="top" wrapText="1"/>
    </xf>
    <xf numFmtId="4" fontId="1" fillId="4" borderId="59" xfId="0" applyNumberFormat="1" applyFont="1" applyFill="1" applyBorder="1" applyAlignment="1">
      <alignment horizontal="right" vertical="top"/>
    </xf>
    <xf numFmtId="189" fontId="1" fillId="4" borderId="0" xfId="0" applyNumberFormat="1" applyFont="1" applyFill="1" applyAlignment="1">
      <alignment horizontal="left" vertical="top"/>
    </xf>
    <xf numFmtId="0" fontId="1" fillId="4" borderId="1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4" fontId="1" fillId="4" borderId="23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60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center" vertical="top" wrapText="1"/>
    </xf>
    <xf numFmtId="4" fontId="1" fillId="4" borderId="19" xfId="0" applyNumberFormat="1" applyFont="1" applyFill="1" applyBorder="1" applyAlignment="1">
      <alignment horizontal="right" vertical="top"/>
    </xf>
    <xf numFmtId="0" fontId="1" fillId="4" borderId="4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/>
    </xf>
    <xf numFmtId="0" fontId="1" fillId="4" borderId="22" xfId="0" applyFont="1" applyFill="1" applyBorder="1" applyAlignment="1">
      <alignment vertical="top" wrapText="1"/>
    </xf>
    <xf numFmtId="0" fontId="14" fillId="4" borderId="8" xfId="2" applyFont="1" applyFill="1" applyBorder="1" applyAlignment="1">
      <alignment horizontal="center" vertical="top" shrinkToFit="1"/>
    </xf>
    <xf numFmtId="0" fontId="1" fillId="4" borderId="9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4" fontId="1" fillId="4" borderId="57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horizontal="left" vertical="top" wrapText="1"/>
    </xf>
    <xf numFmtId="0" fontId="28" fillId="4" borderId="61" xfId="0" applyFont="1" applyFill="1" applyBorder="1" applyAlignment="1">
      <alignment horizontal="left" vertical="top"/>
    </xf>
    <xf numFmtId="0" fontId="28" fillId="4" borderId="62" xfId="0" applyFont="1" applyFill="1" applyBorder="1" applyAlignment="1">
      <alignment horizontal="left" vertical="top"/>
    </xf>
    <xf numFmtId="0" fontId="1" fillId="4" borderId="63" xfId="0" applyFont="1" applyFill="1" applyBorder="1" applyAlignment="1">
      <alignment horizontal="left" vertical="top" wrapText="1"/>
    </xf>
    <xf numFmtId="4" fontId="1" fillId="4" borderId="26" xfId="0" applyNumberFormat="1" applyFont="1" applyFill="1" applyBorder="1" applyAlignment="1">
      <alignment horizontal="right" vertical="top"/>
    </xf>
    <xf numFmtId="0" fontId="28" fillId="4" borderId="14" xfId="0" applyFont="1" applyFill="1" applyBorder="1" applyAlignment="1">
      <alignment horizontal="left" vertical="top"/>
    </xf>
    <xf numFmtId="0" fontId="28" fillId="4" borderId="16" xfId="0" applyFont="1" applyFill="1" applyBorder="1" applyAlignment="1">
      <alignment horizontal="left" vertical="top"/>
    </xf>
    <xf numFmtId="0" fontId="1" fillId="4" borderId="64" xfId="0" applyFont="1" applyFill="1" applyBorder="1" applyAlignment="1">
      <alignment horizontal="left" vertical="top" wrapText="1"/>
    </xf>
    <xf numFmtId="0" fontId="28" fillId="4" borderId="65" xfId="0" applyFont="1" applyFill="1" applyBorder="1" applyAlignment="1">
      <alignment horizontal="left" vertical="top"/>
    </xf>
    <xf numFmtId="0" fontId="28" fillId="4" borderId="66" xfId="0" applyFont="1" applyFill="1" applyBorder="1" applyAlignment="1">
      <alignment horizontal="left" vertical="top"/>
    </xf>
    <xf numFmtId="0" fontId="1" fillId="4" borderId="67" xfId="0" applyFont="1" applyFill="1" applyBorder="1" applyAlignment="1">
      <alignment horizontal="left" vertical="top" wrapText="1"/>
    </xf>
    <xf numFmtId="0" fontId="1" fillId="4" borderId="60" xfId="0" applyFont="1" applyFill="1" applyBorder="1" applyAlignment="1">
      <alignment vertical="top" wrapText="1"/>
    </xf>
    <xf numFmtId="0" fontId="1" fillId="4" borderId="68" xfId="0" applyFont="1" applyFill="1" applyBorder="1" applyAlignment="1">
      <alignment horizontal="left" vertical="top" wrapText="1"/>
    </xf>
    <xf numFmtId="4" fontId="1" fillId="4" borderId="60" xfId="0" applyNumberFormat="1" applyFont="1" applyFill="1" applyBorder="1" applyAlignment="1">
      <alignment horizontal="right" vertical="top"/>
    </xf>
    <xf numFmtId="0" fontId="1" fillId="4" borderId="69" xfId="0" applyFont="1" applyFill="1" applyBorder="1" applyAlignment="1">
      <alignment horizontal="left" vertical="top" wrapText="1"/>
    </xf>
    <xf numFmtId="0" fontId="28" fillId="4" borderId="70" xfId="0" applyFont="1" applyFill="1" applyBorder="1" applyAlignment="1">
      <alignment horizontal="left" vertical="top" wrapText="1"/>
    </xf>
    <xf numFmtId="0" fontId="28" fillId="4" borderId="71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left" vertical="top" wrapText="1"/>
    </xf>
    <xf numFmtId="4" fontId="1" fillId="4" borderId="7" xfId="0" applyNumberFormat="1" applyFont="1" applyFill="1" applyBorder="1" applyAlignment="1">
      <alignment horizontal="right" vertical="top"/>
    </xf>
    <xf numFmtId="0" fontId="28" fillId="4" borderId="1" xfId="0" applyFont="1" applyFill="1" applyBorder="1" applyAlignment="1">
      <alignment horizontal="left" vertical="top" wrapText="1"/>
    </xf>
    <xf numFmtId="0" fontId="28" fillId="4" borderId="3" xfId="0" applyFont="1" applyFill="1" applyBorder="1" applyAlignment="1">
      <alignment horizontal="left" vertical="top" wrapText="1"/>
    </xf>
    <xf numFmtId="0" fontId="28" fillId="4" borderId="14" xfId="0" applyFont="1" applyFill="1" applyBorder="1" applyAlignment="1">
      <alignment horizontal="left" vertical="top" wrapText="1"/>
    </xf>
    <xf numFmtId="0" fontId="28" fillId="4" borderId="16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28" fillId="4" borderId="6" xfId="0" applyFont="1" applyFill="1" applyBorder="1" applyAlignment="1">
      <alignment horizontal="left" vertical="top" wrapText="1"/>
    </xf>
    <xf numFmtId="4" fontId="1" fillId="4" borderId="8" xfId="0" applyNumberFormat="1" applyFont="1" applyFill="1" applyBorder="1" applyAlignment="1">
      <alignment horizontal="right" vertical="top"/>
    </xf>
    <xf numFmtId="0" fontId="28" fillId="4" borderId="61" xfId="0" applyFont="1" applyFill="1" applyBorder="1" applyAlignment="1">
      <alignment horizontal="left" vertical="top" wrapText="1"/>
    </xf>
    <xf numFmtId="0" fontId="28" fillId="4" borderId="62" xfId="0" applyFont="1" applyFill="1" applyBorder="1" applyAlignment="1">
      <alignment horizontal="left" vertical="top" wrapText="1"/>
    </xf>
    <xf numFmtId="43" fontId="1" fillId="4" borderId="60" xfId="1" applyFont="1" applyFill="1" applyBorder="1" applyAlignment="1">
      <alignment horizontal="right" vertical="top" wrapText="1"/>
    </xf>
    <xf numFmtId="43" fontId="1" fillId="4" borderId="20" xfId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left" vertical="top"/>
    </xf>
    <xf numFmtId="0" fontId="1" fillId="4" borderId="72" xfId="0" applyFont="1" applyFill="1" applyBorder="1" applyAlignment="1">
      <alignment horizontal="left" vertical="top" wrapText="1"/>
    </xf>
    <xf numFmtId="43" fontId="1" fillId="4" borderId="19" xfId="1" applyFont="1" applyFill="1" applyBorder="1" applyAlignment="1">
      <alignment horizontal="right" vertical="top" wrapText="1"/>
    </xf>
    <xf numFmtId="0" fontId="14" fillId="18" borderId="11" xfId="2" applyFont="1" applyFill="1" applyBorder="1" applyAlignment="1">
      <alignment horizontal="center" vertical="top" shrinkToFit="1"/>
    </xf>
    <xf numFmtId="43" fontId="1" fillId="4" borderId="11" xfId="1" applyFont="1" applyFill="1" applyBorder="1" applyAlignment="1">
      <alignment horizontal="right" vertical="top" wrapText="1"/>
    </xf>
    <xf numFmtId="0" fontId="14" fillId="18" borderId="15" xfId="2" applyFont="1" applyFill="1" applyBorder="1" applyAlignment="1">
      <alignment horizontal="center" vertical="top" shrinkToFit="1"/>
    </xf>
    <xf numFmtId="0" fontId="1" fillId="4" borderId="28" xfId="0" applyFont="1" applyFill="1" applyBorder="1" applyAlignment="1">
      <alignment horizontal="left" vertical="top" wrapText="1"/>
    </xf>
    <xf numFmtId="0" fontId="14" fillId="18" borderId="8" xfId="2" applyFont="1" applyFill="1" applyBorder="1" applyAlignment="1">
      <alignment horizontal="center" vertical="top" shrinkToFit="1"/>
    </xf>
    <xf numFmtId="43" fontId="1" fillId="4" borderId="23" xfId="1" applyFont="1" applyFill="1" applyBorder="1" applyAlignment="1">
      <alignment horizontal="right" vertical="top" wrapText="1"/>
    </xf>
    <xf numFmtId="0" fontId="1" fillId="4" borderId="73" xfId="0" applyFont="1" applyFill="1" applyBorder="1" applyAlignment="1">
      <alignment horizontal="left" vertical="top" wrapText="1"/>
    </xf>
    <xf numFmtId="4" fontId="1" fillId="4" borderId="74" xfId="0" applyNumberFormat="1" applyFont="1" applyFill="1" applyBorder="1" applyAlignment="1">
      <alignment horizontal="right" vertical="top"/>
    </xf>
    <xf numFmtId="0" fontId="3" fillId="4" borderId="0" xfId="0" applyFont="1" applyFill="1" applyAlignment="1">
      <alignment horizontal="left" vertical="top"/>
    </xf>
    <xf numFmtId="0" fontId="1" fillId="4" borderId="56" xfId="0" applyFont="1" applyFill="1" applyBorder="1" applyAlignment="1">
      <alignment horizontal="left" vertical="top" wrapText="1"/>
    </xf>
    <xf numFmtId="0" fontId="14" fillId="4" borderId="11" xfId="2" applyFont="1" applyFill="1" applyBorder="1" applyAlignment="1">
      <alignment horizontal="center" vertical="top" shrinkToFit="1"/>
    </xf>
    <xf numFmtId="0" fontId="1" fillId="4" borderId="15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left" vertical="top" wrapText="1"/>
    </xf>
    <xf numFmtId="0" fontId="28" fillId="4" borderId="75" xfId="0" applyFont="1" applyFill="1" applyBorder="1" applyAlignment="1">
      <alignment horizontal="left" vertical="top" wrapText="1"/>
    </xf>
    <xf numFmtId="0" fontId="28" fillId="4" borderId="76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28" fillId="4" borderId="65" xfId="0" applyFont="1" applyFill="1" applyBorder="1" applyAlignment="1">
      <alignment horizontal="left" vertical="top" wrapText="1"/>
    </xf>
    <xf numFmtId="0" fontId="28" fillId="4" borderId="66" xfId="0" applyFont="1" applyFill="1" applyBorder="1" applyAlignment="1">
      <alignment horizontal="left" vertical="top" wrapText="1"/>
    </xf>
    <xf numFmtId="4" fontId="1" fillId="4" borderId="77" xfId="0" applyNumberFormat="1" applyFont="1" applyFill="1" applyBorder="1" applyAlignment="1">
      <alignment horizontal="right" vertical="top"/>
    </xf>
    <xf numFmtId="0" fontId="1" fillId="4" borderId="78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vertical="top" wrapText="1"/>
    </xf>
    <xf numFmtId="0" fontId="14" fillId="4" borderId="19" xfId="0" applyFont="1" applyFill="1" applyBorder="1" applyAlignment="1">
      <alignment vertical="top" wrapText="1"/>
    </xf>
    <xf numFmtId="0" fontId="14" fillId="4" borderId="11" xfId="2" applyFont="1" applyFill="1" applyBorder="1" applyAlignment="1">
      <alignment horizontal="center" vertical="top" wrapText="1" shrinkToFit="1"/>
    </xf>
    <xf numFmtId="0" fontId="14" fillId="4" borderId="15" xfId="2" applyFont="1" applyFill="1" applyBorder="1" applyAlignment="1">
      <alignment horizontal="center" vertical="top" wrapText="1" shrinkToFit="1"/>
    </xf>
    <xf numFmtId="0" fontId="14" fillId="4" borderId="8" xfId="2" applyFont="1" applyFill="1" applyBorder="1" applyAlignment="1">
      <alignment horizontal="center" vertical="top" wrapText="1" shrinkToFit="1"/>
    </xf>
    <xf numFmtId="0" fontId="14" fillId="4" borderId="11" xfId="2" applyFont="1" applyFill="1" applyBorder="1" applyAlignment="1">
      <alignment horizontal="center" vertical="top" wrapText="1" shrinkToFit="1"/>
    </xf>
    <xf numFmtId="0" fontId="1" fillId="4" borderId="1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4" fillId="4" borderId="7" xfId="2" applyFont="1" applyFill="1" applyBorder="1" applyAlignment="1">
      <alignment horizontal="center" vertical="top" wrapText="1" shrinkToFit="1"/>
    </xf>
    <xf numFmtId="0" fontId="14" fillId="4" borderId="7" xfId="2" applyFont="1" applyFill="1" applyBorder="1" applyAlignment="1">
      <alignment horizontal="center" vertical="top" wrapText="1" shrinkToFit="1"/>
    </xf>
    <xf numFmtId="0" fontId="14" fillId="4" borderId="15" xfId="2" applyFont="1" applyFill="1" applyBorder="1" applyAlignment="1">
      <alignment horizontal="center" vertical="top" shrinkToFit="1"/>
    </xf>
    <xf numFmtId="0" fontId="1" fillId="4" borderId="22" xfId="0" applyFont="1" applyFill="1" applyBorder="1" applyAlignment="1">
      <alignment horizontal="left" vertical="top" wrapText="1"/>
    </xf>
    <xf numFmtId="9" fontId="1" fillId="4" borderId="11" xfId="0" applyNumberFormat="1" applyFont="1" applyFill="1" applyBorder="1" applyAlignment="1">
      <alignment horizontal="center" vertical="top" wrapText="1"/>
    </xf>
    <xf numFmtId="0" fontId="1" fillId="4" borderId="79" xfId="0" applyFont="1" applyFill="1" applyBorder="1" applyAlignment="1">
      <alignment horizontal="left" vertical="top" wrapText="1"/>
    </xf>
    <xf numFmtId="4" fontId="1" fillId="4" borderId="80" xfId="0" applyNumberFormat="1" applyFont="1" applyFill="1" applyBorder="1" applyAlignment="1">
      <alignment horizontal="right" vertical="top"/>
    </xf>
    <xf numFmtId="43" fontId="1" fillId="4" borderId="26" xfId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right" vertical="top"/>
    </xf>
    <xf numFmtId="43" fontId="1" fillId="4" borderId="11" xfId="1" applyFont="1" applyFill="1" applyBorder="1" applyAlignment="1">
      <alignment horizontal="right" vertical="top"/>
    </xf>
    <xf numFmtId="43" fontId="1" fillId="4" borderId="19" xfId="1" applyFont="1" applyFill="1" applyBorder="1" applyAlignment="1">
      <alignment horizontal="right" vertical="top"/>
    </xf>
    <xf numFmtId="43" fontId="1" fillId="4" borderId="20" xfId="1" applyFont="1" applyFill="1" applyBorder="1" applyAlignment="1">
      <alignment horizontal="right" vertical="top"/>
    </xf>
    <xf numFmtId="43" fontId="1" fillId="4" borderId="80" xfId="0" applyNumberFormat="1" applyFont="1" applyFill="1" applyBorder="1" applyAlignment="1">
      <alignment horizontal="right" vertical="top"/>
    </xf>
    <xf numFmtId="0" fontId="1" fillId="4" borderId="23" xfId="0" applyFont="1" applyFill="1" applyBorder="1" applyAlignment="1">
      <alignment horizontal="left" vertical="top"/>
    </xf>
    <xf numFmtId="0" fontId="28" fillId="4" borderId="15" xfId="0" applyFont="1" applyFill="1" applyBorder="1" applyAlignment="1">
      <alignment vertical="top" wrapText="1"/>
    </xf>
    <xf numFmtId="0" fontId="28" fillId="4" borderId="20" xfId="0" applyFont="1" applyFill="1" applyBorder="1" applyAlignment="1">
      <alignment horizontal="left" vertical="top" wrapText="1"/>
    </xf>
    <xf numFmtId="0" fontId="28" fillId="4" borderId="19" xfId="0" applyFont="1" applyFill="1" applyBorder="1" applyAlignment="1">
      <alignment horizontal="left" vertical="top" wrapText="1"/>
    </xf>
    <xf numFmtId="0" fontId="28" fillId="4" borderId="23" xfId="0" applyFont="1" applyFill="1" applyBorder="1" applyAlignment="1">
      <alignment vertical="top" wrapText="1"/>
    </xf>
    <xf numFmtId="0" fontId="14" fillId="4" borderId="7" xfId="2" applyFont="1" applyFill="1" applyBorder="1" applyAlignment="1">
      <alignment horizontal="center" vertical="top" shrinkToFit="1"/>
    </xf>
    <xf numFmtId="0" fontId="14" fillId="4" borderId="1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28" fillId="4" borderId="26" xfId="0" applyFont="1" applyFill="1" applyBorder="1" applyAlignment="1">
      <alignment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4" borderId="16" xfId="0" applyFont="1" applyFill="1" applyBorder="1" applyAlignment="1">
      <alignment horizontal="left" vertical="top" wrapText="1"/>
    </xf>
    <xf numFmtId="0" fontId="28" fillId="4" borderId="20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left" vertical="top"/>
    </xf>
    <xf numFmtId="4" fontId="1" fillId="4" borderId="0" xfId="0" applyNumberFormat="1" applyFont="1" applyFill="1" applyAlignment="1">
      <alignment horizontal="right" vertical="top"/>
    </xf>
    <xf numFmtId="4" fontId="1" fillId="4" borderId="3" xfId="0" applyNumberFormat="1" applyFont="1" applyFill="1" applyBorder="1" applyAlignment="1">
      <alignment horizontal="right" vertical="top"/>
    </xf>
    <xf numFmtId="4" fontId="1" fillId="4" borderId="81" xfId="0" applyNumberFormat="1" applyFont="1" applyFill="1" applyBorder="1" applyAlignment="1">
      <alignment horizontal="right" vertical="top"/>
    </xf>
    <xf numFmtId="4" fontId="1" fillId="4" borderId="82" xfId="0" applyNumberFormat="1" applyFont="1" applyFill="1" applyBorder="1" applyAlignment="1">
      <alignment horizontal="right" vertical="top"/>
    </xf>
    <xf numFmtId="4" fontId="1" fillId="4" borderId="83" xfId="0" applyNumberFormat="1" applyFont="1" applyFill="1" applyBorder="1" applyAlignment="1">
      <alignment horizontal="right" vertical="top"/>
    </xf>
    <xf numFmtId="4" fontId="1" fillId="4" borderId="16" xfId="0" applyNumberFormat="1" applyFont="1" applyFill="1" applyBorder="1" applyAlignment="1">
      <alignment horizontal="right" vertical="top"/>
    </xf>
    <xf numFmtId="4" fontId="1" fillId="4" borderId="6" xfId="0" applyNumberFormat="1" applyFont="1" applyFill="1" applyBorder="1" applyAlignment="1">
      <alignment horizontal="right" vertical="top"/>
    </xf>
    <xf numFmtId="4" fontId="1" fillId="4" borderId="84" xfId="0" applyNumberFormat="1" applyFont="1" applyFill="1" applyBorder="1" applyAlignment="1">
      <alignment horizontal="right" vertical="top"/>
    </xf>
    <xf numFmtId="4" fontId="1" fillId="4" borderId="85" xfId="0" applyNumberFormat="1" applyFont="1" applyFill="1" applyBorder="1" applyAlignment="1">
      <alignment horizontal="right" vertical="top"/>
    </xf>
    <xf numFmtId="0" fontId="1" fillId="4" borderId="84" xfId="0" applyFont="1" applyFill="1" applyBorder="1" applyAlignment="1">
      <alignment vertical="top" wrapText="1"/>
    </xf>
    <xf numFmtId="4" fontId="1" fillId="4" borderId="86" xfId="0" applyNumberFormat="1" applyFont="1" applyFill="1" applyBorder="1" applyAlignment="1">
      <alignment horizontal="right" vertical="top"/>
    </xf>
    <xf numFmtId="0" fontId="1" fillId="4" borderId="28" xfId="0" applyFont="1" applyFill="1" applyBorder="1" applyAlignment="1">
      <alignment vertical="top" wrapText="1"/>
    </xf>
    <xf numFmtId="0" fontId="1" fillId="4" borderId="85" xfId="0" applyFont="1" applyFill="1" applyBorder="1" applyAlignment="1">
      <alignment vertical="top" wrapText="1"/>
    </xf>
    <xf numFmtId="0" fontId="1" fillId="4" borderId="8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vertical="top" wrapText="1"/>
    </xf>
    <xf numFmtId="43" fontId="1" fillId="4" borderId="86" xfId="1" applyFont="1" applyFill="1" applyBorder="1" applyAlignment="1">
      <alignment horizontal="right" vertical="top"/>
    </xf>
    <xf numFmtId="0" fontId="28" fillId="4" borderId="38" xfId="0" applyFont="1" applyFill="1" applyBorder="1" applyAlignment="1">
      <alignment horizontal="left" vertical="top" wrapText="1"/>
    </xf>
    <xf numFmtId="4" fontId="1" fillId="4" borderId="11" xfId="0" applyNumberFormat="1" applyFont="1" applyFill="1" applyBorder="1" applyAlignment="1">
      <alignment horizontal="right" vertical="top"/>
    </xf>
    <xf numFmtId="0" fontId="14" fillId="4" borderId="20" xfId="0" applyFont="1" applyFill="1" applyBorder="1" applyAlignment="1">
      <alignment horizontal="left" vertical="top" wrapText="1"/>
    </xf>
    <xf numFmtId="0" fontId="28" fillId="4" borderId="33" xfId="0" applyFont="1" applyFill="1" applyBorder="1" applyAlignment="1">
      <alignment horizontal="left" vertical="top" wrapText="1"/>
    </xf>
    <xf numFmtId="0" fontId="28" fillId="4" borderId="42" xfId="0" applyFont="1" applyFill="1" applyBorder="1" applyAlignment="1">
      <alignment vertical="top" wrapText="1"/>
    </xf>
    <xf numFmtId="0" fontId="28" fillId="4" borderId="23" xfId="0" applyFont="1" applyFill="1" applyBorder="1" applyAlignment="1">
      <alignment vertical="top"/>
    </xf>
    <xf numFmtId="0" fontId="1" fillId="4" borderId="1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4" fontId="1" fillId="4" borderId="58" xfId="0" applyNumberFormat="1" applyFont="1" applyFill="1" applyBorder="1" applyAlignment="1">
      <alignment horizontal="right" vertical="top"/>
    </xf>
    <xf numFmtId="0" fontId="1" fillId="4" borderId="5" xfId="0" applyFont="1" applyFill="1" applyBorder="1" applyAlignment="1">
      <alignment horizontal="left" vertical="top" wrapText="1"/>
    </xf>
    <xf numFmtId="4" fontId="1" fillId="4" borderId="15" xfId="0" applyNumberFormat="1" applyFont="1" applyFill="1" applyBorder="1" applyAlignment="1">
      <alignment horizontal="right" vertical="top"/>
    </xf>
    <xf numFmtId="9" fontId="1" fillId="4" borderId="1" xfId="0" applyNumberFormat="1" applyFont="1" applyFill="1" applyBorder="1" applyAlignment="1">
      <alignment horizontal="center" vertical="top" wrapText="1"/>
    </xf>
    <xf numFmtId="9" fontId="1" fillId="4" borderId="14" xfId="0" applyNumberFormat="1" applyFont="1" applyFill="1" applyBorder="1" applyAlignment="1">
      <alignment horizontal="center" vertical="top" wrapText="1"/>
    </xf>
    <xf numFmtId="9" fontId="1" fillId="4" borderId="4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right" vertical="top"/>
    </xf>
    <xf numFmtId="4" fontId="1" fillId="4" borderId="87" xfId="0" applyNumberFormat="1" applyFont="1" applyFill="1" applyBorder="1" applyAlignment="1">
      <alignment horizontal="right" vertical="top"/>
    </xf>
    <xf numFmtId="0" fontId="1" fillId="4" borderId="16" xfId="0" applyFont="1" applyFill="1" applyBorder="1" applyAlignment="1">
      <alignment horizontal="left" vertical="top" wrapText="1"/>
    </xf>
    <xf numFmtId="4" fontId="1" fillId="4" borderId="62" xfId="0" applyNumberFormat="1" applyFont="1" applyFill="1" applyBorder="1" applyAlignment="1">
      <alignment horizontal="right" vertical="top"/>
    </xf>
    <xf numFmtId="4" fontId="1" fillId="4" borderId="66" xfId="0" applyNumberFormat="1" applyFont="1" applyFill="1" applyBorder="1" applyAlignment="1">
      <alignment horizontal="right" vertical="top"/>
    </xf>
    <xf numFmtId="0" fontId="1" fillId="4" borderId="0" xfId="0" applyFont="1" applyFill="1"/>
    <xf numFmtId="0" fontId="1" fillId="4" borderId="8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 wrapText="1"/>
    </xf>
    <xf numFmtId="4" fontId="1" fillId="4" borderId="13" xfId="0" applyNumberFormat="1" applyFont="1" applyFill="1" applyBorder="1" applyAlignment="1">
      <alignment horizontal="right" vertical="top"/>
    </xf>
    <xf numFmtId="4" fontId="1" fillId="4" borderId="76" xfId="0" applyNumberFormat="1" applyFont="1" applyFill="1" applyBorder="1" applyAlignment="1">
      <alignment horizontal="right" vertical="top"/>
    </xf>
    <xf numFmtId="0" fontId="28" fillId="4" borderId="11" xfId="0" applyFont="1" applyFill="1" applyBorder="1" applyAlignment="1">
      <alignment vertical="top"/>
    </xf>
    <xf numFmtId="0" fontId="28" fillId="4" borderId="11" xfId="0" applyFont="1" applyFill="1" applyBorder="1" applyAlignment="1">
      <alignment vertical="top" wrapText="1"/>
    </xf>
    <xf numFmtId="0" fontId="28" fillId="4" borderId="19" xfId="0" applyFont="1" applyFill="1" applyBorder="1" applyAlignment="1">
      <alignment vertical="top"/>
    </xf>
    <xf numFmtId="0" fontId="28" fillId="4" borderId="19" xfId="0" applyFont="1" applyFill="1" applyBorder="1" applyAlignment="1">
      <alignment vertical="top" wrapText="1"/>
    </xf>
    <xf numFmtId="0" fontId="28" fillId="4" borderId="20" xfId="0" applyFont="1" applyFill="1" applyBorder="1" applyAlignment="1">
      <alignment vertical="top"/>
    </xf>
    <xf numFmtId="0" fontId="28" fillId="4" borderId="8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/>
    </xf>
    <xf numFmtId="4" fontId="1" fillId="4" borderId="88" xfId="0" applyNumberFormat="1" applyFont="1" applyFill="1" applyBorder="1" applyAlignment="1">
      <alignment horizontal="right" vertical="top"/>
    </xf>
    <xf numFmtId="4" fontId="1" fillId="4" borderId="89" xfId="0" applyNumberFormat="1" applyFont="1" applyFill="1" applyBorder="1" applyAlignment="1">
      <alignment horizontal="right" vertical="top"/>
    </xf>
    <xf numFmtId="0" fontId="28" fillId="4" borderId="75" xfId="0" applyFont="1" applyFill="1" applyBorder="1" applyAlignment="1">
      <alignment horizontal="left" vertical="top"/>
    </xf>
    <xf numFmtId="0" fontId="28" fillId="4" borderId="76" xfId="0" applyFont="1" applyFill="1" applyBorder="1" applyAlignment="1">
      <alignment horizontal="left" vertical="top"/>
    </xf>
    <xf numFmtId="43" fontId="1" fillId="4" borderId="7" xfId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4" fontId="1" fillId="4" borderId="11" xfId="0" applyNumberFormat="1" applyFont="1" applyFill="1" applyBorder="1" applyAlignment="1">
      <alignment vertical="top"/>
    </xf>
    <xf numFmtId="4" fontId="1" fillId="4" borderId="20" xfId="0" applyNumberFormat="1" applyFont="1" applyFill="1" applyBorder="1" applyAlignment="1">
      <alignment vertical="top" wrapText="1"/>
    </xf>
    <xf numFmtId="4" fontId="1" fillId="4" borderId="19" xfId="0" applyNumberFormat="1" applyFont="1" applyFill="1" applyBorder="1" applyAlignment="1">
      <alignment vertical="top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 wrapText="1"/>
    </xf>
    <xf numFmtId="0" fontId="28" fillId="4" borderId="9" xfId="0" applyFont="1" applyFill="1" applyBorder="1" applyAlignment="1">
      <alignment horizontal="left" vertical="top" wrapText="1"/>
    </xf>
    <xf numFmtId="0" fontId="28" fillId="4" borderId="13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vertical="top" wrapText="1"/>
    </xf>
    <xf numFmtId="4" fontId="14" fillId="4" borderId="13" xfId="0" applyNumberFormat="1" applyFont="1" applyFill="1" applyBorder="1" applyAlignment="1">
      <alignment horizontal="right" vertical="top"/>
    </xf>
    <xf numFmtId="9" fontId="1" fillId="4" borderId="4" xfId="0" applyNumberFormat="1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90" xfId="0" applyFont="1" applyFill="1" applyBorder="1" applyAlignment="1">
      <alignment horizontal="left" vertical="top" wrapText="1"/>
    </xf>
    <xf numFmtId="4" fontId="1" fillId="4" borderId="91" xfId="0" applyNumberFormat="1" applyFont="1" applyFill="1" applyBorder="1" applyAlignment="1">
      <alignment horizontal="right" vertical="top"/>
    </xf>
    <xf numFmtId="4" fontId="1" fillId="4" borderId="92" xfId="0" applyNumberFormat="1" applyFont="1" applyFill="1" applyBorder="1" applyAlignment="1">
      <alignment horizontal="right" vertical="top"/>
    </xf>
    <xf numFmtId="4" fontId="1" fillId="4" borderId="93" xfId="0" applyNumberFormat="1" applyFont="1" applyFill="1" applyBorder="1" applyAlignment="1">
      <alignment horizontal="right" vertical="top"/>
    </xf>
    <xf numFmtId="4" fontId="1" fillId="4" borderId="94" xfId="0" applyNumberFormat="1" applyFont="1" applyFill="1" applyBorder="1" applyAlignment="1">
      <alignment horizontal="right" vertical="top"/>
    </xf>
    <xf numFmtId="0" fontId="1" fillId="4" borderId="95" xfId="0" applyFont="1" applyFill="1" applyBorder="1" applyAlignment="1">
      <alignment vertical="top" wrapText="1"/>
    </xf>
    <xf numFmtId="0" fontId="1" fillId="4" borderId="96" xfId="0" applyFont="1" applyFill="1" applyBorder="1" applyAlignment="1">
      <alignment vertical="top" wrapText="1"/>
    </xf>
    <xf numFmtId="0" fontId="1" fillId="4" borderId="69" xfId="0" applyFont="1" applyFill="1" applyBorder="1" applyAlignment="1">
      <alignment vertical="top" wrapText="1"/>
    </xf>
    <xf numFmtId="0" fontId="1" fillId="4" borderId="29" xfId="0" applyFont="1" applyFill="1" applyBorder="1" applyAlignment="1">
      <alignment vertical="top" wrapText="1"/>
    </xf>
    <xf numFmtId="0" fontId="14" fillId="4" borderId="20" xfId="0" applyFont="1" applyFill="1" applyBorder="1" applyAlignment="1">
      <alignment vertical="top" wrapText="1"/>
    </xf>
    <xf numFmtId="0" fontId="1" fillId="4" borderId="42" xfId="0" applyFont="1" applyFill="1" applyBorder="1" applyAlignment="1">
      <alignment horizontal="left" vertical="top" wrapText="1"/>
    </xf>
    <xf numFmtId="0" fontId="1" fillId="4" borderId="96" xfId="0" applyFont="1" applyFill="1" applyBorder="1" applyAlignment="1">
      <alignment horizontal="left" vertical="top" wrapText="1"/>
    </xf>
    <xf numFmtId="0" fontId="1" fillId="4" borderId="95" xfId="0" applyFont="1" applyFill="1" applyBorder="1" applyAlignment="1">
      <alignment horizontal="left" vertical="top" wrapText="1"/>
    </xf>
    <xf numFmtId="0" fontId="14" fillId="4" borderId="15" xfId="2" applyFont="1" applyFill="1" applyBorder="1" applyAlignment="1">
      <alignment horizontal="center" vertical="top" wrapText="1" shrinkToFit="1"/>
    </xf>
    <xf numFmtId="0" fontId="1" fillId="4" borderId="19" xfId="0" applyFont="1" applyFill="1" applyBorder="1" applyAlignment="1">
      <alignment horizontal="center" vertical="top" wrapText="1"/>
    </xf>
    <xf numFmtId="0" fontId="28" fillId="4" borderId="75" xfId="0" applyFont="1" applyFill="1" applyBorder="1" applyAlignment="1">
      <alignment vertical="top" wrapText="1"/>
    </xf>
    <xf numFmtId="0" fontId="28" fillId="4" borderId="76" xfId="0" applyFont="1" applyFill="1" applyBorder="1" applyAlignment="1">
      <alignment vertical="top" wrapText="1"/>
    </xf>
    <xf numFmtId="43" fontId="1" fillId="4" borderId="15" xfId="1" applyFont="1" applyFill="1" applyBorder="1" applyAlignment="1">
      <alignment horizontal="right" vertical="top" wrapText="1"/>
    </xf>
    <xf numFmtId="43" fontId="1" fillId="4" borderId="8" xfId="1" applyFont="1" applyFill="1" applyBorder="1" applyAlignment="1">
      <alignment horizontal="right" vertical="top" wrapText="1"/>
    </xf>
    <xf numFmtId="43" fontId="1" fillId="4" borderId="84" xfId="1" applyFont="1" applyFill="1" applyBorder="1" applyAlignment="1">
      <alignment horizontal="right" vertical="top" wrapText="1"/>
    </xf>
    <xf numFmtId="43" fontId="1" fillId="4" borderId="16" xfId="1" applyFont="1" applyFill="1" applyBorder="1" applyAlignment="1">
      <alignment horizontal="right" vertical="top" wrapText="1"/>
    </xf>
    <xf numFmtId="43" fontId="1" fillId="4" borderId="28" xfId="1" applyFont="1" applyFill="1" applyBorder="1" applyAlignment="1">
      <alignment horizontal="right" vertical="top" wrapText="1"/>
    </xf>
    <xf numFmtId="189" fontId="1" fillId="4" borderId="15" xfId="0" applyNumberFormat="1" applyFont="1" applyFill="1" applyBorder="1" applyAlignment="1">
      <alignment horizontal="center" vertical="top" wrapText="1"/>
    </xf>
    <xf numFmtId="4" fontId="1" fillId="4" borderId="97" xfId="0" applyNumberFormat="1" applyFont="1" applyFill="1" applyBorder="1" applyAlignment="1">
      <alignment horizontal="right" vertical="top"/>
    </xf>
    <xf numFmtId="4" fontId="1" fillId="4" borderId="22" xfId="0" applyNumberFormat="1" applyFont="1" applyFill="1" applyBorder="1" applyAlignment="1">
      <alignment horizontal="right" vertical="top"/>
    </xf>
    <xf numFmtId="4" fontId="1" fillId="4" borderId="98" xfId="0" applyNumberFormat="1" applyFont="1" applyFill="1" applyBorder="1" applyAlignment="1">
      <alignment horizontal="right" vertical="top"/>
    </xf>
    <xf numFmtId="0" fontId="28" fillId="4" borderId="7" xfId="0" applyFont="1" applyFill="1" applyBorder="1" applyAlignment="1">
      <alignment horizontal="left" vertical="top" wrapText="1"/>
    </xf>
    <xf numFmtId="4" fontId="1" fillId="4" borderId="99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4" borderId="78" xfId="0" applyFont="1" applyFill="1" applyBorder="1" applyAlignment="1">
      <alignment horizontal="center" vertical="top" wrapText="1"/>
    </xf>
    <xf numFmtId="0" fontId="28" fillId="4" borderId="7" xfId="0" applyFont="1" applyFill="1" applyBorder="1" applyAlignment="1">
      <alignment vertical="top"/>
    </xf>
    <xf numFmtId="0" fontId="28" fillId="4" borderId="7" xfId="0" applyFont="1" applyFill="1" applyBorder="1" applyAlignment="1">
      <alignment vertical="top" wrapText="1"/>
    </xf>
    <xf numFmtId="4" fontId="1" fillId="4" borderId="25" xfId="0" applyNumberFormat="1" applyFont="1" applyFill="1" applyBorder="1" applyAlignment="1">
      <alignment horizontal="right" vertical="top"/>
    </xf>
    <xf numFmtId="4" fontId="1" fillId="4" borderId="100" xfId="0" applyNumberFormat="1" applyFont="1" applyFill="1" applyBorder="1" applyAlignment="1">
      <alignment horizontal="right" vertical="top"/>
    </xf>
    <xf numFmtId="0" fontId="1" fillId="18" borderId="9" xfId="0" applyFont="1" applyFill="1" applyBorder="1" applyAlignment="1">
      <alignment horizontal="left" vertical="top" wrapText="1"/>
    </xf>
    <xf numFmtId="0" fontId="1" fillId="18" borderId="13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78" xfId="0" applyFont="1" applyFill="1" applyBorder="1" applyAlignment="1">
      <alignment horizontal="center" vertical="top" wrapText="1"/>
    </xf>
    <xf numFmtId="0" fontId="1" fillId="4" borderId="46" xfId="0" applyFont="1" applyFill="1" applyBorder="1" applyAlignment="1">
      <alignment vertical="top" wrapText="1"/>
    </xf>
    <xf numFmtId="0" fontId="1" fillId="4" borderId="101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vertical="top" wrapText="1"/>
    </xf>
    <xf numFmtId="0" fontId="14" fillId="4" borderId="51" xfId="0" applyFont="1" applyFill="1" applyBorder="1" applyAlignment="1">
      <alignment vertical="top" wrapText="1"/>
    </xf>
    <xf numFmtId="0" fontId="14" fillId="4" borderId="42" xfId="0" applyFont="1" applyFill="1" applyBorder="1" applyAlignment="1">
      <alignment vertical="top" wrapText="1"/>
    </xf>
    <xf numFmtId="0" fontId="1" fillId="4" borderId="102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vertical="top" wrapText="1"/>
    </xf>
    <xf numFmtId="4" fontId="1" fillId="4" borderId="55" xfId="0" applyNumberFormat="1" applyFont="1" applyFill="1" applyBorder="1" applyAlignment="1">
      <alignment vertical="top"/>
    </xf>
    <xf numFmtId="4" fontId="1" fillId="4" borderId="103" xfId="0" applyNumberFormat="1" applyFont="1" applyFill="1" applyBorder="1" applyAlignment="1">
      <alignment horizontal="right" vertical="top"/>
    </xf>
    <xf numFmtId="4" fontId="1" fillId="4" borderId="11" xfId="0" applyNumberFormat="1" applyFont="1" applyFill="1" applyBorder="1" applyAlignment="1">
      <alignment horizontal="center" vertical="top" wrapText="1"/>
    </xf>
    <xf numFmtId="10" fontId="1" fillId="4" borderId="19" xfId="0" applyNumberFormat="1" applyFont="1" applyFill="1" applyBorder="1" applyAlignment="1">
      <alignment vertical="top" wrapText="1"/>
    </xf>
    <xf numFmtId="10" fontId="1" fillId="4" borderId="20" xfId="0" applyNumberFormat="1" applyFont="1" applyFill="1" applyBorder="1" applyAlignment="1">
      <alignment vertical="top" wrapText="1"/>
    </xf>
    <xf numFmtId="43" fontId="1" fillId="4" borderId="23" xfId="1" applyFont="1" applyFill="1" applyBorder="1" applyAlignment="1">
      <alignment horizontal="right" vertical="top"/>
    </xf>
    <xf numFmtId="4" fontId="1" fillId="4" borderId="104" xfId="0" applyNumberFormat="1" applyFont="1" applyFill="1" applyBorder="1" applyAlignment="1">
      <alignment horizontal="right" vertical="top"/>
    </xf>
    <xf numFmtId="4" fontId="1" fillId="4" borderId="105" xfId="0" applyNumberFormat="1" applyFont="1" applyFill="1" applyBorder="1" applyAlignment="1">
      <alignment horizontal="right" vertical="top"/>
    </xf>
    <xf numFmtId="0" fontId="1" fillId="4" borderId="85" xfId="0" applyFont="1" applyFill="1" applyBorder="1" applyAlignment="1">
      <alignment horizontal="left" vertical="top" wrapText="1"/>
    </xf>
    <xf numFmtId="0" fontId="28" fillId="4" borderId="60" xfId="0" applyFont="1" applyFill="1" applyBorder="1" applyAlignment="1">
      <alignment vertical="top" wrapText="1"/>
    </xf>
    <xf numFmtId="0" fontId="14" fillId="4" borderId="4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1" fillId="4" borderId="72" xfId="0" applyFont="1" applyFill="1" applyBorder="1" applyAlignment="1">
      <alignment horizontal="left" vertical="top"/>
    </xf>
    <xf numFmtId="4" fontId="1" fillId="4" borderId="72" xfId="0" applyNumberFormat="1" applyFont="1" applyFill="1" applyBorder="1" applyAlignment="1">
      <alignment horizontal="left" vertical="top"/>
    </xf>
    <xf numFmtId="189" fontId="1" fillId="0" borderId="0" xfId="0" applyNumberFormat="1" applyFont="1" applyAlignment="1">
      <alignment horizontal="left" vertical="top"/>
    </xf>
    <xf numFmtId="43" fontId="1" fillId="0" borderId="0" xfId="0" applyNumberFormat="1" applyFont="1" applyAlignment="1">
      <alignment horizontal="left" vertical="top"/>
    </xf>
    <xf numFmtId="43" fontId="1" fillId="0" borderId="0" xfId="1" applyFont="1" applyFill="1" applyAlignment="1">
      <alignment horizontal="left" vertical="top"/>
    </xf>
  </cellXfs>
  <cellStyles count="5">
    <cellStyle name="Comma" xfId="1" builtinId="3"/>
    <cellStyle name="Comma 2 8 3 2 2" xfId="4"/>
    <cellStyle name="Comma 9" xf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82046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33"/>
  <sheetViews>
    <sheetView tabSelected="1" zoomScale="60" zoomScaleNormal="60" workbookViewId="0">
      <pane xSplit="4" ySplit="6" topLeftCell="M13" activePane="bottomRight" state="frozen"/>
      <selection activeCell="O29" sqref="O29:O30"/>
      <selection pane="topRight" activeCell="O29" sqref="O29:O30"/>
      <selection pane="bottomLeft" activeCell="O29" sqref="O29:O30"/>
      <selection pane="bottomRight" activeCell="O29" sqref="O29:O30"/>
    </sheetView>
  </sheetViews>
  <sheetFormatPr defaultColWidth="9" defaultRowHeight="24" x14ac:dyDescent="0.2"/>
  <cols>
    <col min="1" max="1" width="10.125" style="6" customWidth="1"/>
    <col min="2" max="2" width="13.5" style="135" customWidth="1"/>
    <col min="3" max="3" width="22.75" style="135" customWidth="1"/>
    <col min="4" max="4" width="9" style="135"/>
    <col min="5" max="6" width="18.75" style="135" customWidth="1"/>
    <col min="7" max="7" width="14.75" style="135" customWidth="1"/>
    <col min="8" max="10" width="18.75" style="135" customWidth="1"/>
    <col min="11" max="11" width="20.125" style="135" customWidth="1"/>
    <col min="12" max="12" width="11.5" style="135" bestFit="1" customWidth="1"/>
    <col min="13" max="13" width="16.625" style="135" bestFit="1" customWidth="1"/>
    <col min="14" max="14" width="19.125" style="135" customWidth="1"/>
    <col min="15" max="15" width="36.75" style="135" customWidth="1"/>
    <col min="16" max="16" width="12.125" style="6" customWidth="1"/>
    <col min="17" max="51" width="9" style="6"/>
    <col min="52" max="16384" width="9" style="135"/>
  </cols>
  <sheetData>
    <row r="1" spans="1:2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</row>
    <row r="2" spans="1:21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8" t="s">
        <v>5</v>
      </c>
      <c r="M2" s="12"/>
      <c r="N2" s="5"/>
      <c r="O2" s="5"/>
    </row>
    <row r="3" spans="1:21" s="6" customFormat="1" x14ac:dyDescent="0.2">
      <c r="A3" s="13" t="s">
        <v>6</v>
      </c>
      <c r="B3" s="6" t="s">
        <v>7</v>
      </c>
      <c r="C3" s="14"/>
      <c r="D3" s="14" t="s">
        <v>8</v>
      </c>
      <c r="E3" s="15" t="s">
        <v>9</v>
      </c>
      <c r="F3" s="15"/>
      <c r="G3" s="15"/>
      <c r="H3" s="15"/>
      <c r="I3" s="15"/>
      <c r="J3" s="15"/>
      <c r="K3" s="15"/>
      <c r="L3" s="15"/>
      <c r="M3" s="15"/>
      <c r="N3" s="16"/>
      <c r="O3" s="16"/>
    </row>
    <row r="4" spans="1:21" ht="21" customHeight="1" x14ac:dyDescent="0.2">
      <c r="A4" s="17" t="s">
        <v>10</v>
      </c>
      <c r="B4" s="18" t="s">
        <v>11</v>
      </c>
      <c r="C4" s="18"/>
      <c r="D4" s="18" t="s">
        <v>12</v>
      </c>
      <c r="E4" s="17" t="s">
        <v>13</v>
      </c>
      <c r="F4" s="17"/>
      <c r="G4" s="17"/>
      <c r="H4" s="17"/>
      <c r="I4" s="17"/>
      <c r="J4" s="19" t="s">
        <v>14</v>
      </c>
      <c r="K4" s="18" t="s">
        <v>15</v>
      </c>
      <c r="L4" s="18" t="s">
        <v>16</v>
      </c>
      <c r="M4" s="18" t="s">
        <v>17</v>
      </c>
      <c r="N4" s="20" t="s">
        <v>18</v>
      </c>
      <c r="O4" s="20" t="s">
        <v>19</v>
      </c>
    </row>
    <row r="5" spans="1:21" ht="21" customHeight="1" x14ac:dyDescent="0.2">
      <c r="A5" s="17"/>
      <c r="B5" s="18"/>
      <c r="C5" s="18"/>
      <c r="D5" s="18"/>
      <c r="E5" s="17" t="s">
        <v>20</v>
      </c>
      <c r="F5" s="17"/>
      <c r="G5" s="17"/>
      <c r="H5" s="21" t="s">
        <v>21</v>
      </c>
      <c r="I5" s="18" t="s">
        <v>22</v>
      </c>
      <c r="J5" s="19"/>
      <c r="K5" s="18"/>
      <c r="L5" s="18"/>
      <c r="M5" s="18"/>
      <c r="N5" s="20"/>
      <c r="O5" s="20"/>
    </row>
    <row r="6" spans="1:21" ht="21" customHeight="1" x14ac:dyDescent="0.2">
      <c r="A6" s="17"/>
      <c r="B6" s="18"/>
      <c r="C6" s="18"/>
      <c r="D6" s="18"/>
      <c r="E6" s="22" t="s">
        <v>23</v>
      </c>
      <c r="F6" s="21" t="s">
        <v>24</v>
      </c>
      <c r="G6" s="21" t="s">
        <v>22</v>
      </c>
      <c r="H6" s="21" t="s">
        <v>25</v>
      </c>
      <c r="I6" s="18"/>
      <c r="J6" s="19"/>
      <c r="K6" s="18"/>
      <c r="L6" s="18"/>
      <c r="M6" s="18"/>
      <c r="N6" s="20"/>
      <c r="O6" s="20"/>
    </row>
    <row r="7" spans="1:21" s="6" customFormat="1" ht="23.25" customHeight="1" x14ac:dyDescent="0.2">
      <c r="A7" s="23" t="s">
        <v>26</v>
      </c>
      <c r="B7" s="23"/>
      <c r="C7" s="23"/>
      <c r="D7" s="24">
        <v>25000</v>
      </c>
      <c r="E7" s="25">
        <f>SUM(E8:E18)</f>
        <v>2928510</v>
      </c>
      <c r="F7" s="25">
        <f>SUM(F8:F18)</f>
        <v>21613716.800000001</v>
      </c>
      <c r="G7" s="25">
        <f>E7+F7</f>
        <v>24542226.800000001</v>
      </c>
      <c r="H7" s="25">
        <f>SUM(H8:H18)</f>
        <v>42157288.5</v>
      </c>
      <c r="I7" s="25">
        <f>G7+H7</f>
        <v>66699515.299999997</v>
      </c>
      <c r="J7" s="26">
        <f>SUM(J8:J18)</f>
        <v>610</v>
      </c>
      <c r="K7" s="27">
        <f>IFERROR(ROUND((I7/J7),2),0)</f>
        <v>109343.47</v>
      </c>
      <c r="L7" s="28">
        <f>IF(K7=0,0,IF(K7="N/A",1,IF(K7&lt;=Q$9,1,IF(K7=R$9,2,IF(K7&lt;R$9,(((K7-Q$9)/U$7)+1),IF(K7=S$9,3,IF(K7&lt;S$9,(((K7-R$9)/U$7)+2),IF(K7=T$9,4,IF(K7&lt;T$9,(((K7-S$9)/U$7)+3),IF(K7&gt;=U$9,5,IF(K7&lt;U$9,(((K7-T$9)/U$7)+4),0)))))))))))</f>
        <v>5</v>
      </c>
      <c r="M7" s="29" t="str">
        <f>IF(L7=5,"ü","û")</f>
        <v>ü</v>
      </c>
      <c r="N7" s="30"/>
      <c r="O7" s="30"/>
      <c r="P7" s="31"/>
      <c r="Q7" s="31" t="s">
        <v>27</v>
      </c>
      <c r="R7" s="31"/>
      <c r="S7" s="31"/>
      <c r="T7" s="31"/>
      <c r="U7" s="32">
        <v>5000</v>
      </c>
    </row>
    <row r="8" spans="1:21" s="6" customFormat="1" ht="23.25" customHeight="1" x14ac:dyDescent="0.2">
      <c r="A8" s="33">
        <v>1</v>
      </c>
      <c r="B8" s="34" t="s">
        <v>28</v>
      </c>
      <c r="C8" s="34"/>
      <c r="D8" s="35">
        <v>25000</v>
      </c>
      <c r="E8" s="36">
        <v>297500</v>
      </c>
      <c r="F8" s="37">
        <v>1068400</v>
      </c>
      <c r="G8" s="38">
        <f t="shared" ref="G8:G30" si="0">E8+F8</f>
        <v>1365900</v>
      </c>
      <c r="H8" s="36">
        <v>57500</v>
      </c>
      <c r="I8" s="38">
        <f>G8+H8</f>
        <v>1423400</v>
      </c>
      <c r="J8" s="39">
        <v>55</v>
      </c>
      <c r="K8" s="40">
        <f>IFERROR(ROUND((I8/J8),2),0)</f>
        <v>25880</v>
      </c>
      <c r="L8" s="41">
        <f>IF(K8=0,0,IF(K8="N/A",1,IF(K8&lt;=Q$9,1,IF(K8=R$9,2,IF(K8&lt;R$9,(((K8-Q$9)/U$7)+1),IF(K8=S$9,3,IF(K8&lt;S$9,(((K8-R$9)/U$7)+2),IF(K8=T$9,4,IF(K8&lt;T$9,(((K8-S$9)/U$7)+3),IF(K8&gt;=U$9,5,IF(K8&lt;U$9,(((K8-T$9)/U$7)+4),0)))))))))))</f>
        <v>5</v>
      </c>
      <c r="M8" s="42" t="str">
        <f t="shared" ref="M8:M18" si="1">IF(L8=5,"ü","û")</f>
        <v>ü</v>
      </c>
      <c r="N8" s="43">
        <v>25880</v>
      </c>
      <c r="O8" s="44" t="s">
        <v>29</v>
      </c>
      <c r="P8" s="31"/>
      <c r="Q8" s="45" t="s">
        <v>30</v>
      </c>
      <c r="R8" s="45" t="s">
        <v>31</v>
      </c>
      <c r="S8" s="45" t="s">
        <v>32</v>
      </c>
      <c r="T8" s="45" t="s">
        <v>33</v>
      </c>
      <c r="U8" s="45" t="s">
        <v>34</v>
      </c>
    </row>
    <row r="9" spans="1:21" s="6" customFormat="1" ht="23.25" customHeight="1" x14ac:dyDescent="0.2">
      <c r="A9" s="33">
        <v>2</v>
      </c>
      <c r="B9" s="46" t="s">
        <v>35</v>
      </c>
      <c r="C9" s="46"/>
      <c r="D9" s="35">
        <v>25000</v>
      </c>
      <c r="E9" s="36">
        <v>169990</v>
      </c>
      <c r="F9" s="37">
        <v>1023530.8</v>
      </c>
      <c r="G9" s="47">
        <f t="shared" si="0"/>
        <v>1193520.8</v>
      </c>
      <c r="H9" s="36">
        <v>4535805.5</v>
      </c>
      <c r="I9" s="47">
        <f>G9+H9</f>
        <v>5729326.2999999998</v>
      </c>
      <c r="J9" s="39">
        <v>51</v>
      </c>
      <c r="K9" s="40">
        <f t="shared" ref="K9:K18" si="2">IFERROR(ROUND((I9/J9),2),0)</f>
        <v>112339.73</v>
      </c>
      <c r="L9" s="41">
        <f t="shared" ref="L9:L18" si="3">IF(K9=0,0,IF(K9="N/A",1,IF(K9&lt;=Q$9,1,IF(K9=R$9,2,IF(K9&lt;R$9,(((K9-Q$9)/U$7)+1),IF(K9=S$9,3,IF(K9&lt;S$9,(((K9-R$9)/U$7)+2),IF(K9=T$9,4,IF(K9&lt;T$9,(((K9-S$9)/U$7)+3),IF(K9&gt;=U$9,5,IF(K9&lt;U$9,(((K9-T$9)/U$7)+4),0)))))))))))</f>
        <v>5</v>
      </c>
      <c r="M9" s="42" t="str">
        <f t="shared" si="1"/>
        <v>ü</v>
      </c>
      <c r="N9" s="43">
        <v>89946</v>
      </c>
      <c r="O9" s="44" t="s">
        <v>36</v>
      </c>
      <c r="P9" s="31" t="s">
        <v>37</v>
      </c>
      <c r="Q9" s="48">
        <v>5000</v>
      </c>
      <c r="R9" s="48">
        <v>10000</v>
      </c>
      <c r="S9" s="48">
        <v>15000</v>
      </c>
      <c r="T9" s="48">
        <v>20000</v>
      </c>
      <c r="U9" s="48">
        <v>25000</v>
      </c>
    </row>
    <row r="10" spans="1:21" s="6" customFormat="1" ht="23.25" customHeight="1" x14ac:dyDescent="0.2">
      <c r="A10" s="33">
        <v>3</v>
      </c>
      <c r="B10" s="46" t="s">
        <v>38</v>
      </c>
      <c r="C10" s="46"/>
      <c r="D10" s="35">
        <v>25000</v>
      </c>
      <c r="E10" s="36">
        <v>119845</v>
      </c>
      <c r="F10" s="37">
        <v>510270</v>
      </c>
      <c r="G10" s="47">
        <f t="shared" si="0"/>
        <v>630115</v>
      </c>
      <c r="H10" s="36">
        <v>2944400</v>
      </c>
      <c r="I10" s="47">
        <f t="shared" ref="I10:I31" si="4">G10+H10</f>
        <v>3574515</v>
      </c>
      <c r="J10" s="39">
        <v>55</v>
      </c>
      <c r="K10" s="40">
        <f t="shared" si="2"/>
        <v>64991.18</v>
      </c>
      <c r="L10" s="41">
        <f t="shared" si="3"/>
        <v>5</v>
      </c>
      <c r="M10" s="42" t="str">
        <f t="shared" si="1"/>
        <v>ü</v>
      </c>
      <c r="N10" s="43">
        <v>64991.18</v>
      </c>
      <c r="O10" s="44" t="s">
        <v>29</v>
      </c>
      <c r="P10" s="31" t="s">
        <v>39</v>
      </c>
      <c r="Q10" s="48">
        <v>40000</v>
      </c>
      <c r="R10" s="48">
        <v>45000</v>
      </c>
      <c r="S10" s="48">
        <v>50000</v>
      </c>
      <c r="T10" s="48">
        <v>55000</v>
      </c>
      <c r="U10" s="48">
        <v>60000</v>
      </c>
    </row>
    <row r="11" spans="1:21" s="6" customFormat="1" ht="24" customHeight="1" x14ac:dyDescent="0.2">
      <c r="A11" s="33">
        <v>4</v>
      </c>
      <c r="B11" s="46" t="s">
        <v>40</v>
      </c>
      <c r="C11" s="46"/>
      <c r="D11" s="35">
        <v>25000</v>
      </c>
      <c r="E11" s="49">
        <v>515000</v>
      </c>
      <c r="F11" s="37">
        <v>5974987</v>
      </c>
      <c r="G11" s="47">
        <f t="shared" si="0"/>
        <v>6489987</v>
      </c>
      <c r="H11" s="36">
        <v>575000</v>
      </c>
      <c r="I11" s="47">
        <f>G11+H11</f>
        <v>7064987</v>
      </c>
      <c r="J11" s="39">
        <v>51</v>
      </c>
      <c r="K11" s="40">
        <f t="shared" si="2"/>
        <v>138529.16</v>
      </c>
      <c r="L11" s="41">
        <f>IF(K11=0,0,IF(K11="N/A",1,IF(K11&lt;=Q$9,1,IF(K11=R$9,2,IF(K11&lt;R$9,(((K11-Q$9)/U$7)+1),IF(K11=S$9,3,IF(K11&lt;S$9,(((K11-R$9)/U$7)+2),IF(K11=T$9,4,IF(K11&lt;T$9,(((K11-S$9)/U$7)+3),IF(K11&gt;=U$9,5,IF(K11&lt;U$9,(((K11-T$9)/U$7)+4),0)))))))))))</f>
        <v>5</v>
      </c>
      <c r="M11" s="42" t="str">
        <f t="shared" si="1"/>
        <v>ü</v>
      </c>
      <c r="N11" s="43">
        <v>35156.22</v>
      </c>
      <c r="O11" s="44" t="s">
        <v>36</v>
      </c>
      <c r="P11" s="31" t="s">
        <v>41</v>
      </c>
      <c r="Q11" s="48">
        <v>30000</v>
      </c>
      <c r="R11" s="48">
        <v>35000</v>
      </c>
      <c r="S11" s="48">
        <v>40000</v>
      </c>
      <c r="T11" s="48">
        <v>45000</v>
      </c>
      <c r="U11" s="48">
        <v>50000</v>
      </c>
    </row>
    <row r="12" spans="1:21" s="6" customFormat="1" ht="23.25" customHeight="1" x14ac:dyDescent="0.2">
      <c r="A12" s="33">
        <v>5</v>
      </c>
      <c r="B12" s="46" t="s">
        <v>42</v>
      </c>
      <c r="C12" s="46"/>
      <c r="D12" s="35">
        <v>25000</v>
      </c>
      <c r="E12" s="36">
        <v>573380</v>
      </c>
      <c r="F12" s="37">
        <v>9029340.25</v>
      </c>
      <c r="G12" s="47">
        <f t="shared" si="0"/>
        <v>9602720.25</v>
      </c>
      <c r="H12" s="36">
        <v>15045488</v>
      </c>
      <c r="I12" s="47">
        <f t="shared" si="4"/>
        <v>24648208.25</v>
      </c>
      <c r="J12" s="39">
        <v>100</v>
      </c>
      <c r="K12" s="40">
        <f t="shared" si="2"/>
        <v>246482.08</v>
      </c>
      <c r="L12" s="41">
        <f t="shared" si="3"/>
        <v>5</v>
      </c>
      <c r="M12" s="42" t="str">
        <f t="shared" si="1"/>
        <v>ü</v>
      </c>
      <c r="N12" s="43">
        <v>238868.21</v>
      </c>
      <c r="O12" s="44" t="s">
        <v>36</v>
      </c>
    </row>
    <row r="13" spans="1:21" s="6" customFormat="1" ht="23.25" customHeight="1" x14ac:dyDescent="0.2">
      <c r="A13" s="33">
        <v>6</v>
      </c>
      <c r="B13" s="46" t="s">
        <v>43</v>
      </c>
      <c r="C13" s="46"/>
      <c r="D13" s="35">
        <v>25000</v>
      </c>
      <c r="E13" s="36">
        <v>305650</v>
      </c>
      <c r="F13" s="36">
        <v>169149</v>
      </c>
      <c r="G13" s="38">
        <f t="shared" si="0"/>
        <v>474799</v>
      </c>
      <c r="H13" s="36">
        <v>1395000</v>
      </c>
      <c r="I13" s="38">
        <f t="shared" si="4"/>
        <v>1869799</v>
      </c>
      <c r="J13" s="39">
        <v>47</v>
      </c>
      <c r="K13" s="40">
        <f t="shared" si="2"/>
        <v>39782.959999999999</v>
      </c>
      <c r="L13" s="41">
        <f t="shared" si="3"/>
        <v>5</v>
      </c>
      <c r="M13" s="42" t="str">
        <f t="shared" si="1"/>
        <v>ü</v>
      </c>
      <c r="N13" s="43">
        <v>38954.15</v>
      </c>
      <c r="O13" s="44" t="s">
        <v>44</v>
      </c>
    </row>
    <row r="14" spans="1:21" s="6" customFormat="1" x14ac:dyDescent="0.2">
      <c r="A14" s="33">
        <v>7</v>
      </c>
      <c r="B14" s="46" t="s">
        <v>45</v>
      </c>
      <c r="C14" s="46"/>
      <c r="D14" s="35">
        <v>25000</v>
      </c>
      <c r="E14" s="36">
        <v>298690</v>
      </c>
      <c r="F14" s="36">
        <v>2676284.75</v>
      </c>
      <c r="G14" s="38">
        <f t="shared" si="0"/>
        <v>2974974.75</v>
      </c>
      <c r="H14" s="36">
        <v>2155712</v>
      </c>
      <c r="I14" s="38">
        <f t="shared" si="4"/>
        <v>5130686.75</v>
      </c>
      <c r="J14" s="39">
        <v>65</v>
      </c>
      <c r="K14" s="40">
        <f t="shared" si="2"/>
        <v>78933.64</v>
      </c>
      <c r="L14" s="41">
        <f t="shared" si="3"/>
        <v>5</v>
      </c>
      <c r="M14" s="42" t="str">
        <f t="shared" si="1"/>
        <v>ü</v>
      </c>
      <c r="N14" s="43">
        <v>62604.61</v>
      </c>
      <c r="O14" s="44" t="s">
        <v>44</v>
      </c>
    </row>
    <row r="15" spans="1:21" s="6" customFormat="1" x14ac:dyDescent="0.2">
      <c r="A15" s="33">
        <v>8</v>
      </c>
      <c r="B15" s="46" t="s">
        <v>46</v>
      </c>
      <c r="C15" s="46"/>
      <c r="D15" s="35">
        <v>25000</v>
      </c>
      <c r="E15" s="36">
        <v>178630</v>
      </c>
      <c r="F15" s="36">
        <v>1128100</v>
      </c>
      <c r="G15" s="38">
        <f t="shared" si="0"/>
        <v>1306730</v>
      </c>
      <c r="H15" s="36">
        <v>7077664</v>
      </c>
      <c r="I15" s="38">
        <f t="shared" si="4"/>
        <v>8384394</v>
      </c>
      <c r="J15" s="39">
        <v>58</v>
      </c>
      <c r="K15" s="40">
        <f t="shared" si="2"/>
        <v>144558.51999999999</v>
      </c>
      <c r="L15" s="41">
        <f t="shared" si="3"/>
        <v>5</v>
      </c>
      <c r="M15" s="42" t="str">
        <f t="shared" si="1"/>
        <v>ü</v>
      </c>
      <c r="N15" s="43">
        <v>144558.51999999999</v>
      </c>
      <c r="O15" s="44" t="s">
        <v>29</v>
      </c>
    </row>
    <row r="16" spans="1:21" s="6" customFormat="1" x14ac:dyDescent="0.2">
      <c r="A16" s="33">
        <v>9</v>
      </c>
      <c r="B16" s="46" t="s">
        <v>47</v>
      </c>
      <c r="C16" s="46"/>
      <c r="D16" s="35">
        <v>25000</v>
      </c>
      <c r="E16" s="36">
        <v>135525</v>
      </c>
      <c r="F16" s="36">
        <v>33655</v>
      </c>
      <c r="G16" s="38">
        <f t="shared" si="0"/>
        <v>169180</v>
      </c>
      <c r="H16" s="36">
        <v>5842075</v>
      </c>
      <c r="I16" s="38">
        <f t="shared" si="4"/>
        <v>6011255</v>
      </c>
      <c r="J16" s="39">
        <v>43</v>
      </c>
      <c r="K16" s="40">
        <f t="shared" si="2"/>
        <v>139796.63</v>
      </c>
      <c r="L16" s="41">
        <f>IF(K16=0,0,IF(K16="N/A",1,IF(K16&lt;=Q$9,1,IF(K16=R$9,2,IF(K16&lt;R$9,(((K16-Q$9)/U$7)+1),IF(K16=S$9,3,IF(K16&lt;S$9,(((K16-R$9)/U$7)+2),IF(K16=T$9,4,IF(K16&lt;T$9,(((K16-S$9)/U$7)+3),IF(K16&gt;=U$9,5,IF(K16&lt;U$9,(((K16-T$9)/U$7)+4),0)))))))))))</f>
        <v>5</v>
      </c>
      <c r="M16" s="42" t="str">
        <f t="shared" si="1"/>
        <v>ü</v>
      </c>
      <c r="N16" s="43">
        <v>139796.63</v>
      </c>
      <c r="O16" s="44" t="s">
        <v>29</v>
      </c>
    </row>
    <row r="17" spans="1:15" s="6" customFormat="1" x14ac:dyDescent="0.2">
      <c r="A17" s="50"/>
      <c r="B17" s="46" t="s">
        <v>48</v>
      </c>
      <c r="C17" s="46"/>
      <c r="D17" s="35">
        <v>25000</v>
      </c>
      <c r="E17" s="51">
        <v>138100</v>
      </c>
      <c r="F17" s="52">
        <v>0</v>
      </c>
      <c r="G17" s="38">
        <f t="shared" si="0"/>
        <v>138100</v>
      </c>
      <c r="H17" s="51">
        <v>1795000</v>
      </c>
      <c r="I17" s="38">
        <f t="shared" si="4"/>
        <v>1933100</v>
      </c>
      <c r="J17" s="53">
        <v>63</v>
      </c>
      <c r="K17" s="40">
        <f t="shared" si="2"/>
        <v>30684.13</v>
      </c>
      <c r="L17" s="41">
        <f t="shared" si="3"/>
        <v>5</v>
      </c>
      <c r="M17" s="42" t="str">
        <f t="shared" si="1"/>
        <v>ü</v>
      </c>
      <c r="N17" s="43">
        <v>30684.15</v>
      </c>
      <c r="O17" s="44" t="s">
        <v>44</v>
      </c>
    </row>
    <row r="18" spans="1:15" s="6" customFormat="1" x14ac:dyDescent="0.2">
      <c r="A18" s="33">
        <v>10</v>
      </c>
      <c r="B18" s="46" t="s">
        <v>49</v>
      </c>
      <c r="C18" s="46"/>
      <c r="D18" s="54">
        <v>25000</v>
      </c>
      <c r="E18" s="55">
        <f>SUM(E19:E22)</f>
        <v>196200</v>
      </c>
      <c r="F18" s="55">
        <f>SUM(F19:F22)</f>
        <v>0</v>
      </c>
      <c r="G18" s="56">
        <f>E18+F18</f>
        <v>196200</v>
      </c>
      <c r="H18" s="57">
        <f>SUM(H19:H22)</f>
        <v>733644</v>
      </c>
      <c r="I18" s="56">
        <f>G18+H18</f>
        <v>929844</v>
      </c>
      <c r="J18" s="58">
        <v>22</v>
      </c>
      <c r="K18" s="40">
        <f t="shared" si="2"/>
        <v>42265.64</v>
      </c>
      <c r="L18" s="41">
        <f t="shared" si="3"/>
        <v>5</v>
      </c>
      <c r="M18" s="42" t="str">
        <f t="shared" si="1"/>
        <v>ü</v>
      </c>
      <c r="N18" s="43">
        <v>42265.64</v>
      </c>
      <c r="O18" s="44" t="s">
        <v>29</v>
      </c>
    </row>
    <row r="19" spans="1:15" s="6" customFormat="1" ht="24" customHeight="1" x14ac:dyDescent="0.2">
      <c r="A19" s="59"/>
      <c r="B19" s="60" t="s">
        <v>50</v>
      </c>
      <c r="C19" s="60"/>
      <c r="D19" s="61"/>
      <c r="E19" s="57">
        <v>54100</v>
      </c>
      <c r="F19" s="62">
        <v>0</v>
      </c>
      <c r="G19" s="56">
        <f t="shared" ref="G19:G23" si="5">E19+F19</f>
        <v>54100</v>
      </c>
      <c r="H19" s="57">
        <v>684548</v>
      </c>
      <c r="I19" s="56"/>
      <c r="J19" s="63"/>
      <c r="K19" s="64"/>
      <c r="L19" s="65"/>
      <c r="M19" s="66"/>
      <c r="N19" s="67"/>
      <c r="O19" s="68"/>
    </row>
    <row r="20" spans="1:15" s="6" customFormat="1" ht="24" customHeight="1" x14ac:dyDescent="0.2">
      <c r="A20" s="59"/>
      <c r="B20" s="60" t="s">
        <v>51</v>
      </c>
      <c r="C20" s="60"/>
      <c r="D20" s="61"/>
      <c r="E20" s="57">
        <v>70900</v>
      </c>
      <c r="F20" s="62">
        <v>0</v>
      </c>
      <c r="G20" s="56">
        <f t="shared" si="5"/>
        <v>70900</v>
      </c>
      <c r="H20" s="57">
        <v>39548</v>
      </c>
      <c r="I20" s="56"/>
      <c r="J20" s="63"/>
      <c r="K20" s="64"/>
      <c r="L20" s="65"/>
      <c r="M20" s="66"/>
      <c r="N20" s="67"/>
      <c r="O20" s="68"/>
    </row>
    <row r="21" spans="1:15" s="6" customFormat="1" ht="24" customHeight="1" x14ac:dyDescent="0.2">
      <c r="A21" s="59"/>
      <c r="B21" s="60" t="s">
        <v>52</v>
      </c>
      <c r="C21" s="60"/>
      <c r="D21" s="61"/>
      <c r="E21" s="57">
        <v>41000</v>
      </c>
      <c r="F21" s="62">
        <v>0</v>
      </c>
      <c r="G21" s="56">
        <f t="shared" si="5"/>
        <v>41000</v>
      </c>
      <c r="H21" s="57">
        <v>9548</v>
      </c>
      <c r="I21" s="56"/>
      <c r="J21" s="63"/>
      <c r="K21" s="64"/>
      <c r="L21" s="65"/>
      <c r="M21" s="66"/>
      <c r="N21" s="67"/>
      <c r="O21" s="68"/>
    </row>
    <row r="22" spans="1:15" s="6" customFormat="1" ht="24" customHeight="1" x14ac:dyDescent="0.55000000000000004">
      <c r="A22" s="59"/>
      <c r="B22" s="60" t="s">
        <v>53</v>
      </c>
      <c r="C22" s="60"/>
      <c r="D22" s="69"/>
      <c r="E22" s="70">
        <v>30200</v>
      </c>
      <c r="F22" s="62">
        <v>0</v>
      </c>
      <c r="G22" s="71">
        <f t="shared" si="5"/>
        <v>30200</v>
      </c>
      <c r="H22" s="57">
        <v>0</v>
      </c>
      <c r="I22" s="72"/>
      <c r="J22" s="73"/>
      <c r="K22" s="64"/>
      <c r="L22" s="65"/>
      <c r="M22" s="66"/>
      <c r="N22" s="67"/>
      <c r="O22" s="68"/>
    </row>
    <row r="23" spans="1:15" s="6" customFormat="1" ht="21" customHeight="1" x14ac:dyDescent="0.2">
      <c r="A23" s="74" t="s">
        <v>54</v>
      </c>
      <c r="B23" s="75"/>
      <c r="C23" s="76"/>
      <c r="D23" s="77">
        <v>60000</v>
      </c>
      <c r="E23" s="78">
        <f>SUM(E24:E27)</f>
        <v>860270</v>
      </c>
      <c r="F23" s="78">
        <f>SUM(F24:F27)</f>
        <v>9131869.0500000007</v>
      </c>
      <c r="G23" s="78">
        <f t="shared" si="5"/>
        <v>9992139.0500000007</v>
      </c>
      <c r="H23" s="78">
        <f>SUM(H24:H27)</f>
        <v>117477255.5</v>
      </c>
      <c r="I23" s="78">
        <f t="shared" si="4"/>
        <v>127469394.55</v>
      </c>
      <c r="J23" s="79">
        <f>SUM(J24:J27)</f>
        <v>182</v>
      </c>
      <c r="K23" s="27">
        <f>IFERROR(ROUND((I23/J23),2),0)</f>
        <v>700381.29</v>
      </c>
      <c r="L23" s="80">
        <f>IF(K23=0,0,IF(K23="N/A",1,IF(K23&lt;=Q$10,1,IF(K23=R$10,2,IF(K23&lt;R$10,(((K23-Q$10)/U$7)+1),IF(K23=S$10,3,IF(K23&lt;S$10,(((K23-R$10)/U$7)+2),IF(K23=T$10,4,IF(K23&lt;T$10,(((K23-S$10)/U$7)+3),IF(K23&gt;=U$10,5,IF(K23&lt;U$10,(((K23-T$10)/U$7)+4),0)))))))))))</f>
        <v>5</v>
      </c>
      <c r="M23" s="81" t="str">
        <f>IF(L23=5,"ü","û")</f>
        <v>ü</v>
      </c>
      <c r="N23" s="30"/>
      <c r="O23" s="82"/>
    </row>
    <row r="24" spans="1:15" s="6" customFormat="1" x14ac:dyDescent="0.2">
      <c r="A24" s="50"/>
      <c r="B24" s="46" t="s">
        <v>55</v>
      </c>
      <c r="C24" s="46"/>
      <c r="D24" s="35">
        <v>60000</v>
      </c>
      <c r="E24" s="83">
        <v>19600</v>
      </c>
      <c r="F24" s="83">
        <v>0</v>
      </c>
      <c r="G24" s="38">
        <f t="shared" si="0"/>
        <v>19600</v>
      </c>
      <c r="H24" s="84">
        <v>500000</v>
      </c>
      <c r="I24" s="85">
        <f t="shared" si="4"/>
        <v>519600</v>
      </c>
      <c r="J24" s="86">
        <v>14</v>
      </c>
      <c r="K24" s="40">
        <f>IFERROR(ROUND((I24/J24),2),0)</f>
        <v>37114.29</v>
      </c>
      <c r="L24" s="41">
        <f>IF(K24=0,0,IF(K24="N/A",1,IF(K24&lt;=Q$10,1,IF(K24=R$10,2,IF(K24&lt;R$10,(((K24-Q$10)/U$7)+1),IF(K24=S$10,3,IF(K24&lt;S$10,(((K24-R$10)/U$7)+2),IF(K24=T$10,4,IF(K24&lt;T$10,(((K24-S$10)/U$7)+3),IF(K24&gt;=U$10,5,IF(K24&lt;U$10,(((K24-T$10)/U$7)+4),0)))))))))))</f>
        <v>1</v>
      </c>
      <c r="M24" s="42" t="str">
        <f t="shared" ref="M24:M27" si="6">IF(L24=5,"ü","û")</f>
        <v>û</v>
      </c>
      <c r="N24" s="43">
        <v>37114.29</v>
      </c>
      <c r="O24" s="44" t="s">
        <v>29</v>
      </c>
    </row>
    <row r="25" spans="1:15" s="6" customFormat="1" x14ac:dyDescent="0.2">
      <c r="A25" s="33">
        <v>1</v>
      </c>
      <c r="B25" s="46" t="s">
        <v>56</v>
      </c>
      <c r="C25" s="46"/>
      <c r="D25" s="35">
        <v>60000</v>
      </c>
      <c r="E25" s="49">
        <v>599460</v>
      </c>
      <c r="F25" s="49">
        <v>5991146.0499999998</v>
      </c>
      <c r="G25" s="38">
        <f t="shared" si="0"/>
        <v>6590606.0499999998</v>
      </c>
      <c r="H25" s="49">
        <v>81852722.5</v>
      </c>
      <c r="I25" s="85">
        <f>G25+H25</f>
        <v>88443328.549999997</v>
      </c>
      <c r="J25" s="87">
        <v>105</v>
      </c>
      <c r="K25" s="40">
        <f t="shared" ref="K25:K27" si="7">IFERROR(ROUND((I25/J25),2),0)</f>
        <v>842317.41</v>
      </c>
      <c r="L25" s="41">
        <f>IF(K25=0,0,IF(K25="N/A",1,IF(K25&lt;=Q$10,1,IF(K25=R$10,2,IF(K25&lt;R$10,(((K25-Q$10)/U$7)+1),IF(K25=S$10,3,IF(K25&lt;S$10,(((K25-R$10)/U$7)+2),IF(K25=T$10,4,IF(K25&lt;T$10,(((K25-S$10)/U$7)+3),IF(K25&gt;=U$10,5,IF(K25&lt;U$10,(((K25-T$10)/U$7)+4),0)))))))))))</f>
        <v>5</v>
      </c>
      <c r="M25" s="42" t="str">
        <f t="shared" si="6"/>
        <v>ü</v>
      </c>
      <c r="N25" s="43">
        <v>802474.39</v>
      </c>
      <c r="O25" s="44" t="s">
        <v>36</v>
      </c>
    </row>
    <row r="26" spans="1:15" s="6" customFormat="1" x14ac:dyDescent="0.2">
      <c r="A26" s="33">
        <v>2</v>
      </c>
      <c r="B26" s="46" t="s">
        <v>57</v>
      </c>
      <c r="C26" s="46"/>
      <c r="D26" s="35">
        <v>60000</v>
      </c>
      <c r="E26" s="88">
        <v>228410</v>
      </c>
      <c r="F26" s="88">
        <v>3029373</v>
      </c>
      <c r="G26" s="38">
        <f t="shared" si="0"/>
        <v>3257783</v>
      </c>
      <c r="H26" s="88">
        <v>31694533</v>
      </c>
      <c r="I26" s="89">
        <f t="shared" si="4"/>
        <v>34952316</v>
      </c>
      <c r="J26" s="90">
        <v>52</v>
      </c>
      <c r="K26" s="40">
        <f t="shared" si="7"/>
        <v>672159.92</v>
      </c>
      <c r="L26" s="41">
        <f t="shared" ref="L26" si="8">IF(K26=0,0,IF(K26="N/A",1,IF(K26&lt;=Q$10,1,IF(K26=R$10,2,IF(K26&lt;R$10,(((K26-Q$10)/U$7)+1),IF(K26=S$10,3,IF(K26&lt;S$10,(((K26-R$10)/U$7)+2),IF(K26=T$10,4,IF(K26&lt;T$10,(((K26-S$10)/U$7)+3),IF(K26&gt;=U$10,5,IF(K26&lt;U$10,(((K26-T$10)/U$7)+4),0)))))))))))</f>
        <v>5</v>
      </c>
      <c r="M26" s="42" t="str">
        <f t="shared" si="6"/>
        <v>ü</v>
      </c>
      <c r="N26" s="43">
        <v>613586.88</v>
      </c>
      <c r="O26" s="44" t="s">
        <v>36</v>
      </c>
    </row>
    <row r="27" spans="1:15" s="6" customFormat="1" x14ac:dyDescent="0.2">
      <c r="A27" s="33">
        <v>3</v>
      </c>
      <c r="B27" s="91" t="s">
        <v>58</v>
      </c>
      <c r="C27" s="91"/>
      <c r="D27" s="35">
        <v>60000</v>
      </c>
      <c r="E27" s="92">
        <v>12800</v>
      </c>
      <c r="F27" s="92">
        <v>111350</v>
      </c>
      <c r="G27" s="38">
        <f t="shared" si="0"/>
        <v>124150</v>
      </c>
      <c r="H27" s="92">
        <v>3430000</v>
      </c>
      <c r="I27" s="89">
        <f t="shared" si="4"/>
        <v>3554150</v>
      </c>
      <c r="J27" s="93">
        <v>11</v>
      </c>
      <c r="K27" s="40">
        <f t="shared" si="7"/>
        <v>323104.55</v>
      </c>
      <c r="L27" s="41">
        <f>IF(K27=0,0,IF(K27="N/A",1,IF(K27&lt;=Q$10,1,IF(K27=R$10,2,IF(K27&lt;R$10,(((K27-Q$10)/U$7)+1),IF(K27=S$10,3,IF(K27&lt;S$10,(((K27-R$10)/U$7)+2),IF(K27=T$10,4,IF(K27&lt;T$10,(((K27-S$10)/U$7)+3),IF(K27&gt;=U$10,5,IF(K27&lt;U$10,(((K27-T$10)/U$7)+4),0)))))))))))</f>
        <v>5</v>
      </c>
      <c r="M27" s="42" t="str">
        <f t="shared" si="6"/>
        <v>ü</v>
      </c>
      <c r="N27" s="43">
        <v>323104.55</v>
      </c>
      <c r="O27" s="44" t="s">
        <v>29</v>
      </c>
    </row>
    <row r="28" spans="1:15" s="6" customFormat="1" ht="21" customHeight="1" x14ac:dyDescent="0.2">
      <c r="A28" s="74" t="s">
        <v>59</v>
      </c>
      <c r="B28" s="75"/>
      <c r="C28" s="76"/>
      <c r="D28" s="77">
        <v>50000</v>
      </c>
      <c r="E28" s="78">
        <f>SUM(E29:E30)</f>
        <v>356450</v>
      </c>
      <c r="F28" s="78">
        <f>SUM(F29:F30)</f>
        <v>10960744.149999999</v>
      </c>
      <c r="G28" s="78">
        <f t="shared" si="0"/>
        <v>11317194.149999999</v>
      </c>
      <c r="H28" s="94">
        <f>SUM(H29:H30)</f>
        <v>75000</v>
      </c>
      <c r="I28" s="78">
        <f t="shared" si="4"/>
        <v>11392194.149999999</v>
      </c>
      <c r="J28" s="79">
        <f>SUM(J29:J30)</f>
        <v>102</v>
      </c>
      <c r="K28" s="27">
        <f>IFERROR(ROUND((I28/J28),2),0)</f>
        <v>111688.18</v>
      </c>
      <c r="L28" s="80">
        <f>IF(K28=0,0,IF(K28="N/A",1,IF(K28&lt;=Q$11,1,IF(K28=R$11,2,IF(K28&lt;R$11,(((K28-Q$11)/U$7)+1),IF(K28=S$11,3,IF(K28&lt;S$11,(((K28-R$11)/U$7)+2),IF(K28=T$11,4,IF(K28&lt;T$11,(((K28-S$11)/U$7)+3),IF(K28&gt;=U$11,5,IF(K28&lt;U$11,(((K28-T$11)/U$7)+4),0)))))))))))</f>
        <v>5</v>
      </c>
      <c r="M28" s="81" t="str">
        <f>IF(L28=5,"ü","û")</f>
        <v>ü</v>
      </c>
      <c r="N28" s="30"/>
      <c r="O28" s="82"/>
    </row>
    <row r="29" spans="1:15" s="6" customFormat="1" x14ac:dyDescent="0.2">
      <c r="A29" s="33">
        <v>1</v>
      </c>
      <c r="B29" s="46" t="s">
        <v>60</v>
      </c>
      <c r="C29" s="46"/>
      <c r="D29" s="35">
        <v>50000</v>
      </c>
      <c r="E29" s="95">
        <v>88100</v>
      </c>
      <c r="F29" s="96">
        <v>3165900</v>
      </c>
      <c r="G29" s="38">
        <f t="shared" si="0"/>
        <v>3254000</v>
      </c>
      <c r="H29" s="95">
        <v>0</v>
      </c>
      <c r="I29" s="97">
        <f t="shared" si="4"/>
        <v>3254000</v>
      </c>
      <c r="J29" s="98">
        <v>43</v>
      </c>
      <c r="K29" s="40">
        <f>IFERROR(ROUND((I29/J29),2),0)</f>
        <v>75674.42</v>
      </c>
      <c r="L29" s="41">
        <f>IF(K29=0,0,IF(K29="N/A",1,IF(K29&lt;=Q$11,1,IF(K29=R$11,2,IF(K29&lt;R$11,(((K29-Q$11)/U$7)+1),IF(K29=S$11,3,IF(K29&lt;S$11,(((K29-R$11)/U$7)+2),IF(K29=T$11,4,IF(K29&lt;T$11,(((K29-S$11)/U$7)+3),IF(K29&gt;=U$11,5,IF(K29&lt;U$11,(((K29-T$11)/U$7)+4),0)))))))))))</f>
        <v>5</v>
      </c>
      <c r="M29" s="42" t="str">
        <f t="shared" ref="M29:M30" si="9">IF(L29=5,"ü","û")</f>
        <v>ü</v>
      </c>
      <c r="N29" s="43">
        <v>56126.05</v>
      </c>
      <c r="O29" s="44" t="s">
        <v>36</v>
      </c>
    </row>
    <row r="30" spans="1:15" s="6" customFormat="1" x14ac:dyDescent="0.2">
      <c r="A30" s="33">
        <v>2</v>
      </c>
      <c r="B30" s="46" t="s">
        <v>61</v>
      </c>
      <c r="C30" s="46"/>
      <c r="D30" s="35">
        <v>50000</v>
      </c>
      <c r="E30" s="99">
        <v>268350</v>
      </c>
      <c r="F30" s="99">
        <f>415657.3+7379186.85</f>
        <v>7794844.1499999994</v>
      </c>
      <c r="G30" s="38">
        <f t="shared" si="0"/>
        <v>8063194.1499999994</v>
      </c>
      <c r="H30" s="99">
        <v>75000</v>
      </c>
      <c r="I30" s="89">
        <f t="shared" si="4"/>
        <v>8138194.1499999994</v>
      </c>
      <c r="J30" s="90">
        <v>59</v>
      </c>
      <c r="K30" s="40">
        <f>IFERROR(ROUND((I30/J30),2),0)</f>
        <v>137935.49</v>
      </c>
      <c r="L30" s="41">
        <f>IF(K30=0,0,IF(K30="N/A",1,IF(K30&lt;=Q$11,1,IF(K30=R$11,2,IF(K30&lt;R$11,(((K30-Q$11)/U$7)+1),IF(K30=S$11,3,IF(K30&lt;S$11,(((K30-R$11)/U$7)+2),IF(K30=T$11,4,IF(K30&lt;T$11,(((K30-S$11)/U$7)+3),IF(K30&gt;=U$11,5,IF(K30&lt;U$11,(((K30-T$11)/U$7)+4),0)))))))))))</f>
        <v>5</v>
      </c>
      <c r="M30" s="42" t="str">
        <f t="shared" si="9"/>
        <v>ü</v>
      </c>
      <c r="N30" s="43">
        <v>137935.49</v>
      </c>
      <c r="O30" s="44" t="s">
        <v>29</v>
      </c>
    </row>
    <row r="31" spans="1:15" s="6" customFormat="1" x14ac:dyDescent="0.55000000000000004">
      <c r="A31" s="100" t="s">
        <v>22</v>
      </c>
      <c r="B31" s="101"/>
      <c r="C31" s="102"/>
      <c r="D31" s="103"/>
      <c r="E31" s="104">
        <f>E7+E23+E28</f>
        <v>4145230</v>
      </c>
      <c r="F31" s="104">
        <f>F7+F23+F28</f>
        <v>41706330</v>
      </c>
      <c r="G31" s="105">
        <f>E31+F31</f>
        <v>45851560</v>
      </c>
      <c r="H31" s="104">
        <f>H7+H23+H28</f>
        <v>159709544</v>
      </c>
      <c r="I31" s="105">
        <f t="shared" si="4"/>
        <v>205561104</v>
      </c>
      <c r="J31" s="106">
        <f>J7+J23+J28</f>
        <v>894</v>
      </c>
      <c r="K31" s="107">
        <f>IFERROR(ROUND((I31/J31),2),0)</f>
        <v>229934.12</v>
      </c>
      <c r="L31" s="108"/>
      <c r="M31" s="109"/>
      <c r="N31" s="110"/>
      <c r="O31" s="110"/>
    </row>
    <row r="32" spans="1:15" s="6" customFormat="1" x14ac:dyDescent="0.2">
      <c r="A32" s="50"/>
      <c r="B32" s="111" t="s">
        <v>62</v>
      </c>
      <c r="C32" s="111"/>
      <c r="D32" s="112"/>
      <c r="E32" s="113">
        <f>E17+E24</f>
        <v>157700</v>
      </c>
      <c r="F32" s="113">
        <f>F17+F24</f>
        <v>0</v>
      </c>
      <c r="G32" s="114">
        <f>E32+F32</f>
        <v>157700</v>
      </c>
      <c r="H32" s="113">
        <f>H17+H24</f>
        <v>2295000</v>
      </c>
      <c r="I32" s="115">
        <f>G32+H32</f>
        <v>2452700</v>
      </c>
      <c r="J32" s="116">
        <f>J17+J24</f>
        <v>77</v>
      </c>
      <c r="K32" s="117">
        <f>IFERROR(ROUND((I32/J32),2),0)</f>
        <v>31853.25</v>
      </c>
      <c r="L32" s="118">
        <f>IF(K32=0,0,IF(K32="N/A",1,IF(K32&lt;=Q$9,1,IF(K32=R$9,2,IF(K32&lt;R$9,(((K32-Q$9)/U$7)+1),IF(K32=S$9,3,IF(K32&lt;S$9,(((K32-R$9)/U$7)+2),IF(K32=T$9,4,IF(K32&lt;T$9,(((K32-S$9)/U$7)+3),IF(K32&gt;=U$9,5,IF(K32&lt;U$9,(((K32-T$9)/U$7)+4),0)))))))))))</f>
        <v>5</v>
      </c>
      <c r="M32" s="119" t="str">
        <f>IF(L32=5,"ü","û")</f>
        <v>ü</v>
      </c>
      <c r="N32" s="120"/>
      <c r="O32" s="120"/>
    </row>
    <row r="33" spans="1:15" s="6" customFormat="1" x14ac:dyDescent="0.2"/>
    <row r="34" spans="1:15" s="6" customFormat="1" ht="55.5" x14ac:dyDescent="0.2">
      <c r="A34" s="121" t="s">
        <v>63</v>
      </c>
      <c r="B34" s="121"/>
      <c r="C34" s="122" t="s">
        <v>64</v>
      </c>
      <c r="D34" s="122"/>
      <c r="E34" s="122"/>
      <c r="F34" s="122"/>
      <c r="G34" s="122"/>
      <c r="H34" s="122"/>
      <c r="I34" s="122"/>
      <c r="J34" s="122"/>
      <c r="K34" s="123" t="s">
        <v>2</v>
      </c>
      <c r="L34" s="123" t="s">
        <v>65</v>
      </c>
      <c r="M34" s="123" t="s">
        <v>17</v>
      </c>
      <c r="N34" s="124" t="s">
        <v>18</v>
      </c>
      <c r="O34" s="125" t="s">
        <v>19</v>
      </c>
    </row>
    <row r="35" spans="1:15" s="6" customFormat="1" ht="21" customHeight="1" x14ac:dyDescent="0.2">
      <c r="A35" s="121"/>
      <c r="B35" s="121"/>
      <c r="C35" s="122"/>
      <c r="D35" s="122"/>
      <c r="E35" s="122"/>
      <c r="F35" s="122"/>
      <c r="G35" s="122"/>
      <c r="H35" s="122"/>
      <c r="I35" s="122"/>
      <c r="J35" s="122"/>
      <c r="K35" s="126">
        <v>4</v>
      </c>
      <c r="L35" s="127">
        <v>4</v>
      </c>
      <c r="M35" s="128" t="str">
        <f t="shared" ref="M35" si="10">IF(L35=5,"ü","û")</f>
        <v>û</v>
      </c>
      <c r="N35" s="129">
        <v>4</v>
      </c>
      <c r="O35" s="130"/>
    </row>
    <row r="36" spans="1:15" s="6" customFormat="1" x14ac:dyDescent="0.2"/>
    <row r="37" spans="1:15" s="6" customFormat="1" x14ac:dyDescent="0.2"/>
    <row r="38" spans="1:15" s="6" customFormat="1" x14ac:dyDescent="0.2"/>
    <row r="39" spans="1:15" s="6" customFormat="1" x14ac:dyDescent="0.2"/>
    <row r="40" spans="1:15" s="6" customFormat="1" x14ac:dyDescent="0.2"/>
    <row r="41" spans="1:15" s="6" customFormat="1" x14ac:dyDescent="0.2"/>
    <row r="42" spans="1:15" s="6" customFormat="1" x14ac:dyDescent="0.2"/>
    <row r="43" spans="1:15" s="6" customFormat="1" x14ac:dyDescent="0.2"/>
    <row r="44" spans="1:15" s="6" customFormat="1" x14ac:dyDescent="0.2"/>
    <row r="45" spans="1:15" s="6" customFormat="1" ht="48" x14ac:dyDescent="0.2">
      <c r="A45" s="6" t="str">
        <f t="shared" ref="A45:K60" si="11">A4</f>
        <v>ลำดับ</v>
      </c>
      <c r="B45" s="6" t="str">
        <f t="shared" si="11"/>
        <v>หน่วยงาน</v>
      </c>
      <c r="C45" s="6" t="s">
        <v>11</v>
      </c>
      <c r="D45" s="6" t="str">
        <f t="shared" si="11"/>
        <v>เป้าหมาย</v>
      </c>
      <c r="E45" s="6" t="str">
        <f>E4</f>
        <v>เงินสนับสนุนงานวิจัยและงานสร้างสรรค์ต่อจำนวนอาจารย์ประจำ</v>
      </c>
      <c r="F45" s="6">
        <f t="shared" si="11"/>
        <v>0</v>
      </c>
      <c r="G45" s="6" t="s">
        <v>66</v>
      </c>
      <c r="H45" s="6">
        <f t="shared" si="11"/>
        <v>0</v>
      </c>
      <c r="I45" s="6" t="s">
        <v>66</v>
      </c>
      <c r="J45" s="131" t="s">
        <v>67</v>
      </c>
      <c r="K45" s="6" t="s">
        <v>68</v>
      </c>
    </row>
    <row r="46" spans="1:15" s="6" customFormat="1" hidden="1" x14ac:dyDescent="0.2">
      <c r="A46" s="6">
        <f t="shared" si="11"/>
        <v>0</v>
      </c>
      <c r="B46" s="6">
        <f t="shared" si="11"/>
        <v>0</v>
      </c>
      <c r="C46" s="6">
        <f t="shared" si="11"/>
        <v>0</v>
      </c>
      <c r="D46" s="6">
        <f t="shared" si="11"/>
        <v>0</v>
      </c>
      <c r="E46" s="6" t="str">
        <f t="shared" si="11"/>
        <v>แหล่งทุนภายใน</v>
      </c>
      <c r="F46" s="6">
        <f t="shared" si="11"/>
        <v>0</v>
      </c>
      <c r="G46" s="6">
        <f t="shared" si="11"/>
        <v>0</v>
      </c>
      <c r="H46" s="6" t="str">
        <f t="shared" si="11"/>
        <v>แหล่งทุนภายนอก</v>
      </c>
      <c r="I46" s="6" t="str">
        <f t="shared" si="11"/>
        <v>รวม</v>
      </c>
      <c r="K46" s="6">
        <f t="shared" si="11"/>
        <v>0</v>
      </c>
    </row>
    <row r="47" spans="1:15" s="6" customFormat="1" hidden="1" x14ac:dyDescent="0.2">
      <c r="A47" s="6">
        <f t="shared" si="11"/>
        <v>0</v>
      </c>
      <c r="B47" s="6">
        <f t="shared" si="11"/>
        <v>0</v>
      </c>
      <c r="C47" s="6">
        <f t="shared" si="11"/>
        <v>0</v>
      </c>
      <c r="D47" s="6">
        <f t="shared" si="11"/>
        <v>0</v>
      </c>
      <c r="E47" s="6" t="str">
        <f t="shared" si="11"/>
        <v>งบประมาณรายได้</v>
      </c>
      <c r="F47" s="6" t="str">
        <f t="shared" si="11"/>
        <v>งบประมาณแผ่นดิน</v>
      </c>
      <c r="G47" s="6" t="str">
        <f t="shared" si="11"/>
        <v>รวม</v>
      </c>
      <c r="H47" s="6" t="str">
        <f t="shared" si="11"/>
        <v>งบประมาณภายนอก</v>
      </c>
      <c r="I47" s="6">
        <f t="shared" si="11"/>
        <v>0</v>
      </c>
      <c r="K47" s="6">
        <f t="shared" si="11"/>
        <v>0</v>
      </c>
    </row>
    <row r="48" spans="1:15" s="6" customFormat="1" hidden="1" x14ac:dyDescent="0.2">
      <c r="B48" s="6">
        <f t="shared" si="11"/>
        <v>0</v>
      </c>
      <c r="C48" s="6">
        <f t="shared" si="11"/>
        <v>0</v>
      </c>
      <c r="D48" s="6">
        <f t="shared" si="11"/>
        <v>25000</v>
      </c>
      <c r="E48" s="6">
        <f t="shared" si="11"/>
        <v>2928510</v>
      </c>
      <c r="F48" s="6">
        <f t="shared" si="11"/>
        <v>21613716.800000001</v>
      </c>
      <c r="G48" s="6">
        <f t="shared" si="11"/>
        <v>24542226.800000001</v>
      </c>
      <c r="H48" s="6">
        <f t="shared" si="11"/>
        <v>42157288.5</v>
      </c>
      <c r="I48" s="6">
        <f t="shared" si="11"/>
        <v>66699515.299999997</v>
      </c>
      <c r="J48" s="6">
        <f t="shared" si="11"/>
        <v>610</v>
      </c>
      <c r="K48" s="6">
        <f t="shared" si="11"/>
        <v>109343.47</v>
      </c>
    </row>
    <row r="49" spans="1:11" s="6" customFormat="1" x14ac:dyDescent="0.2">
      <c r="A49" s="132" t="s">
        <v>37</v>
      </c>
      <c r="B49" s="6" t="str">
        <f t="shared" si="11"/>
        <v>1) คณะครุศาสตร์</v>
      </c>
      <c r="C49" s="6" t="s">
        <v>69</v>
      </c>
      <c r="D49" s="6">
        <f t="shared" si="11"/>
        <v>25000</v>
      </c>
      <c r="E49" s="6">
        <f t="shared" si="11"/>
        <v>297500</v>
      </c>
      <c r="F49" s="6">
        <f t="shared" si="11"/>
        <v>1068400</v>
      </c>
      <c r="G49" s="6">
        <f t="shared" si="11"/>
        <v>1365900</v>
      </c>
      <c r="H49" s="6">
        <f t="shared" si="11"/>
        <v>57500</v>
      </c>
      <c r="I49" s="6">
        <f t="shared" si="11"/>
        <v>1423400</v>
      </c>
      <c r="J49" s="6">
        <f t="shared" si="11"/>
        <v>55</v>
      </c>
      <c r="K49" s="6">
        <f t="shared" si="11"/>
        <v>25880</v>
      </c>
    </row>
    <row r="50" spans="1:11" s="6" customFormat="1" x14ac:dyDescent="0.2">
      <c r="A50" s="132"/>
      <c r="B50" s="6" t="str">
        <f t="shared" si="11"/>
        <v>2) คณะมนุษยศาสตร์และสังคมศาสตร์</v>
      </c>
      <c r="C50" s="6" t="s">
        <v>70</v>
      </c>
      <c r="D50" s="6">
        <f t="shared" si="11"/>
        <v>25000</v>
      </c>
      <c r="E50" s="6">
        <f t="shared" si="11"/>
        <v>169990</v>
      </c>
      <c r="F50" s="6">
        <f t="shared" si="11"/>
        <v>1023530.8</v>
      </c>
      <c r="G50" s="6">
        <f t="shared" si="11"/>
        <v>1193520.8</v>
      </c>
      <c r="H50" s="6">
        <f t="shared" si="11"/>
        <v>4535805.5</v>
      </c>
      <c r="I50" s="6">
        <f t="shared" si="11"/>
        <v>5729326.2999999998</v>
      </c>
      <c r="J50" s="6">
        <f t="shared" si="11"/>
        <v>51</v>
      </c>
      <c r="K50" s="6">
        <f t="shared" si="11"/>
        <v>112339.73</v>
      </c>
    </row>
    <row r="51" spans="1:11" s="6" customFormat="1" x14ac:dyDescent="0.2">
      <c r="A51" s="132"/>
      <c r="B51" s="6" t="str">
        <f t="shared" si="11"/>
        <v>3) คณะวิทยาการจัดการ</v>
      </c>
      <c r="C51" s="6" t="s">
        <v>71</v>
      </c>
      <c r="D51" s="6">
        <f t="shared" si="11"/>
        <v>25000</v>
      </c>
      <c r="E51" s="6">
        <f t="shared" si="11"/>
        <v>119845</v>
      </c>
      <c r="F51" s="6">
        <f t="shared" si="11"/>
        <v>510270</v>
      </c>
      <c r="G51" s="6">
        <f t="shared" si="11"/>
        <v>630115</v>
      </c>
      <c r="H51" s="6">
        <f t="shared" si="11"/>
        <v>2944400</v>
      </c>
      <c r="I51" s="6">
        <f t="shared" si="11"/>
        <v>3574515</v>
      </c>
      <c r="J51" s="6">
        <f t="shared" si="11"/>
        <v>55</v>
      </c>
      <c r="K51" s="6">
        <f t="shared" si="11"/>
        <v>64991.18</v>
      </c>
    </row>
    <row r="52" spans="1:11" s="6" customFormat="1" x14ac:dyDescent="0.2">
      <c r="A52" s="132"/>
      <c r="B52" s="6" t="str">
        <f t="shared" si="11"/>
        <v>4) คณะศิลปกรรมศาสตร์</v>
      </c>
      <c r="C52" s="6" t="s">
        <v>72</v>
      </c>
      <c r="D52" s="6">
        <f t="shared" si="11"/>
        <v>25000</v>
      </c>
      <c r="E52" s="6">
        <f t="shared" si="11"/>
        <v>515000</v>
      </c>
      <c r="F52" s="6">
        <f t="shared" si="11"/>
        <v>5974987</v>
      </c>
      <c r="G52" s="6">
        <f t="shared" si="11"/>
        <v>6489987</v>
      </c>
      <c r="H52" s="6">
        <f t="shared" si="11"/>
        <v>575000</v>
      </c>
      <c r="I52" s="6">
        <f t="shared" si="11"/>
        <v>7064987</v>
      </c>
      <c r="J52" s="6">
        <f t="shared" si="11"/>
        <v>51</v>
      </c>
      <c r="K52" s="6">
        <f t="shared" si="11"/>
        <v>138529.16</v>
      </c>
    </row>
    <row r="53" spans="1:11" s="6" customFormat="1" x14ac:dyDescent="0.2">
      <c r="A53" s="132"/>
      <c r="B53" s="6" t="str">
        <f t="shared" si="11"/>
        <v>5) วิทยาลัยนวัตกรรมและการจัดการ</v>
      </c>
      <c r="C53" s="6" t="s">
        <v>73</v>
      </c>
      <c r="D53" s="6">
        <f t="shared" si="11"/>
        <v>25000</v>
      </c>
      <c r="E53" s="6">
        <f t="shared" si="11"/>
        <v>573380</v>
      </c>
      <c r="F53" s="6">
        <f t="shared" si="11"/>
        <v>9029340.25</v>
      </c>
      <c r="G53" s="6">
        <f t="shared" si="11"/>
        <v>9602720.25</v>
      </c>
      <c r="H53" s="6">
        <f t="shared" si="11"/>
        <v>15045488</v>
      </c>
      <c r="I53" s="6">
        <f t="shared" si="11"/>
        <v>24648208.25</v>
      </c>
      <c r="J53" s="6">
        <f t="shared" si="11"/>
        <v>100</v>
      </c>
      <c r="K53" s="6">
        <f t="shared" si="11"/>
        <v>246482.08</v>
      </c>
    </row>
    <row r="54" spans="1:11" s="6" customFormat="1" x14ac:dyDescent="0.2">
      <c r="A54" s="132"/>
      <c r="B54" s="6" t="str">
        <f t="shared" si="11"/>
        <v>6) วิทยาลัยโลจิสติกส์และซัพพลายเชน</v>
      </c>
      <c r="C54" s="6" t="s">
        <v>74</v>
      </c>
      <c r="D54" s="6">
        <f t="shared" si="11"/>
        <v>25000</v>
      </c>
      <c r="E54" s="6">
        <f t="shared" si="11"/>
        <v>305650</v>
      </c>
      <c r="F54" s="6">
        <f t="shared" si="11"/>
        <v>169149</v>
      </c>
      <c r="G54" s="6">
        <f t="shared" si="11"/>
        <v>474799</v>
      </c>
      <c r="H54" s="6">
        <f t="shared" si="11"/>
        <v>1395000</v>
      </c>
      <c r="I54" s="6">
        <f t="shared" si="11"/>
        <v>1869799</v>
      </c>
      <c r="J54" s="6">
        <f t="shared" si="11"/>
        <v>47</v>
      </c>
      <c r="K54" s="6">
        <f t="shared" si="11"/>
        <v>39782.959999999999</v>
      </c>
    </row>
    <row r="55" spans="1:11" s="6" customFormat="1" x14ac:dyDescent="0.2">
      <c r="A55" s="132"/>
      <c r="B55" s="6" t="str">
        <f t="shared" si="11"/>
        <v>7) วิทยาลัยการเมืองและการปกครอง</v>
      </c>
      <c r="C55" s="6" t="s">
        <v>75</v>
      </c>
      <c r="D55" s="6">
        <f t="shared" si="11"/>
        <v>25000</v>
      </c>
      <c r="E55" s="6">
        <f t="shared" si="11"/>
        <v>298690</v>
      </c>
      <c r="F55" s="6">
        <f t="shared" si="11"/>
        <v>2676284.75</v>
      </c>
      <c r="G55" s="6">
        <f t="shared" si="11"/>
        <v>2974974.75</v>
      </c>
      <c r="H55" s="6">
        <f t="shared" si="11"/>
        <v>2155712</v>
      </c>
      <c r="I55" s="6">
        <f t="shared" si="11"/>
        <v>5130686.75</v>
      </c>
      <c r="J55" s="6">
        <f t="shared" si="11"/>
        <v>65</v>
      </c>
      <c r="K55" s="6">
        <f t="shared" si="11"/>
        <v>78933.64</v>
      </c>
    </row>
    <row r="56" spans="1:11" s="6" customFormat="1" x14ac:dyDescent="0.2">
      <c r="A56" s="132"/>
      <c r="B56" s="6" t="str">
        <f t="shared" si="11"/>
        <v>8) วิทยาลัยการจัดการอุตสาหกรรมบริการ</v>
      </c>
      <c r="C56" s="6" t="s">
        <v>76</v>
      </c>
      <c r="D56" s="6">
        <f t="shared" si="11"/>
        <v>25000</v>
      </c>
      <c r="E56" s="6">
        <f t="shared" si="11"/>
        <v>178630</v>
      </c>
      <c r="F56" s="6">
        <f t="shared" si="11"/>
        <v>1128100</v>
      </c>
      <c r="G56" s="6">
        <f t="shared" si="11"/>
        <v>1306730</v>
      </c>
      <c r="H56" s="6">
        <f t="shared" si="11"/>
        <v>7077664</v>
      </c>
      <c r="I56" s="6">
        <f t="shared" si="11"/>
        <v>8384394</v>
      </c>
      <c r="J56" s="6">
        <f t="shared" si="11"/>
        <v>58</v>
      </c>
      <c r="K56" s="6">
        <f t="shared" si="11"/>
        <v>144558.51999999999</v>
      </c>
    </row>
    <row r="57" spans="1:11" s="6" customFormat="1" x14ac:dyDescent="0.2">
      <c r="A57" s="132"/>
      <c r="B57" s="6" t="str">
        <f t="shared" si="11"/>
        <v>9) วิทยาลัยนิเทศศาสตร์</v>
      </c>
      <c r="C57" s="6" t="s">
        <v>77</v>
      </c>
      <c r="D57" s="6">
        <f t="shared" si="11"/>
        <v>25000</v>
      </c>
      <c r="E57" s="6">
        <f t="shared" si="11"/>
        <v>135525</v>
      </c>
      <c r="F57" s="6">
        <f t="shared" si="11"/>
        <v>33655</v>
      </c>
      <c r="G57" s="6">
        <f t="shared" si="11"/>
        <v>169180</v>
      </c>
      <c r="H57" s="6">
        <f t="shared" si="11"/>
        <v>5842075</v>
      </c>
      <c r="I57" s="6">
        <f t="shared" si="11"/>
        <v>6011255</v>
      </c>
      <c r="J57" s="6">
        <f t="shared" si="11"/>
        <v>43</v>
      </c>
      <c r="K57" s="6">
        <f t="shared" si="11"/>
        <v>139796.63</v>
      </c>
    </row>
    <row r="58" spans="1:11" s="6" customFormat="1" x14ac:dyDescent="0.2">
      <c r="A58" s="132"/>
      <c r="B58" s="6" t="str">
        <f t="shared" si="11"/>
        <v>10.1) บัณฑิตวิทยาลัย (กลุ่มมนุษยศาสตร์ฯ)</v>
      </c>
      <c r="C58" s="6" t="s">
        <v>78</v>
      </c>
      <c r="D58" s="6">
        <f t="shared" si="11"/>
        <v>25000</v>
      </c>
      <c r="E58" s="6">
        <f t="shared" si="11"/>
        <v>138100</v>
      </c>
      <c r="F58" s="6">
        <f t="shared" si="11"/>
        <v>0</v>
      </c>
      <c r="G58" s="6">
        <f t="shared" si="11"/>
        <v>138100</v>
      </c>
      <c r="H58" s="6">
        <f t="shared" si="11"/>
        <v>1795000</v>
      </c>
      <c r="I58" s="6">
        <f t="shared" si="11"/>
        <v>1933100</v>
      </c>
      <c r="J58" s="6">
        <f t="shared" si="11"/>
        <v>63</v>
      </c>
      <c r="K58" s="6">
        <f t="shared" si="11"/>
        <v>30684.13</v>
      </c>
    </row>
    <row r="59" spans="1:11" s="6" customFormat="1" x14ac:dyDescent="0.2">
      <c r="A59" s="132"/>
      <c r="B59" s="6" t="str">
        <f t="shared" si="11"/>
        <v>11) ศูนย์การศึกษาจังหวัดอุดรธานี</v>
      </c>
      <c r="C59" s="6" t="s">
        <v>79</v>
      </c>
      <c r="D59" s="6">
        <f t="shared" si="11"/>
        <v>25000</v>
      </c>
      <c r="E59" s="6">
        <f t="shared" si="11"/>
        <v>196200</v>
      </c>
      <c r="F59" s="6">
        <f t="shared" si="11"/>
        <v>0</v>
      </c>
      <c r="G59" s="6">
        <f t="shared" si="11"/>
        <v>196200</v>
      </c>
      <c r="H59" s="6">
        <f t="shared" si="11"/>
        <v>733644</v>
      </c>
      <c r="I59" s="6">
        <f t="shared" si="11"/>
        <v>929844</v>
      </c>
      <c r="J59" s="6">
        <f t="shared" si="11"/>
        <v>22</v>
      </c>
      <c r="K59" s="6">
        <f t="shared" si="11"/>
        <v>42265.64</v>
      </c>
    </row>
    <row r="60" spans="1:11" s="6" customFormat="1" hidden="1" x14ac:dyDescent="0.2">
      <c r="A60" s="132"/>
      <c r="B60" s="6" t="str">
        <f t="shared" si="11"/>
        <v>11.1) วิทยาลัยการเมืองการปกครอง</v>
      </c>
      <c r="C60" s="6">
        <f t="shared" si="11"/>
        <v>0</v>
      </c>
      <c r="D60" s="6">
        <f t="shared" si="11"/>
        <v>0</v>
      </c>
      <c r="E60" s="6">
        <f t="shared" si="11"/>
        <v>54100</v>
      </c>
      <c r="F60" s="6">
        <f t="shared" si="11"/>
        <v>0</v>
      </c>
      <c r="G60" s="6">
        <f t="shared" si="11"/>
        <v>54100</v>
      </c>
      <c r="H60" s="6">
        <f t="shared" si="11"/>
        <v>684548</v>
      </c>
      <c r="I60" s="6">
        <f t="shared" si="11"/>
        <v>0</v>
      </c>
      <c r="J60" s="6">
        <f t="shared" si="11"/>
        <v>0</v>
      </c>
      <c r="K60" s="6">
        <f t="shared" si="11"/>
        <v>0</v>
      </c>
    </row>
    <row r="61" spans="1:11" s="6" customFormat="1" hidden="1" x14ac:dyDescent="0.2">
      <c r="A61" s="132"/>
      <c r="B61" s="6" t="str">
        <f t="shared" ref="B61:K63" si="12">B20</f>
        <v>11.2) วิทยาลัยการจัดการอุตสาหกรรมบริการ</v>
      </c>
      <c r="C61" s="6">
        <f t="shared" si="12"/>
        <v>0</v>
      </c>
      <c r="D61" s="6">
        <f t="shared" si="12"/>
        <v>0</v>
      </c>
      <c r="E61" s="6">
        <f t="shared" si="12"/>
        <v>70900</v>
      </c>
      <c r="F61" s="6">
        <f t="shared" si="12"/>
        <v>0</v>
      </c>
      <c r="G61" s="6">
        <f t="shared" si="12"/>
        <v>70900</v>
      </c>
      <c r="H61" s="6">
        <f t="shared" si="12"/>
        <v>39548</v>
      </c>
      <c r="I61" s="6">
        <f t="shared" si="12"/>
        <v>0</v>
      </c>
      <c r="J61" s="6">
        <f t="shared" si="12"/>
        <v>0</v>
      </c>
      <c r="K61" s="6">
        <f t="shared" si="12"/>
        <v>0</v>
      </c>
    </row>
    <row r="62" spans="1:11" s="6" customFormat="1" hidden="1" x14ac:dyDescent="0.2">
      <c r="A62" s="132"/>
      <c r="B62" s="6" t="str">
        <f t="shared" si="12"/>
        <v>11.3) วิทยาลัยนวัตกรรมและการจัดการ</v>
      </c>
      <c r="C62" s="6">
        <f t="shared" si="12"/>
        <v>0</v>
      </c>
      <c r="D62" s="6">
        <f t="shared" si="12"/>
        <v>0</v>
      </c>
      <c r="E62" s="6">
        <f t="shared" si="12"/>
        <v>41000</v>
      </c>
      <c r="F62" s="6">
        <f t="shared" si="12"/>
        <v>0</v>
      </c>
      <c r="G62" s="6">
        <f t="shared" si="12"/>
        <v>41000</v>
      </c>
      <c r="H62" s="6">
        <f t="shared" si="12"/>
        <v>9548</v>
      </c>
      <c r="I62" s="6">
        <f t="shared" si="12"/>
        <v>0</v>
      </c>
      <c r="J62" s="6">
        <f t="shared" si="12"/>
        <v>0</v>
      </c>
      <c r="K62" s="6">
        <f t="shared" si="12"/>
        <v>0</v>
      </c>
    </row>
    <row r="63" spans="1:11" s="6" customFormat="1" hidden="1" x14ac:dyDescent="0.2">
      <c r="A63" s="132"/>
      <c r="B63" s="6" t="str">
        <f t="shared" si="12"/>
        <v>11.4) วิทยาลัยโลจิสติกส์และซัพพลายเชน</v>
      </c>
      <c r="C63" s="6">
        <f t="shared" si="12"/>
        <v>0</v>
      </c>
      <c r="D63" s="6">
        <f t="shared" si="12"/>
        <v>0</v>
      </c>
      <c r="E63" s="6">
        <f t="shared" si="12"/>
        <v>30200</v>
      </c>
      <c r="F63" s="6">
        <f t="shared" si="12"/>
        <v>0</v>
      </c>
      <c r="G63" s="6">
        <f t="shared" si="12"/>
        <v>30200</v>
      </c>
      <c r="H63" s="6">
        <f t="shared" si="12"/>
        <v>0</v>
      </c>
      <c r="I63" s="6">
        <f t="shared" si="12"/>
        <v>0</v>
      </c>
      <c r="J63" s="6">
        <f t="shared" si="12"/>
        <v>0</v>
      </c>
      <c r="K63" s="6">
        <f t="shared" si="12"/>
        <v>0</v>
      </c>
    </row>
    <row r="64" spans="1:11" s="6" customFormat="1" hidden="1" x14ac:dyDescent="0.2">
      <c r="A64" s="6" t="str">
        <f t="shared" ref="A64:K68" si="13">A23</f>
        <v>2.กลุ่มสาขาวิชาวิทยาศาสตร์และเทคโนโลยี</v>
      </c>
      <c r="B64" s="6">
        <f t="shared" si="13"/>
        <v>0</v>
      </c>
      <c r="C64" s="6">
        <f t="shared" si="13"/>
        <v>0</v>
      </c>
      <c r="D64" s="6">
        <f t="shared" si="13"/>
        <v>60000</v>
      </c>
      <c r="E64" s="6">
        <f t="shared" si="13"/>
        <v>860270</v>
      </c>
      <c r="F64" s="6">
        <f t="shared" si="13"/>
        <v>9131869.0500000007</v>
      </c>
      <c r="G64" s="6">
        <f t="shared" si="13"/>
        <v>9992139.0500000007</v>
      </c>
      <c r="H64" s="6">
        <f t="shared" si="13"/>
        <v>117477255.5</v>
      </c>
      <c r="I64" s="6">
        <f t="shared" si="13"/>
        <v>127469394.55</v>
      </c>
      <c r="J64" s="6">
        <f t="shared" si="13"/>
        <v>182</v>
      </c>
      <c r="K64" s="6">
        <f t="shared" si="13"/>
        <v>700381.29</v>
      </c>
    </row>
    <row r="65" spans="1:11" s="6" customFormat="1" x14ac:dyDescent="0.2">
      <c r="A65" s="133" t="s">
        <v>39</v>
      </c>
      <c r="B65" s="6" t="str">
        <f t="shared" si="13"/>
        <v>10.2)  บัณฑิตวิทยาลัย (กลุ่มวิทยาศาสตร์ฯ)</v>
      </c>
      <c r="C65" s="6" t="s">
        <v>80</v>
      </c>
      <c r="D65" s="6">
        <f t="shared" si="13"/>
        <v>60000</v>
      </c>
      <c r="E65" s="6">
        <f t="shared" si="13"/>
        <v>19600</v>
      </c>
      <c r="F65" s="6">
        <f t="shared" si="13"/>
        <v>0</v>
      </c>
      <c r="G65" s="6">
        <f t="shared" si="13"/>
        <v>19600</v>
      </c>
      <c r="H65" s="6">
        <f t="shared" si="13"/>
        <v>500000</v>
      </c>
      <c r="I65" s="6">
        <f t="shared" si="13"/>
        <v>519600</v>
      </c>
      <c r="J65" s="6">
        <f t="shared" si="13"/>
        <v>14</v>
      </c>
      <c r="K65" s="6">
        <f t="shared" si="13"/>
        <v>37114.29</v>
      </c>
    </row>
    <row r="66" spans="1:11" s="6" customFormat="1" x14ac:dyDescent="0.2">
      <c r="A66" s="133"/>
      <c r="B66" s="6" t="str">
        <f t="shared" si="13"/>
        <v>12) คณะวิทยาศาสตร์และเทคโนโลยี</v>
      </c>
      <c r="C66" s="6" t="s">
        <v>81</v>
      </c>
      <c r="D66" s="6">
        <f t="shared" si="13"/>
        <v>60000</v>
      </c>
      <c r="E66" s="6">
        <f t="shared" si="13"/>
        <v>599460</v>
      </c>
      <c r="F66" s="6">
        <f t="shared" si="13"/>
        <v>5991146.0499999998</v>
      </c>
      <c r="G66" s="6">
        <f t="shared" si="13"/>
        <v>6590606.0499999998</v>
      </c>
      <c r="H66" s="6">
        <f t="shared" si="13"/>
        <v>81852722.5</v>
      </c>
      <c r="I66" s="6">
        <f t="shared" si="13"/>
        <v>88443328.549999997</v>
      </c>
      <c r="J66" s="6">
        <f t="shared" si="13"/>
        <v>105</v>
      </c>
      <c r="K66" s="6">
        <f t="shared" si="13"/>
        <v>842317.41</v>
      </c>
    </row>
    <row r="67" spans="1:11" s="6" customFormat="1" x14ac:dyDescent="0.2">
      <c r="A67" s="133"/>
      <c r="B67" s="6" t="str">
        <f t="shared" si="13"/>
        <v>13) คณะเทคโนโลยีอุตสาหกรรม</v>
      </c>
      <c r="C67" s="6" t="s">
        <v>82</v>
      </c>
      <c r="D67" s="6">
        <f t="shared" si="13"/>
        <v>60000</v>
      </c>
      <c r="E67" s="6">
        <f t="shared" si="13"/>
        <v>228410</v>
      </c>
      <c r="F67" s="6">
        <f t="shared" si="13"/>
        <v>3029373</v>
      </c>
      <c r="G67" s="6">
        <f t="shared" si="13"/>
        <v>3257783</v>
      </c>
      <c r="H67" s="6">
        <f t="shared" si="13"/>
        <v>31694533</v>
      </c>
      <c r="I67" s="6">
        <f t="shared" si="13"/>
        <v>34952316</v>
      </c>
      <c r="J67" s="6">
        <f t="shared" si="13"/>
        <v>52</v>
      </c>
      <c r="K67" s="6">
        <f t="shared" si="13"/>
        <v>672159.92</v>
      </c>
    </row>
    <row r="68" spans="1:11" s="6" customFormat="1" x14ac:dyDescent="0.2">
      <c r="A68" s="133"/>
      <c r="B68" s="6" t="str">
        <f>B27</f>
        <v xml:space="preserve">   14) วิทยาลัยสถาปัตยกรรมศาสตร์</v>
      </c>
      <c r="C68" s="6" t="s">
        <v>83</v>
      </c>
      <c r="D68" s="6">
        <f t="shared" si="13"/>
        <v>60000</v>
      </c>
      <c r="E68" s="6">
        <f t="shared" si="13"/>
        <v>12800</v>
      </c>
      <c r="F68" s="6">
        <f t="shared" si="13"/>
        <v>111350</v>
      </c>
      <c r="G68" s="6">
        <f t="shared" si="13"/>
        <v>124150</v>
      </c>
      <c r="H68" s="6">
        <f t="shared" si="13"/>
        <v>3430000</v>
      </c>
      <c r="I68" s="6">
        <f t="shared" si="13"/>
        <v>3554150</v>
      </c>
      <c r="J68" s="6">
        <f t="shared" si="13"/>
        <v>11</v>
      </c>
      <c r="K68" s="6">
        <f t="shared" si="13"/>
        <v>323104.55</v>
      </c>
    </row>
    <row r="69" spans="1:11" s="6" customFormat="1" hidden="1" x14ac:dyDescent="0.2">
      <c r="B69" s="6">
        <f t="shared" ref="B69:K70" si="14">B28</f>
        <v>0</v>
      </c>
      <c r="C69" s="6">
        <f t="shared" si="14"/>
        <v>0</v>
      </c>
      <c r="D69" s="6">
        <f t="shared" si="14"/>
        <v>50000</v>
      </c>
      <c r="E69" s="6">
        <f t="shared" si="14"/>
        <v>356450</v>
      </c>
      <c r="F69" s="6">
        <f t="shared" si="14"/>
        <v>10960744.149999999</v>
      </c>
      <c r="G69" s="6">
        <f t="shared" si="14"/>
        <v>11317194.149999999</v>
      </c>
      <c r="H69" s="6">
        <f t="shared" si="14"/>
        <v>75000</v>
      </c>
      <c r="I69" s="6">
        <f t="shared" si="14"/>
        <v>11392194.149999999</v>
      </c>
      <c r="J69" s="6">
        <f t="shared" si="14"/>
        <v>102</v>
      </c>
      <c r="K69" s="6">
        <f t="shared" si="14"/>
        <v>111688.18</v>
      </c>
    </row>
    <row r="70" spans="1:11" s="6" customFormat="1" x14ac:dyDescent="0.2">
      <c r="A70" s="6" t="s">
        <v>84</v>
      </c>
      <c r="B70" s="6" t="str">
        <f t="shared" si="14"/>
        <v>15) วิทยาลัยพยาบาลและสุขภาพ</v>
      </c>
      <c r="C70" s="6" t="s">
        <v>85</v>
      </c>
      <c r="D70" s="6">
        <f t="shared" si="14"/>
        <v>50000</v>
      </c>
      <c r="E70" s="6">
        <f t="shared" si="14"/>
        <v>88100</v>
      </c>
      <c r="F70" s="6">
        <f t="shared" si="14"/>
        <v>3165900</v>
      </c>
      <c r="G70" s="6">
        <f t="shared" si="14"/>
        <v>3254000</v>
      </c>
      <c r="H70" s="6">
        <f t="shared" si="14"/>
        <v>0</v>
      </c>
      <c r="I70" s="6">
        <f t="shared" si="14"/>
        <v>3254000</v>
      </c>
      <c r="J70" s="6">
        <f t="shared" si="14"/>
        <v>43</v>
      </c>
      <c r="K70" s="6">
        <f t="shared" si="14"/>
        <v>75674.42</v>
      </c>
    </row>
    <row r="71" spans="1:11" s="6" customFormat="1" x14ac:dyDescent="0.2">
      <c r="A71" s="6">
        <f t="shared" ref="A71:K72" si="15">A30</f>
        <v>2</v>
      </c>
      <c r="B71" s="6" t="str">
        <f t="shared" si="15"/>
        <v>16) วิทยาลัยสหเวชศาสตร์</v>
      </c>
      <c r="C71" s="6" t="s">
        <v>86</v>
      </c>
      <c r="D71" s="6">
        <f t="shared" si="15"/>
        <v>50000</v>
      </c>
      <c r="E71" s="6">
        <f t="shared" si="15"/>
        <v>268350</v>
      </c>
      <c r="F71" s="6">
        <f t="shared" si="15"/>
        <v>7794844.1499999994</v>
      </c>
      <c r="G71" s="6">
        <f t="shared" si="15"/>
        <v>8063194.1499999994</v>
      </c>
      <c r="H71" s="6">
        <f t="shared" si="15"/>
        <v>75000</v>
      </c>
      <c r="I71" s="6">
        <f t="shared" si="15"/>
        <v>8138194.1499999994</v>
      </c>
      <c r="J71" s="6">
        <f t="shared" si="15"/>
        <v>59</v>
      </c>
      <c r="K71" s="6">
        <f t="shared" si="15"/>
        <v>137935.49</v>
      </c>
    </row>
    <row r="72" spans="1:11" s="6" customFormat="1" x14ac:dyDescent="0.2">
      <c r="A72" s="6" t="s">
        <v>87</v>
      </c>
      <c r="B72" s="6">
        <f t="shared" si="15"/>
        <v>0</v>
      </c>
      <c r="C72" s="6" t="s">
        <v>87</v>
      </c>
      <c r="D72" s="6">
        <f t="shared" si="15"/>
        <v>0</v>
      </c>
      <c r="E72" s="6">
        <f t="shared" si="15"/>
        <v>4145230</v>
      </c>
      <c r="F72" s="6">
        <f t="shared" si="15"/>
        <v>41706330</v>
      </c>
      <c r="G72" s="6">
        <f t="shared" si="15"/>
        <v>45851560</v>
      </c>
      <c r="H72" s="6">
        <f t="shared" si="15"/>
        <v>159709544</v>
      </c>
      <c r="I72" s="6">
        <f t="shared" si="15"/>
        <v>205561104</v>
      </c>
      <c r="J72" s="6">
        <f t="shared" si="15"/>
        <v>894</v>
      </c>
      <c r="K72" s="6">
        <f t="shared" si="15"/>
        <v>229934.12</v>
      </c>
    </row>
    <row r="73" spans="1:11" s="6" customFormat="1" x14ac:dyDescent="0.2">
      <c r="A73" s="6">
        <f t="shared" ref="A73:K73" si="16">A32</f>
        <v>0</v>
      </c>
      <c r="B73" s="6" t="str">
        <f t="shared" si="16"/>
        <v>10) บัณฑิตวิทยาลัย (กลุ่มมนุษยศาสตร์ฯ+วิทยาศาสตร์ฯ)</v>
      </c>
      <c r="C73" s="6">
        <f t="shared" si="16"/>
        <v>0</v>
      </c>
      <c r="D73" s="6">
        <f t="shared" si="16"/>
        <v>0</v>
      </c>
      <c r="E73" s="6">
        <f t="shared" si="16"/>
        <v>157700</v>
      </c>
      <c r="F73" s="6">
        <f t="shared" si="16"/>
        <v>0</v>
      </c>
      <c r="G73" s="6">
        <f t="shared" si="16"/>
        <v>157700</v>
      </c>
      <c r="H73" s="6">
        <f t="shared" si="16"/>
        <v>2295000</v>
      </c>
      <c r="I73" s="6">
        <f t="shared" si="16"/>
        <v>2452700</v>
      </c>
      <c r="J73" s="6">
        <f t="shared" si="16"/>
        <v>77</v>
      </c>
      <c r="K73" s="6">
        <f t="shared" si="16"/>
        <v>31853.25</v>
      </c>
    </row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ht="48" x14ac:dyDescent="0.2">
      <c r="A78" s="6" t="s">
        <v>88</v>
      </c>
      <c r="I78" s="6" t="s">
        <v>66</v>
      </c>
      <c r="J78" s="131" t="s">
        <v>67</v>
      </c>
      <c r="K78" s="6" t="s">
        <v>68</v>
      </c>
    </row>
    <row r="79" spans="1:11" s="6" customFormat="1" x14ac:dyDescent="0.2">
      <c r="A79" s="6" t="s">
        <v>89</v>
      </c>
      <c r="I79" s="134">
        <f t="shared" ref="I79:K79" si="17">I7</f>
        <v>66699515.299999997</v>
      </c>
      <c r="J79" s="134">
        <f t="shared" si="17"/>
        <v>610</v>
      </c>
      <c r="K79" s="134">
        <f t="shared" si="17"/>
        <v>109343.47</v>
      </c>
    </row>
    <row r="80" spans="1:11" s="6" customFormat="1" x14ac:dyDescent="0.2">
      <c r="A80" s="6" t="s">
        <v>90</v>
      </c>
      <c r="I80" s="134">
        <f t="shared" ref="I80:K80" si="18">I23</f>
        <v>127469394.55</v>
      </c>
      <c r="J80" s="134">
        <f t="shared" si="18"/>
        <v>182</v>
      </c>
      <c r="K80" s="134">
        <f t="shared" si="18"/>
        <v>700381.29</v>
      </c>
    </row>
    <row r="81" spans="1:11" s="6" customFormat="1" x14ac:dyDescent="0.2">
      <c r="A81" s="6" t="s">
        <v>91</v>
      </c>
      <c r="I81" s="134">
        <f t="shared" ref="I81:K81" si="19">I28</f>
        <v>11392194.149999999</v>
      </c>
      <c r="J81" s="134">
        <f t="shared" si="19"/>
        <v>102</v>
      </c>
      <c r="K81" s="134">
        <f t="shared" si="19"/>
        <v>111688.18</v>
      </c>
    </row>
    <row r="82" spans="1:11" s="6" customFormat="1" x14ac:dyDescent="0.2"/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</sheetData>
  <mergeCells count="48">
    <mergeCell ref="A31:C31"/>
    <mergeCell ref="B32:C32"/>
    <mergeCell ref="A34:B35"/>
    <mergeCell ref="C34:J35"/>
    <mergeCell ref="A49:A63"/>
    <mergeCell ref="A65:A68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A23:C23"/>
    <mergeCell ref="B24:C24"/>
    <mergeCell ref="B13:C13"/>
    <mergeCell ref="B14:C14"/>
    <mergeCell ref="B15:C15"/>
    <mergeCell ref="B16:C16"/>
    <mergeCell ref="B17:C17"/>
    <mergeCell ref="B18:C18"/>
    <mergeCell ref="A7:C7"/>
    <mergeCell ref="B8:C8"/>
    <mergeCell ref="B9:C9"/>
    <mergeCell ref="B10:C10"/>
    <mergeCell ref="B11:C11"/>
    <mergeCell ref="B12:C12"/>
    <mergeCell ref="L4:L6"/>
    <mergeCell ref="M4:M6"/>
    <mergeCell ref="N4:N6"/>
    <mergeCell ref="O4:O6"/>
    <mergeCell ref="E5:G5"/>
    <mergeCell ref="I5:I6"/>
    <mergeCell ref="A4:A6"/>
    <mergeCell ref="B4:C6"/>
    <mergeCell ref="D4:D6"/>
    <mergeCell ref="E4:I4"/>
    <mergeCell ref="J4:J6"/>
    <mergeCell ref="K4:K6"/>
    <mergeCell ref="A1:B1"/>
    <mergeCell ref="C1:K1"/>
    <mergeCell ref="L1:M1"/>
    <mergeCell ref="A2:B2"/>
    <mergeCell ref="L2:M2"/>
    <mergeCell ref="E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L2:O2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247"/>
  <sheetViews>
    <sheetView zoomScale="60" zoomScaleNormal="60" workbookViewId="0">
      <pane xSplit="3" ySplit="5" topLeftCell="J6" activePane="bottomRight" state="frozen"/>
      <selection activeCell="O29" sqref="O29:O30"/>
      <selection pane="topRight" activeCell="O29" sqref="O29:O30"/>
      <selection pane="bottomLeft" activeCell="O29" sqref="O29:O30"/>
      <selection pane="bottomRight" activeCell="O29" sqref="O29:O30"/>
    </sheetView>
  </sheetViews>
  <sheetFormatPr defaultColWidth="9" defaultRowHeight="24" x14ac:dyDescent="0.2"/>
  <cols>
    <col min="1" max="1" width="8.875" style="492" bestFit="1" customWidth="1"/>
    <col min="2" max="2" width="19.625" style="492" customWidth="1"/>
    <col min="3" max="3" width="18.625" style="492" customWidth="1"/>
    <col min="4" max="4" width="21.75" style="492" customWidth="1"/>
    <col min="5" max="5" width="11.625" style="492" customWidth="1"/>
    <col min="6" max="6" width="12.625" style="492" customWidth="1"/>
    <col min="7" max="7" width="24.625" style="141" customWidth="1"/>
    <col min="8" max="8" width="14" style="147" customWidth="1"/>
    <col min="9" max="9" width="45.375" style="141" customWidth="1"/>
    <col min="10" max="10" width="46.875" style="141" customWidth="1"/>
    <col min="11" max="11" width="14.625" style="141" customWidth="1"/>
    <col min="12" max="12" width="28.125" style="141" customWidth="1"/>
    <col min="13" max="13" width="23.875" style="147" customWidth="1"/>
    <col min="14" max="14" width="12" style="141" bestFit="1" customWidth="1"/>
    <col min="15" max="15" width="11" style="141" bestFit="1" customWidth="1"/>
    <col min="16" max="67" width="9" style="141"/>
    <col min="68" max="16384" width="9" style="492"/>
  </cols>
  <sheetData>
    <row r="1" spans="1:14" ht="30.75" x14ac:dyDescent="0.2">
      <c r="A1" s="136"/>
      <c r="B1" s="137" t="s">
        <v>92</v>
      </c>
      <c r="C1" s="138" t="s">
        <v>1</v>
      </c>
      <c r="D1" s="138"/>
      <c r="E1" s="138"/>
      <c r="F1" s="138"/>
      <c r="G1" s="139"/>
      <c r="H1" s="140"/>
      <c r="I1" s="138"/>
      <c r="J1" s="138"/>
      <c r="K1" s="138"/>
      <c r="L1" s="2" t="s">
        <v>2</v>
      </c>
      <c r="M1" s="4"/>
    </row>
    <row r="2" spans="1:14" ht="30.75" x14ac:dyDescent="0.2">
      <c r="A2" s="142"/>
      <c r="B2" s="143" t="s">
        <v>3</v>
      </c>
      <c r="C2" s="144" t="s">
        <v>4</v>
      </c>
      <c r="D2" s="144"/>
      <c r="E2" s="144"/>
      <c r="F2" s="144"/>
      <c r="G2" s="144"/>
      <c r="H2" s="145"/>
      <c r="I2" s="144"/>
      <c r="J2" s="144"/>
      <c r="K2" s="144"/>
      <c r="L2" s="8" t="s">
        <v>5</v>
      </c>
      <c r="M2" s="12"/>
    </row>
    <row r="3" spans="1:14" s="141" customFormat="1" ht="24.75" customHeight="1" x14ac:dyDescent="0.2">
      <c r="A3" s="142"/>
      <c r="B3" s="146"/>
      <c r="C3" s="14" t="s">
        <v>7</v>
      </c>
      <c r="D3" s="14"/>
      <c r="E3" s="14" t="s">
        <v>93</v>
      </c>
      <c r="H3" s="147"/>
      <c r="M3" s="147"/>
    </row>
    <row r="4" spans="1:14" ht="60.75" customHeight="1" x14ac:dyDescent="0.2">
      <c r="A4" s="148" t="s">
        <v>10</v>
      </c>
      <c r="B4" s="149" t="s">
        <v>94</v>
      </c>
      <c r="C4" s="150"/>
      <c r="D4" s="151" t="s">
        <v>95</v>
      </c>
      <c r="E4" s="152" t="s">
        <v>96</v>
      </c>
      <c r="F4" s="153"/>
      <c r="G4" s="153"/>
      <c r="H4" s="154"/>
      <c r="I4" s="155" t="s">
        <v>97</v>
      </c>
      <c r="J4" s="156" t="s">
        <v>98</v>
      </c>
      <c r="K4" s="157" t="s">
        <v>99</v>
      </c>
      <c r="L4" s="158" t="s">
        <v>100</v>
      </c>
      <c r="M4" s="159" t="s">
        <v>101</v>
      </c>
    </row>
    <row r="5" spans="1:14" s="141" customFormat="1" ht="51" customHeight="1" x14ac:dyDescent="0.2">
      <c r="A5" s="160"/>
      <c r="B5" s="161"/>
      <c r="C5" s="162"/>
      <c r="D5" s="163"/>
      <c r="E5" s="164" t="s">
        <v>102</v>
      </c>
      <c r="F5" s="164" t="s">
        <v>103</v>
      </c>
      <c r="G5" s="165" t="s">
        <v>104</v>
      </c>
      <c r="H5" s="166" t="s">
        <v>105</v>
      </c>
      <c r="I5" s="167"/>
      <c r="J5" s="168"/>
      <c r="K5" s="169"/>
      <c r="L5" s="170"/>
      <c r="M5" s="171"/>
    </row>
    <row r="6" spans="1:14" s="141" customFormat="1" ht="22.5" customHeight="1" x14ac:dyDescent="0.2">
      <c r="A6" s="172">
        <v>1</v>
      </c>
      <c r="B6" s="173" t="s">
        <v>106</v>
      </c>
      <c r="C6" s="174"/>
      <c r="D6" s="175" t="s">
        <v>107</v>
      </c>
      <c r="E6" s="175"/>
      <c r="F6" s="175"/>
      <c r="G6" s="175"/>
      <c r="H6" s="175" t="s">
        <v>108</v>
      </c>
      <c r="I6" s="176" t="s">
        <v>109</v>
      </c>
      <c r="J6" s="177" t="s">
        <v>110</v>
      </c>
      <c r="K6" s="178">
        <f>10000*96%</f>
        <v>9600</v>
      </c>
      <c r="L6" s="179" t="s">
        <v>111</v>
      </c>
      <c r="M6" s="180" t="s">
        <v>112</v>
      </c>
      <c r="N6" s="181"/>
    </row>
    <row r="7" spans="1:14" s="141" customFormat="1" ht="22.5" customHeight="1" x14ac:dyDescent="0.2">
      <c r="A7" s="182"/>
      <c r="B7" s="183"/>
      <c r="C7" s="184"/>
      <c r="D7" s="185"/>
      <c r="E7" s="185"/>
      <c r="F7" s="185"/>
      <c r="G7" s="185"/>
      <c r="H7" s="185"/>
      <c r="I7" s="186" t="s">
        <v>113</v>
      </c>
      <c r="J7" s="187" t="s">
        <v>110</v>
      </c>
      <c r="K7" s="188">
        <f>10000*1%</f>
        <v>100</v>
      </c>
      <c r="L7" s="189"/>
      <c r="M7" s="190"/>
      <c r="N7" s="181"/>
    </row>
    <row r="8" spans="1:14" s="141" customFormat="1" ht="22.5" customHeight="1" x14ac:dyDescent="0.2">
      <c r="A8" s="182"/>
      <c r="B8" s="183"/>
      <c r="C8" s="184"/>
      <c r="D8" s="185"/>
      <c r="E8" s="185"/>
      <c r="F8" s="185"/>
      <c r="G8" s="185"/>
      <c r="H8" s="185"/>
      <c r="I8" s="186" t="s">
        <v>114</v>
      </c>
      <c r="J8" s="177" t="s">
        <v>110</v>
      </c>
      <c r="K8" s="188">
        <f>10000*1%</f>
        <v>100</v>
      </c>
      <c r="L8" s="189"/>
      <c r="M8" s="190"/>
    </row>
    <row r="9" spans="1:14" s="141" customFormat="1" ht="22.5" customHeight="1" x14ac:dyDescent="0.2">
      <c r="A9" s="182"/>
      <c r="B9" s="183"/>
      <c r="C9" s="184"/>
      <c r="D9" s="185"/>
      <c r="E9" s="185"/>
      <c r="F9" s="185"/>
      <c r="G9" s="185"/>
      <c r="H9" s="185"/>
      <c r="I9" s="186" t="s">
        <v>115</v>
      </c>
      <c r="J9" s="191" t="s">
        <v>110</v>
      </c>
      <c r="K9" s="188">
        <f>10000*1%</f>
        <v>100</v>
      </c>
      <c r="L9" s="189"/>
      <c r="M9" s="190"/>
      <c r="N9" s="181"/>
    </row>
    <row r="10" spans="1:14" s="141" customFormat="1" ht="22.5" customHeight="1" x14ac:dyDescent="0.2">
      <c r="A10" s="182"/>
      <c r="B10" s="183"/>
      <c r="C10" s="184"/>
      <c r="D10" s="185"/>
      <c r="E10" s="185"/>
      <c r="F10" s="185"/>
      <c r="G10" s="185"/>
      <c r="H10" s="185"/>
      <c r="I10" s="192" t="s">
        <v>116</v>
      </c>
      <c r="J10" s="191" t="s">
        <v>117</v>
      </c>
      <c r="K10" s="188">
        <f>10000*1%</f>
        <v>100</v>
      </c>
      <c r="L10" s="189"/>
      <c r="M10" s="190"/>
    </row>
    <row r="11" spans="1:14" s="141" customFormat="1" ht="22.5" customHeight="1" x14ac:dyDescent="0.2">
      <c r="A11" s="193"/>
      <c r="B11" s="194"/>
      <c r="C11" s="195"/>
      <c r="D11" s="196"/>
      <c r="E11" s="196"/>
      <c r="F11" s="196"/>
      <c r="G11" s="196"/>
      <c r="H11" s="196"/>
      <c r="I11" s="197"/>
      <c r="J11" s="198"/>
      <c r="K11" s="199">
        <f>SUM(K6:K10)</f>
        <v>10000</v>
      </c>
      <c r="L11" s="200"/>
      <c r="M11" s="201"/>
    </row>
    <row r="12" spans="1:14" s="141" customFormat="1" ht="23.25" customHeight="1" x14ac:dyDescent="0.2">
      <c r="A12" s="172">
        <v>2</v>
      </c>
      <c r="B12" s="173" t="s">
        <v>118</v>
      </c>
      <c r="C12" s="174"/>
      <c r="D12" s="175" t="s">
        <v>107</v>
      </c>
      <c r="E12" s="175"/>
      <c r="F12" s="175"/>
      <c r="G12" s="175"/>
      <c r="H12" s="175"/>
      <c r="I12" s="176" t="s">
        <v>119</v>
      </c>
      <c r="J12" s="202" t="s">
        <v>110</v>
      </c>
      <c r="K12" s="178">
        <f>3000*20%</f>
        <v>600</v>
      </c>
      <c r="L12" s="174" t="s">
        <v>111</v>
      </c>
      <c r="M12" s="180" t="s">
        <v>120</v>
      </c>
    </row>
    <row r="13" spans="1:14" s="141" customFormat="1" ht="23.25" customHeight="1" x14ac:dyDescent="0.2">
      <c r="A13" s="182"/>
      <c r="B13" s="183"/>
      <c r="C13" s="184"/>
      <c r="D13" s="185"/>
      <c r="E13" s="185"/>
      <c r="F13" s="185"/>
      <c r="G13" s="185"/>
      <c r="H13" s="185"/>
      <c r="I13" s="192" t="s">
        <v>121</v>
      </c>
      <c r="J13" s="177" t="s">
        <v>110</v>
      </c>
      <c r="K13" s="203">
        <f>3000*15%</f>
        <v>450</v>
      </c>
      <c r="L13" s="184"/>
      <c r="M13" s="190"/>
    </row>
    <row r="14" spans="1:14" s="141" customFormat="1" ht="23.25" customHeight="1" x14ac:dyDescent="0.2">
      <c r="A14" s="182"/>
      <c r="B14" s="183"/>
      <c r="C14" s="184"/>
      <c r="D14" s="185"/>
      <c r="E14" s="185"/>
      <c r="F14" s="185"/>
      <c r="G14" s="185"/>
      <c r="H14" s="185"/>
      <c r="I14" s="192" t="s">
        <v>122</v>
      </c>
      <c r="J14" s="191" t="s">
        <v>110</v>
      </c>
      <c r="K14" s="203">
        <f>3000*10%</f>
        <v>300</v>
      </c>
      <c r="L14" s="184"/>
      <c r="M14" s="190"/>
    </row>
    <row r="15" spans="1:14" s="141" customFormat="1" ht="23.25" customHeight="1" x14ac:dyDescent="0.2">
      <c r="A15" s="182"/>
      <c r="B15" s="183"/>
      <c r="C15" s="184"/>
      <c r="D15" s="185"/>
      <c r="E15" s="185"/>
      <c r="F15" s="185"/>
      <c r="G15" s="185"/>
      <c r="H15" s="185"/>
      <c r="I15" s="192" t="s">
        <v>123</v>
      </c>
      <c r="J15" s="191" t="s">
        <v>110</v>
      </c>
      <c r="K15" s="203">
        <f>3000*15%</f>
        <v>450</v>
      </c>
      <c r="L15" s="184"/>
      <c r="M15" s="190"/>
    </row>
    <row r="16" spans="1:14" s="141" customFormat="1" ht="23.25" customHeight="1" x14ac:dyDescent="0.2">
      <c r="A16" s="182"/>
      <c r="B16" s="183"/>
      <c r="C16" s="184"/>
      <c r="D16" s="185"/>
      <c r="E16" s="185"/>
      <c r="F16" s="185"/>
      <c r="G16" s="185"/>
      <c r="H16" s="185"/>
      <c r="I16" s="176" t="s">
        <v>124</v>
      </c>
      <c r="J16" s="191" t="s">
        <v>110</v>
      </c>
      <c r="K16" s="203">
        <f>3000*10%</f>
        <v>300</v>
      </c>
      <c r="L16" s="184"/>
      <c r="M16" s="190"/>
    </row>
    <row r="17" spans="1:13" s="141" customFormat="1" ht="23.25" customHeight="1" x14ac:dyDescent="0.2">
      <c r="A17" s="182"/>
      <c r="B17" s="183"/>
      <c r="C17" s="184"/>
      <c r="D17" s="185"/>
      <c r="E17" s="185"/>
      <c r="F17" s="185"/>
      <c r="G17" s="185"/>
      <c r="H17" s="185"/>
      <c r="I17" s="186" t="s">
        <v>125</v>
      </c>
      <c r="J17" s="191" t="s">
        <v>126</v>
      </c>
      <c r="K17" s="203">
        <f>3000*10%</f>
        <v>300</v>
      </c>
      <c r="L17" s="184"/>
      <c r="M17" s="190"/>
    </row>
    <row r="18" spans="1:13" s="141" customFormat="1" ht="23.25" customHeight="1" x14ac:dyDescent="0.2">
      <c r="A18" s="182"/>
      <c r="B18" s="183"/>
      <c r="C18" s="184"/>
      <c r="D18" s="185"/>
      <c r="E18" s="185"/>
      <c r="F18" s="185"/>
      <c r="G18" s="185"/>
      <c r="H18" s="185"/>
      <c r="I18" s="186" t="s">
        <v>127</v>
      </c>
      <c r="J18" s="191" t="s">
        <v>110</v>
      </c>
      <c r="K18" s="204">
        <f>3000*10%</f>
        <v>300</v>
      </c>
      <c r="L18" s="184"/>
      <c r="M18" s="190"/>
    </row>
    <row r="19" spans="1:13" s="141" customFormat="1" ht="23.25" customHeight="1" x14ac:dyDescent="0.2">
      <c r="A19" s="182"/>
      <c r="B19" s="183"/>
      <c r="C19" s="184"/>
      <c r="D19" s="185"/>
      <c r="E19" s="185"/>
      <c r="F19" s="185"/>
      <c r="G19" s="185"/>
      <c r="H19" s="185"/>
      <c r="I19" s="186" t="s">
        <v>128</v>
      </c>
      <c r="J19" s="191" t="s">
        <v>117</v>
      </c>
      <c r="K19" s="205">
        <f>3000*10%</f>
        <v>300</v>
      </c>
      <c r="L19" s="184"/>
      <c r="M19" s="190"/>
    </row>
    <row r="20" spans="1:13" s="141" customFormat="1" ht="23.25" customHeight="1" x14ac:dyDescent="0.2">
      <c r="A20" s="193"/>
      <c r="B20" s="194"/>
      <c r="C20" s="195"/>
      <c r="D20" s="196"/>
      <c r="E20" s="196"/>
      <c r="F20" s="196"/>
      <c r="G20" s="196"/>
      <c r="H20" s="196"/>
      <c r="I20" s="206"/>
      <c r="J20" s="198"/>
      <c r="K20" s="207">
        <f>SUM(K12:K19)</f>
        <v>3000</v>
      </c>
      <c r="L20" s="195"/>
      <c r="M20" s="201"/>
    </row>
    <row r="21" spans="1:13" s="141" customFormat="1" ht="23.25" customHeight="1" x14ac:dyDescent="0.2">
      <c r="A21" s="172">
        <v>3</v>
      </c>
      <c r="B21" s="173" t="s">
        <v>129</v>
      </c>
      <c r="C21" s="174"/>
      <c r="D21" s="175" t="s">
        <v>107</v>
      </c>
      <c r="E21" s="175"/>
      <c r="F21" s="175"/>
      <c r="G21" s="175"/>
      <c r="H21" s="175" t="s">
        <v>108</v>
      </c>
      <c r="I21" s="176" t="s">
        <v>130</v>
      </c>
      <c r="J21" s="208" t="s">
        <v>110</v>
      </c>
      <c r="K21" s="209">
        <f>11000*40%</f>
        <v>4400</v>
      </c>
      <c r="L21" s="179" t="s">
        <v>111</v>
      </c>
      <c r="M21" s="180" t="s">
        <v>131</v>
      </c>
    </row>
    <row r="22" spans="1:13" s="141" customFormat="1" ht="23.25" customHeight="1" x14ac:dyDescent="0.2">
      <c r="A22" s="182"/>
      <c r="B22" s="183"/>
      <c r="C22" s="184"/>
      <c r="D22" s="185"/>
      <c r="E22" s="185"/>
      <c r="F22" s="185"/>
      <c r="G22" s="185"/>
      <c r="H22" s="185"/>
      <c r="I22" s="186" t="s">
        <v>132</v>
      </c>
      <c r="J22" s="177" t="s">
        <v>110</v>
      </c>
      <c r="K22" s="210">
        <f>11000*30%</f>
        <v>3300</v>
      </c>
      <c r="L22" s="189"/>
      <c r="M22" s="190"/>
    </row>
    <row r="23" spans="1:13" s="141" customFormat="1" ht="23.25" customHeight="1" x14ac:dyDescent="0.2">
      <c r="A23" s="182"/>
      <c r="B23" s="183"/>
      <c r="C23" s="184"/>
      <c r="D23" s="185"/>
      <c r="E23" s="185"/>
      <c r="F23" s="185"/>
      <c r="G23" s="185"/>
      <c r="H23" s="185"/>
      <c r="I23" s="186" t="s">
        <v>133</v>
      </c>
      <c r="J23" s="187" t="s">
        <v>110</v>
      </c>
      <c r="K23" s="211">
        <f>11000*20%</f>
        <v>2200</v>
      </c>
      <c r="L23" s="189"/>
      <c r="M23" s="190"/>
    </row>
    <row r="24" spans="1:13" s="141" customFormat="1" ht="23.25" customHeight="1" x14ac:dyDescent="0.2">
      <c r="A24" s="182"/>
      <c r="B24" s="183"/>
      <c r="C24" s="184"/>
      <c r="D24" s="185"/>
      <c r="E24" s="185"/>
      <c r="F24" s="185"/>
      <c r="G24" s="185"/>
      <c r="H24" s="185"/>
      <c r="I24" s="186" t="s">
        <v>134</v>
      </c>
      <c r="J24" s="212" t="s">
        <v>135</v>
      </c>
      <c r="K24" s="213">
        <f>11000*10%</f>
        <v>1100</v>
      </c>
      <c r="L24" s="189"/>
      <c r="M24" s="190"/>
    </row>
    <row r="25" spans="1:13" s="141" customFormat="1" ht="23.25" customHeight="1" x14ac:dyDescent="0.2">
      <c r="A25" s="193"/>
      <c r="B25" s="194"/>
      <c r="C25" s="195"/>
      <c r="D25" s="196"/>
      <c r="E25" s="196"/>
      <c r="F25" s="196"/>
      <c r="G25" s="196"/>
      <c r="H25" s="196"/>
      <c r="I25" s="206"/>
      <c r="J25" s="214"/>
      <c r="K25" s="215">
        <f>SUM(K21:K24)</f>
        <v>11000</v>
      </c>
      <c r="L25" s="200"/>
      <c r="M25" s="201"/>
    </row>
    <row r="26" spans="1:13" s="141" customFormat="1" ht="23.25" customHeight="1" x14ac:dyDescent="0.2">
      <c r="A26" s="172">
        <v>4</v>
      </c>
      <c r="B26" s="173" t="s">
        <v>136</v>
      </c>
      <c r="C26" s="174"/>
      <c r="D26" s="175" t="s">
        <v>107</v>
      </c>
      <c r="E26" s="175"/>
      <c r="F26" s="175"/>
      <c r="G26" s="175"/>
      <c r="H26" s="175" t="s">
        <v>137</v>
      </c>
      <c r="I26" s="176" t="s">
        <v>138</v>
      </c>
      <c r="J26" s="177" t="s">
        <v>110</v>
      </c>
      <c r="K26" s="216">
        <f>5000*50%</f>
        <v>2500</v>
      </c>
      <c r="L26" s="179" t="s">
        <v>111</v>
      </c>
      <c r="M26" s="180" t="s">
        <v>139</v>
      </c>
    </row>
    <row r="27" spans="1:13" s="141" customFormat="1" ht="23.25" customHeight="1" x14ac:dyDescent="0.2">
      <c r="A27" s="182"/>
      <c r="B27" s="183"/>
      <c r="C27" s="184"/>
      <c r="D27" s="185"/>
      <c r="E27" s="185"/>
      <c r="F27" s="185"/>
      <c r="G27" s="185"/>
      <c r="H27" s="185"/>
      <c r="I27" s="192" t="s">
        <v>140</v>
      </c>
      <c r="J27" s="212" t="s">
        <v>110</v>
      </c>
      <c r="K27" s="217">
        <f>5000*40%</f>
        <v>2000</v>
      </c>
      <c r="L27" s="189"/>
      <c r="M27" s="190"/>
    </row>
    <row r="28" spans="1:13" s="141" customFormat="1" ht="23.25" customHeight="1" x14ac:dyDescent="0.2">
      <c r="A28" s="182"/>
      <c r="B28" s="183"/>
      <c r="C28" s="184"/>
      <c r="D28" s="185"/>
      <c r="E28" s="185"/>
      <c r="F28" s="185"/>
      <c r="G28" s="185"/>
      <c r="H28" s="185"/>
      <c r="I28" s="176" t="s">
        <v>141</v>
      </c>
      <c r="J28" s="212" t="s">
        <v>117</v>
      </c>
      <c r="K28" s="217">
        <f>5000*5%</f>
        <v>250</v>
      </c>
      <c r="L28" s="189"/>
      <c r="M28" s="190"/>
    </row>
    <row r="29" spans="1:13" s="141" customFormat="1" ht="23.25" customHeight="1" x14ac:dyDescent="0.2">
      <c r="A29" s="182"/>
      <c r="B29" s="183"/>
      <c r="C29" s="184"/>
      <c r="D29" s="185"/>
      <c r="E29" s="185"/>
      <c r="F29" s="185"/>
      <c r="G29" s="185"/>
      <c r="H29" s="185"/>
      <c r="I29" s="176" t="s">
        <v>142</v>
      </c>
      <c r="J29" s="212" t="s">
        <v>117</v>
      </c>
      <c r="K29" s="217">
        <f>5000*5%</f>
        <v>250</v>
      </c>
      <c r="L29" s="189"/>
      <c r="M29" s="190"/>
    </row>
    <row r="30" spans="1:13" s="141" customFormat="1" ht="23.25" customHeight="1" x14ac:dyDescent="0.2">
      <c r="A30" s="193"/>
      <c r="B30" s="194"/>
      <c r="C30" s="195"/>
      <c r="D30" s="196"/>
      <c r="E30" s="196"/>
      <c r="F30" s="196"/>
      <c r="G30" s="196"/>
      <c r="H30" s="196"/>
      <c r="I30" s="206"/>
      <c r="J30" s="214"/>
      <c r="K30" s="218">
        <f>SUM(K26:K29)</f>
        <v>5000</v>
      </c>
      <c r="L30" s="200"/>
      <c r="M30" s="201"/>
    </row>
    <row r="31" spans="1:13" s="141" customFormat="1" ht="23.25" customHeight="1" x14ac:dyDescent="0.2">
      <c r="A31" s="172">
        <v>5</v>
      </c>
      <c r="B31" s="173" t="s">
        <v>143</v>
      </c>
      <c r="C31" s="174"/>
      <c r="D31" s="175" t="s">
        <v>107</v>
      </c>
      <c r="E31" s="175"/>
      <c r="F31" s="175"/>
      <c r="G31" s="175"/>
      <c r="H31" s="175"/>
      <c r="I31" s="176" t="s">
        <v>144</v>
      </c>
      <c r="J31" s="177" t="s">
        <v>145</v>
      </c>
      <c r="K31" s="219">
        <f>10000*50%</f>
        <v>5000</v>
      </c>
      <c r="L31" s="174" t="s">
        <v>111</v>
      </c>
      <c r="M31" s="180" t="s">
        <v>146</v>
      </c>
    </row>
    <row r="32" spans="1:13" s="141" customFormat="1" ht="23.25" customHeight="1" x14ac:dyDescent="0.2">
      <c r="A32" s="182"/>
      <c r="B32" s="183"/>
      <c r="C32" s="184"/>
      <c r="D32" s="185"/>
      <c r="E32" s="185"/>
      <c r="F32" s="185"/>
      <c r="G32" s="185"/>
      <c r="H32" s="185"/>
      <c r="I32" s="192" t="s">
        <v>140</v>
      </c>
      <c r="J32" s="212" t="s">
        <v>147</v>
      </c>
      <c r="K32" s="220">
        <f>10000*40%</f>
        <v>4000</v>
      </c>
      <c r="L32" s="184"/>
      <c r="M32" s="190"/>
    </row>
    <row r="33" spans="1:14" s="141" customFormat="1" ht="23.25" customHeight="1" x14ac:dyDescent="0.2">
      <c r="A33" s="182"/>
      <c r="B33" s="183"/>
      <c r="C33" s="184"/>
      <c r="D33" s="185"/>
      <c r="E33" s="185"/>
      <c r="F33" s="185"/>
      <c r="G33" s="185"/>
      <c r="H33" s="185"/>
      <c r="I33" s="176" t="s">
        <v>148</v>
      </c>
      <c r="J33" s="212" t="s">
        <v>117</v>
      </c>
      <c r="K33" s="210">
        <f>10000*10%</f>
        <v>1000</v>
      </c>
      <c r="L33" s="184"/>
      <c r="M33" s="190"/>
    </row>
    <row r="34" spans="1:14" s="141" customFormat="1" ht="23.25" customHeight="1" x14ac:dyDescent="0.2">
      <c r="A34" s="193"/>
      <c r="B34" s="194"/>
      <c r="C34" s="195"/>
      <c r="D34" s="196"/>
      <c r="E34" s="196"/>
      <c r="F34" s="196"/>
      <c r="G34" s="196"/>
      <c r="H34" s="196"/>
      <c r="I34" s="206"/>
      <c r="J34" s="214"/>
      <c r="K34" s="221">
        <f>SUM(K31:K33)</f>
        <v>10000</v>
      </c>
      <c r="L34" s="195"/>
      <c r="M34" s="201"/>
    </row>
    <row r="35" spans="1:14" s="141" customFormat="1" ht="23.25" customHeight="1" x14ac:dyDescent="0.2">
      <c r="A35" s="172">
        <v>6</v>
      </c>
      <c r="B35" s="173" t="s">
        <v>149</v>
      </c>
      <c r="C35" s="174"/>
      <c r="D35" s="175" t="s">
        <v>107</v>
      </c>
      <c r="E35" s="175"/>
      <c r="F35" s="175"/>
      <c r="G35" s="175"/>
      <c r="H35" s="175"/>
      <c r="I35" s="176" t="s">
        <v>150</v>
      </c>
      <c r="J35" s="177" t="s">
        <v>110</v>
      </c>
      <c r="K35" s="222">
        <f>8000*85%</f>
        <v>6800</v>
      </c>
      <c r="L35" s="179" t="s">
        <v>111</v>
      </c>
      <c r="M35" s="180" t="s">
        <v>151</v>
      </c>
    </row>
    <row r="36" spans="1:14" s="141" customFormat="1" ht="23.25" customHeight="1" x14ac:dyDescent="0.2">
      <c r="A36" s="182"/>
      <c r="B36" s="183"/>
      <c r="C36" s="184"/>
      <c r="D36" s="185"/>
      <c r="E36" s="185"/>
      <c r="F36" s="185"/>
      <c r="G36" s="185"/>
      <c r="H36" s="185"/>
      <c r="I36" s="186" t="s">
        <v>152</v>
      </c>
      <c r="J36" s="223" t="s">
        <v>110</v>
      </c>
      <c r="K36" s="213">
        <f>8000*5%</f>
        <v>400</v>
      </c>
      <c r="L36" s="189"/>
      <c r="M36" s="190"/>
    </row>
    <row r="37" spans="1:14" s="141" customFormat="1" ht="23.25" customHeight="1" x14ac:dyDescent="0.2">
      <c r="A37" s="182"/>
      <c r="B37" s="183"/>
      <c r="C37" s="184"/>
      <c r="D37" s="185"/>
      <c r="E37" s="185"/>
      <c r="F37" s="185"/>
      <c r="G37" s="185"/>
      <c r="H37" s="185"/>
      <c r="I37" s="186" t="s">
        <v>153</v>
      </c>
      <c r="J37" s="223" t="s">
        <v>110</v>
      </c>
      <c r="K37" s="213">
        <f>8000*5%</f>
        <v>400</v>
      </c>
      <c r="L37" s="189"/>
      <c r="M37" s="190"/>
    </row>
    <row r="38" spans="1:14" s="141" customFormat="1" ht="23.25" customHeight="1" x14ac:dyDescent="0.2">
      <c r="A38" s="182"/>
      <c r="B38" s="183"/>
      <c r="C38" s="184"/>
      <c r="D38" s="185"/>
      <c r="E38" s="185"/>
      <c r="F38" s="185"/>
      <c r="G38" s="185"/>
      <c r="H38" s="185"/>
      <c r="I38" s="192" t="s">
        <v>154</v>
      </c>
      <c r="J38" s="177" t="s">
        <v>117</v>
      </c>
      <c r="K38" s="210">
        <f>8000*5%</f>
        <v>400</v>
      </c>
      <c r="L38" s="189"/>
      <c r="M38" s="190"/>
    </row>
    <row r="39" spans="1:14" s="141" customFormat="1" ht="23.25" customHeight="1" x14ac:dyDescent="0.2">
      <c r="A39" s="193"/>
      <c r="B39" s="194"/>
      <c r="C39" s="195"/>
      <c r="D39" s="196"/>
      <c r="E39" s="196"/>
      <c r="F39" s="196"/>
      <c r="G39" s="196"/>
      <c r="H39" s="196"/>
      <c r="I39" s="206"/>
      <c r="J39" s="214"/>
      <c r="K39" s="218">
        <f>SUM(K35:K38)</f>
        <v>8000</v>
      </c>
      <c r="L39" s="200"/>
      <c r="M39" s="201"/>
    </row>
    <row r="40" spans="1:14" s="141" customFormat="1" ht="23.25" customHeight="1" x14ac:dyDescent="0.2">
      <c r="A40" s="172">
        <v>7</v>
      </c>
      <c r="B40" s="173" t="s">
        <v>155</v>
      </c>
      <c r="C40" s="174"/>
      <c r="D40" s="175" t="s">
        <v>107</v>
      </c>
      <c r="E40" s="175"/>
      <c r="F40" s="175"/>
      <c r="G40" s="175"/>
      <c r="H40" s="175" t="s">
        <v>108</v>
      </c>
      <c r="I40" s="176" t="s">
        <v>156</v>
      </c>
      <c r="J40" s="208" t="s">
        <v>110</v>
      </c>
      <c r="K40" s="224">
        <f>8000*35%</f>
        <v>2800</v>
      </c>
      <c r="L40" s="174" t="s">
        <v>111</v>
      </c>
      <c r="M40" s="180" t="s">
        <v>157</v>
      </c>
    </row>
    <row r="41" spans="1:14" s="141" customFormat="1" ht="23.25" customHeight="1" x14ac:dyDescent="0.2">
      <c r="A41" s="182"/>
      <c r="B41" s="183"/>
      <c r="C41" s="184"/>
      <c r="D41" s="185"/>
      <c r="E41" s="185"/>
      <c r="F41" s="185"/>
      <c r="G41" s="185"/>
      <c r="H41" s="185"/>
      <c r="I41" s="186" t="s">
        <v>158</v>
      </c>
      <c r="J41" s="177" t="s">
        <v>110</v>
      </c>
      <c r="K41" s="225">
        <f>8000*10%</f>
        <v>800</v>
      </c>
      <c r="L41" s="184"/>
      <c r="M41" s="190"/>
    </row>
    <row r="42" spans="1:14" s="141" customFormat="1" ht="23.25" customHeight="1" x14ac:dyDescent="0.2">
      <c r="A42" s="182"/>
      <c r="B42" s="183"/>
      <c r="C42" s="184"/>
      <c r="D42" s="185"/>
      <c r="E42" s="185"/>
      <c r="F42" s="185"/>
      <c r="G42" s="185"/>
      <c r="H42" s="185"/>
      <c r="I42" s="192" t="s">
        <v>159</v>
      </c>
      <c r="J42" s="212" t="s">
        <v>110</v>
      </c>
      <c r="K42" s="210">
        <f>8000*5%</f>
        <v>400</v>
      </c>
      <c r="L42" s="184"/>
      <c r="M42" s="190"/>
    </row>
    <row r="43" spans="1:14" s="141" customFormat="1" ht="23.25" customHeight="1" x14ac:dyDescent="0.2">
      <c r="A43" s="182"/>
      <c r="B43" s="183"/>
      <c r="C43" s="184"/>
      <c r="D43" s="185"/>
      <c r="E43" s="185"/>
      <c r="F43" s="185"/>
      <c r="G43" s="185"/>
      <c r="H43" s="185"/>
      <c r="I43" s="192" t="s">
        <v>160</v>
      </c>
      <c r="J43" s="212" t="s">
        <v>110</v>
      </c>
      <c r="K43" s="220">
        <f>8000*45%</f>
        <v>3600</v>
      </c>
      <c r="L43" s="184"/>
      <c r="M43" s="190"/>
    </row>
    <row r="44" spans="1:14" s="141" customFormat="1" ht="23.25" customHeight="1" x14ac:dyDescent="0.2">
      <c r="A44" s="182"/>
      <c r="B44" s="183"/>
      <c r="C44" s="184"/>
      <c r="D44" s="185"/>
      <c r="E44" s="185"/>
      <c r="F44" s="185"/>
      <c r="G44" s="185"/>
      <c r="H44" s="185"/>
      <c r="I44" s="176" t="s">
        <v>161</v>
      </c>
      <c r="J44" s="212" t="s">
        <v>117</v>
      </c>
      <c r="K44" s="220">
        <f>8000*5%</f>
        <v>400</v>
      </c>
      <c r="L44" s="184"/>
      <c r="M44" s="190"/>
    </row>
    <row r="45" spans="1:14" s="141" customFormat="1" ht="23.25" customHeight="1" x14ac:dyDescent="0.2">
      <c r="A45" s="193"/>
      <c r="B45" s="194"/>
      <c r="C45" s="195"/>
      <c r="D45" s="196"/>
      <c r="E45" s="196"/>
      <c r="F45" s="196"/>
      <c r="G45" s="196"/>
      <c r="H45" s="196"/>
      <c r="I45" s="206"/>
      <c r="J45" s="214"/>
      <c r="K45" s="215">
        <f>SUM(K40:K44)</f>
        <v>8000</v>
      </c>
      <c r="L45" s="195"/>
      <c r="M45" s="201"/>
    </row>
    <row r="46" spans="1:14" s="141" customFormat="1" ht="23.25" customHeight="1" x14ac:dyDescent="0.2">
      <c r="A46" s="172">
        <v>8</v>
      </c>
      <c r="B46" s="173" t="s">
        <v>162</v>
      </c>
      <c r="C46" s="174"/>
      <c r="D46" s="175" t="s">
        <v>163</v>
      </c>
      <c r="E46" s="175"/>
      <c r="F46" s="175"/>
      <c r="G46" s="175"/>
      <c r="H46" s="175" t="s">
        <v>164</v>
      </c>
      <c r="I46" s="176" t="s">
        <v>165</v>
      </c>
      <c r="J46" s="177" t="s">
        <v>110</v>
      </c>
      <c r="K46" s="216">
        <f>630000*60%</f>
        <v>378000</v>
      </c>
      <c r="L46" s="179" t="s">
        <v>166</v>
      </c>
      <c r="M46" s="180" t="s">
        <v>167</v>
      </c>
      <c r="N46" s="181"/>
    </row>
    <row r="47" spans="1:14" s="141" customFormat="1" ht="23.25" customHeight="1" x14ac:dyDescent="0.2">
      <c r="A47" s="182"/>
      <c r="B47" s="183"/>
      <c r="C47" s="184"/>
      <c r="D47" s="185"/>
      <c r="E47" s="185"/>
      <c r="F47" s="185"/>
      <c r="G47" s="185"/>
      <c r="H47" s="185"/>
      <c r="I47" s="186" t="s">
        <v>168</v>
      </c>
      <c r="J47" s="223" t="s">
        <v>117</v>
      </c>
      <c r="K47" s="217">
        <f>630000*40%</f>
        <v>252000</v>
      </c>
      <c r="L47" s="189"/>
      <c r="M47" s="190"/>
      <c r="N47" s="181"/>
    </row>
    <row r="48" spans="1:14" s="141" customFormat="1" ht="23.25" customHeight="1" x14ac:dyDescent="0.2">
      <c r="A48" s="193"/>
      <c r="B48" s="194"/>
      <c r="C48" s="195"/>
      <c r="D48" s="196"/>
      <c r="E48" s="196"/>
      <c r="F48" s="196"/>
      <c r="G48" s="196"/>
      <c r="H48" s="196"/>
      <c r="I48" s="206"/>
      <c r="J48" s="226"/>
      <c r="K48" s="227">
        <f>SUM(K46:K47)</f>
        <v>630000</v>
      </c>
      <c r="L48" s="200"/>
      <c r="M48" s="201"/>
    </row>
    <row r="49" spans="1:14" s="141" customFormat="1" ht="23.25" customHeight="1" x14ac:dyDescent="0.2">
      <c r="A49" s="172">
        <v>9</v>
      </c>
      <c r="B49" s="173" t="s">
        <v>169</v>
      </c>
      <c r="C49" s="174"/>
      <c r="D49" s="175" t="s">
        <v>163</v>
      </c>
      <c r="E49" s="175"/>
      <c r="F49" s="175"/>
      <c r="G49" s="175"/>
      <c r="H49" s="175"/>
      <c r="I49" s="228" t="s">
        <v>170</v>
      </c>
      <c r="J49" s="177" t="s">
        <v>110</v>
      </c>
      <c r="K49" s="216">
        <f>630000*60%</f>
        <v>378000</v>
      </c>
      <c r="L49" s="174" t="s">
        <v>166</v>
      </c>
      <c r="M49" s="180" t="s">
        <v>171</v>
      </c>
    </row>
    <row r="50" spans="1:14" s="141" customFormat="1" ht="23.25" customHeight="1" x14ac:dyDescent="0.2">
      <c r="A50" s="182"/>
      <c r="B50" s="183"/>
      <c r="C50" s="184"/>
      <c r="D50" s="185"/>
      <c r="E50" s="185"/>
      <c r="F50" s="185"/>
      <c r="G50" s="185"/>
      <c r="H50" s="185"/>
      <c r="I50" s="176" t="s">
        <v>168</v>
      </c>
      <c r="J50" s="212" t="s">
        <v>117</v>
      </c>
      <c r="K50" s="220">
        <f>630000*40%</f>
        <v>252000</v>
      </c>
      <c r="L50" s="184"/>
      <c r="M50" s="190"/>
    </row>
    <row r="51" spans="1:14" s="141" customFormat="1" ht="23.25" customHeight="1" x14ac:dyDescent="0.2">
      <c r="A51" s="193"/>
      <c r="B51" s="194"/>
      <c r="C51" s="195"/>
      <c r="D51" s="196"/>
      <c r="E51" s="196"/>
      <c r="F51" s="196"/>
      <c r="G51" s="196"/>
      <c r="H51" s="196"/>
      <c r="I51" s="206"/>
      <c r="J51" s="214"/>
      <c r="K51" s="215">
        <f>SUM(K49:K50)</f>
        <v>630000</v>
      </c>
      <c r="L51" s="195"/>
      <c r="M51" s="201"/>
    </row>
    <row r="52" spans="1:14" s="141" customFormat="1" ht="23.25" customHeight="1" x14ac:dyDescent="0.2">
      <c r="A52" s="172">
        <v>10</v>
      </c>
      <c r="B52" s="173" t="s">
        <v>172</v>
      </c>
      <c r="C52" s="174"/>
      <c r="D52" s="175" t="s">
        <v>163</v>
      </c>
      <c r="E52" s="175"/>
      <c r="F52" s="175"/>
      <c r="G52" s="175"/>
      <c r="H52" s="175"/>
      <c r="I52" s="176" t="s">
        <v>173</v>
      </c>
      <c r="J52" s="177" t="s">
        <v>147</v>
      </c>
      <c r="K52" s="229">
        <f>539800*50%</f>
        <v>269900</v>
      </c>
      <c r="L52" s="180" t="s">
        <v>166</v>
      </c>
      <c r="M52" s="180" t="s">
        <v>174</v>
      </c>
    </row>
    <row r="53" spans="1:14" s="141" customFormat="1" ht="23.25" customHeight="1" x14ac:dyDescent="0.2">
      <c r="A53" s="182"/>
      <c r="B53" s="183"/>
      <c r="C53" s="184"/>
      <c r="D53" s="185"/>
      <c r="E53" s="185"/>
      <c r="F53" s="185"/>
      <c r="G53" s="185"/>
      <c r="H53" s="185"/>
      <c r="I53" s="186" t="s">
        <v>175</v>
      </c>
      <c r="J53" s="223" t="s">
        <v>176</v>
      </c>
      <c r="K53" s="220">
        <f t="shared" ref="K53:K63" si="0">539800*5%</f>
        <v>26990</v>
      </c>
      <c r="L53" s="184"/>
      <c r="M53" s="190"/>
      <c r="N53" s="181"/>
    </row>
    <row r="54" spans="1:14" s="141" customFormat="1" ht="23.25" customHeight="1" x14ac:dyDescent="0.2">
      <c r="A54" s="182"/>
      <c r="B54" s="183"/>
      <c r="C54" s="184"/>
      <c r="D54" s="185"/>
      <c r="E54" s="185"/>
      <c r="F54" s="185"/>
      <c r="G54" s="185"/>
      <c r="H54" s="185"/>
      <c r="I54" s="186" t="s">
        <v>177</v>
      </c>
      <c r="J54" s="177" t="s">
        <v>147</v>
      </c>
      <c r="K54" s="230">
        <f t="shared" si="0"/>
        <v>26990</v>
      </c>
      <c r="L54" s="190"/>
      <c r="M54" s="190"/>
    </row>
    <row r="55" spans="1:14" s="141" customFormat="1" ht="23.25" customHeight="1" x14ac:dyDescent="0.2">
      <c r="A55" s="182"/>
      <c r="B55" s="183"/>
      <c r="C55" s="184"/>
      <c r="D55" s="185"/>
      <c r="E55" s="185"/>
      <c r="F55" s="185"/>
      <c r="G55" s="185"/>
      <c r="H55" s="185"/>
      <c r="I55" s="186" t="s">
        <v>178</v>
      </c>
      <c r="J55" s="212" t="s">
        <v>179</v>
      </c>
      <c r="K55" s="220">
        <f t="shared" si="0"/>
        <v>26990</v>
      </c>
      <c r="L55" s="184"/>
      <c r="M55" s="190"/>
      <c r="N55" s="181"/>
    </row>
    <row r="56" spans="1:14" s="141" customFormat="1" ht="23.25" customHeight="1" x14ac:dyDescent="0.2">
      <c r="A56" s="182"/>
      <c r="B56" s="183"/>
      <c r="C56" s="184"/>
      <c r="D56" s="185"/>
      <c r="E56" s="185"/>
      <c r="F56" s="185"/>
      <c r="G56" s="185"/>
      <c r="H56" s="185"/>
      <c r="I56" s="186" t="s">
        <v>180</v>
      </c>
      <c r="J56" s="212" t="s">
        <v>181</v>
      </c>
      <c r="K56" s="220">
        <f t="shared" si="0"/>
        <v>26990</v>
      </c>
      <c r="L56" s="184"/>
      <c r="M56" s="190"/>
      <c r="N56" s="181"/>
    </row>
    <row r="57" spans="1:14" s="141" customFormat="1" ht="23.25" customHeight="1" x14ac:dyDescent="0.2">
      <c r="A57" s="182"/>
      <c r="B57" s="183"/>
      <c r="C57" s="184"/>
      <c r="D57" s="185"/>
      <c r="E57" s="185"/>
      <c r="F57" s="185"/>
      <c r="G57" s="185"/>
      <c r="H57" s="185"/>
      <c r="I57" s="186" t="s">
        <v>182</v>
      </c>
      <c r="J57" s="212" t="s">
        <v>183</v>
      </c>
      <c r="K57" s="220">
        <f t="shared" si="0"/>
        <v>26990</v>
      </c>
      <c r="L57" s="184"/>
      <c r="M57" s="190"/>
    </row>
    <row r="58" spans="1:14" s="141" customFormat="1" ht="23.25" customHeight="1" x14ac:dyDescent="0.2">
      <c r="A58" s="182"/>
      <c r="B58" s="183"/>
      <c r="C58" s="184"/>
      <c r="D58" s="185"/>
      <c r="E58" s="185"/>
      <c r="F58" s="185"/>
      <c r="G58" s="185"/>
      <c r="H58" s="185"/>
      <c r="I58" s="192" t="s">
        <v>184</v>
      </c>
      <c r="J58" s="223" t="s">
        <v>179</v>
      </c>
      <c r="K58" s="220">
        <f t="shared" si="0"/>
        <v>26990</v>
      </c>
      <c r="L58" s="184"/>
      <c r="M58" s="190"/>
      <c r="N58" s="181"/>
    </row>
    <row r="59" spans="1:14" s="141" customFormat="1" ht="23.25" customHeight="1" x14ac:dyDescent="0.2">
      <c r="A59" s="182"/>
      <c r="B59" s="183"/>
      <c r="C59" s="184"/>
      <c r="D59" s="185"/>
      <c r="E59" s="185"/>
      <c r="F59" s="185"/>
      <c r="G59" s="185"/>
      <c r="H59" s="185"/>
      <c r="I59" s="176" t="s">
        <v>185</v>
      </c>
      <c r="J59" s="223" t="s">
        <v>186</v>
      </c>
      <c r="K59" s="220">
        <f t="shared" si="0"/>
        <v>26990</v>
      </c>
      <c r="L59" s="184"/>
      <c r="M59" s="190"/>
      <c r="N59" s="181"/>
    </row>
    <row r="60" spans="1:14" s="141" customFormat="1" ht="23.25" customHeight="1" x14ac:dyDescent="0.2">
      <c r="A60" s="182"/>
      <c r="B60" s="183"/>
      <c r="C60" s="184"/>
      <c r="D60" s="185"/>
      <c r="E60" s="185"/>
      <c r="F60" s="185"/>
      <c r="G60" s="185"/>
      <c r="H60" s="185"/>
      <c r="I60" s="186" t="s">
        <v>187</v>
      </c>
      <c r="J60" s="177" t="s">
        <v>147</v>
      </c>
      <c r="K60" s="230">
        <f t="shared" si="0"/>
        <v>26990</v>
      </c>
      <c r="L60" s="190"/>
      <c r="M60" s="190"/>
    </row>
    <row r="61" spans="1:14" s="141" customFormat="1" ht="23.25" customHeight="1" x14ac:dyDescent="0.2">
      <c r="A61" s="182"/>
      <c r="B61" s="183"/>
      <c r="C61" s="184"/>
      <c r="D61" s="185"/>
      <c r="E61" s="185"/>
      <c r="F61" s="185"/>
      <c r="G61" s="185"/>
      <c r="H61" s="185"/>
      <c r="I61" s="186" t="s">
        <v>188</v>
      </c>
      <c r="J61" s="223" t="s">
        <v>179</v>
      </c>
      <c r="K61" s="220">
        <f t="shared" si="0"/>
        <v>26990</v>
      </c>
      <c r="L61" s="184"/>
      <c r="M61" s="190"/>
      <c r="N61" s="181"/>
    </row>
    <row r="62" spans="1:14" s="141" customFormat="1" ht="23.25" customHeight="1" x14ac:dyDescent="0.2">
      <c r="A62" s="182"/>
      <c r="B62" s="183"/>
      <c r="C62" s="184"/>
      <c r="D62" s="185"/>
      <c r="E62" s="185"/>
      <c r="F62" s="185"/>
      <c r="G62" s="185"/>
      <c r="H62" s="185"/>
      <c r="I62" s="192" t="s">
        <v>189</v>
      </c>
      <c r="J62" s="223" t="s">
        <v>190</v>
      </c>
      <c r="K62" s="220">
        <f t="shared" si="0"/>
        <v>26990</v>
      </c>
      <c r="L62" s="184"/>
      <c r="M62" s="190"/>
      <c r="N62" s="181"/>
    </row>
    <row r="63" spans="1:14" s="141" customFormat="1" ht="23.25" customHeight="1" x14ac:dyDescent="0.2">
      <c r="A63" s="182"/>
      <c r="B63" s="183"/>
      <c r="C63" s="184"/>
      <c r="D63" s="185"/>
      <c r="E63" s="185"/>
      <c r="F63" s="185"/>
      <c r="G63" s="185"/>
      <c r="H63" s="185"/>
      <c r="I63" s="176" t="s">
        <v>191</v>
      </c>
      <c r="J63" s="177" t="s">
        <v>147</v>
      </c>
      <c r="K63" s="231">
        <f t="shared" si="0"/>
        <v>26990</v>
      </c>
      <c r="L63" s="190"/>
      <c r="M63" s="190"/>
      <c r="N63" s="181"/>
    </row>
    <row r="64" spans="1:14" s="141" customFormat="1" ht="23.25" customHeight="1" x14ac:dyDescent="0.2">
      <c r="A64" s="193"/>
      <c r="B64" s="194"/>
      <c r="C64" s="195"/>
      <c r="D64" s="196"/>
      <c r="E64" s="196"/>
      <c r="F64" s="196"/>
      <c r="G64" s="196"/>
      <c r="H64" s="196"/>
      <c r="I64" s="206"/>
      <c r="J64" s="214"/>
      <c r="K64" s="218">
        <f>SUM(K52:K62)</f>
        <v>539800</v>
      </c>
      <c r="L64" s="195"/>
      <c r="M64" s="201"/>
    </row>
    <row r="65" spans="1:14" s="141" customFormat="1" ht="23.25" customHeight="1" x14ac:dyDescent="0.2">
      <c r="A65" s="172">
        <v>11</v>
      </c>
      <c r="B65" s="173" t="s">
        <v>192</v>
      </c>
      <c r="C65" s="174"/>
      <c r="D65" s="175" t="s">
        <v>163</v>
      </c>
      <c r="E65" s="175"/>
      <c r="F65" s="175"/>
      <c r="G65" s="175"/>
      <c r="H65" s="175"/>
      <c r="I65" s="176" t="s">
        <v>193</v>
      </c>
      <c r="J65" s="177" t="s">
        <v>147</v>
      </c>
      <c r="K65" s="216">
        <f>23965*50%</f>
        <v>11982.5</v>
      </c>
      <c r="L65" s="179" t="s">
        <v>166</v>
      </c>
      <c r="M65" s="180" t="s">
        <v>194</v>
      </c>
    </row>
    <row r="66" spans="1:14" s="141" customFormat="1" ht="23.25" customHeight="1" x14ac:dyDescent="0.2">
      <c r="A66" s="182"/>
      <c r="B66" s="183"/>
      <c r="C66" s="184"/>
      <c r="D66" s="185"/>
      <c r="E66" s="185"/>
      <c r="F66" s="185"/>
      <c r="G66" s="185"/>
      <c r="H66" s="185"/>
      <c r="I66" s="192" t="s">
        <v>195</v>
      </c>
      <c r="J66" s="212" t="s">
        <v>196</v>
      </c>
      <c r="K66" s="217">
        <f>23965*50%</f>
        <v>11982.5</v>
      </c>
      <c r="L66" s="189"/>
      <c r="M66" s="190"/>
    </row>
    <row r="67" spans="1:14" s="141" customFormat="1" ht="23.25" customHeight="1" x14ac:dyDescent="0.2">
      <c r="A67" s="193"/>
      <c r="B67" s="194"/>
      <c r="C67" s="195"/>
      <c r="D67" s="196"/>
      <c r="E67" s="196"/>
      <c r="F67" s="196"/>
      <c r="G67" s="196"/>
      <c r="H67" s="196"/>
      <c r="I67" s="197"/>
      <c r="J67" s="214"/>
      <c r="K67" s="218">
        <f>SUM(K65:K66)</f>
        <v>23965</v>
      </c>
      <c r="L67" s="200"/>
      <c r="M67" s="201"/>
    </row>
    <row r="68" spans="1:14" s="141" customFormat="1" ht="23.25" customHeight="1" x14ac:dyDescent="0.2">
      <c r="A68" s="172">
        <v>12</v>
      </c>
      <c r="B68" s="173" t="s">
        <v>197</v>
      </c>
      <c r="C68" s="174"/>
      <c r="D68" s="175" t="s">
        <v>163</v>
      </c>
      <c r="E68" s="175"/>
      <c r="F68" s="175"/>
      <c r="G68" s="175"/>
      <c r="H68" s="175"/>
      <c r="I68" s="228" t="s">
        <v>198</v>
      </c>
      <c r="J68" s="177" t="s">
        <v>110</v>
      </c>
      <c r="K68" s="216">
        <f>227415*85%</f>
        <v>193302.75</v>
      </c>
      <c r="L68" s="174" t="s">
        <v>166</v>
      </c>
      <c r="M68" s="180" t="s">
        <v>199</v>
      </c>
    </row>
    <row r="69" spans="1:14" s="141" customFormat="1" ht="23.25" customHeight="1" x14ac:dyDescent="0.2">
      <c r="A69" s="182"/>
      <c r="B69" s="183"/>
      <c r="C69" s="184"/>
      <c r="D69" s="185"/>
      <c r="E69" s="185"/>
      <c r="F69" s="185"/>
      <c r="G69" s="185"/>
      <c r="H69" s="185"/>
      <c r="I69" s="176" t="s">
        <v>200</v>
      </c>
      <c r="J69" s="212" t="s">
        <v>110</v>
      </c>
      <c r="K69" s="232">
        <f>227415*5%</f>
        <v>11370.75</v>
      </c>
      <c r="L69" s="184"/>
      <c r="M69" s="190"/>
    </row>
    <row r="70" spans="1:14" s="141" customFormat="1" ht="23.25" customHeight="1" x14ac:dyDescent="0.2">
      <c r="A70" s="182"/>
      <c r="B70" s="183"/>
      <c r="C70" s="184"/>
      <c r="D70" s="185"/>
      <c r="E70" s="185"/>
      <c r="F70" s="185"/>
      <c r="G70" s="185"/>
      <c r="H70" s="185"/>
      <c r="I70" s="192" t="s">
        <v>201</v>
      </c>
      <c r="J70" s="212" t="s">
        <v>145</v>
      </c>
      <c r="K70" s="232">
        <f>227415*5%</f>
        <v>11370.75</v>
      </c>
      <c r="L70" s="184"/>
      <c r="M70" s="190"/>
    </row>
    <row r="71" spans="1:14" s="141" customFormat="1" ht="23.25" customHeight="1" x14ac:dyDescent="0.2">
      <c r="A71" s="182"/>
      <c r="B71" s="183"/>
      <c r="C71" s="184"/>
      <c r="D71" s="185"/>
      <c r="E71" s="185"/>
      <c r="F71" s="185"/>
      <c r="G71" s="185"/>
      <c r="H71" s="185"/>
      <c r="I71" s="176" t="s">
        <v>202</v>
      </c>
      <c r="J71" s="212" t="s">
        <v>196</v>
      </c>
      <c r="K71" s="220">
        <f>227415*5%</f>
        <v>11370.75</v>
      </c>
      <c r="L71" s="184"/>
      <c r="M71" s="190"/>
    </row>
    <row r="72" spans="1:14" s="141" customFormat="1" ht="23.25" customHeight="1" x14ac:dyDescent="0.2">
      <c r="A72" s="193"/>
      <c r="B72" s="194"/>
      <c r="C72" s="195"/>
      <c r="D72" s="196"/>
      <c r="E72" s="196"/>
      <c r="F72" s="196"/>
      <c r="G72" s="196"/>
      <c r="H72" s="196"/>
      <c r="I72" s="206"/>
      <c r="J72" s="214"/>
      <c r="K72" s="215">
        <f>SUM(K68:K71)</f>
        <v>227415</v>
      </c>
      <c r="L72" s="195"/>
      <c r="M72" s="201"/>
    </row>
    <row r="73" spans="1:14" s="141" customFormat="1" ht="23.25" customHeight="1" x14ac:dyDescent="0.2">
      <c r="A73" s="172">
        <v>13</v>
      </c>
      <c r="B73" s="173" t="s">
        <v>203</v>
      </c>
      <c r="C73" s="233"/>
      <c r="D73" s="234" t="s">
        <v>163</v>
      </c>
      <c r="E73" s="175"/>
      <c r="F73" s="175"/>
      <c r="G73" s="175"/>
      <c r="H73" s="175"/>
      <c r="I73" s="176" t="s">
        <v>204</v>
      </c>
      <c r="J73" s="202" t="s">
        <v>110</v>
      </c>
      <c r="K73" s="219">
        <f>227920*80%</f>
        <v>182336</v>
      </c>
      <c r="L73" s="174" t="s">
        <v>166</v>
      </c>
      <c r="M73" s="180" t="s">
        <v>205</v>
      </c>
    </row>
    <row r="74" spans="1:14" s="141" customFormat="1" ht="23.25" customHeight="1" x14ac:dyDescent="0.2">
      <c r="A74" s="182"/>
      <c r="B74" s="183"/>
      <c r="C74" s="235"/>
      <c r="D74" s="236"/>
      <c r="E74" s="185"/>
      <c r="F74" s="185"/>
      <c r="G74" s="185"/>
      <c r="H74" s="185"/>
      <c r="I74" s="186" t="s">
        <v>206</v>
      </c>
      <c r="J74" s="187" t="s">
        <v>145</v>
      </c>
      <c r="K74" s="225">
        <f>227920*5%</f>
        <v>11396</v>
      </c>
      <c r="L74" s="184"/>
      <c r="M74" s="190"/>
    </row>
    <row r="75" spans="1:14" s="141" customFormat="1" ht="23.25" customHeight="1" x14ac:dyDescent="0.2">
      <c r="A75" s="182"/>
      <c r="B75" s="183"/>
      <c r="C75" s="235"/>
      <c r="D75" s="236"/>
      <c r="E75" s="185"/>
      <c r="F75" s="185"/>
      <c r="G75" s="185"/>
      <c r="H75" s="185"/>
      <c r="I75" s="186" t="s">
        <v>207</v>
      </c>
      <c r="J75" s="177" t="s">
        <v>147</v>
      </c>
      <c r="K75" s="225">
        <f>227920*5%</f>
        <v>11396</v>
      </c>
      <c r="L75" s="184"/>
      <c r="M75" s="190"/>
    </row>
    <row r="76" spans="1:14" s="141" customFormat="1" ht="23.25" customHeight="1" x14ac:dyDescent="0.2">
      <c r="A76" s="182"/>
      <c r="B76" s="183"/>
      <c r="C76" s="235"/>
      <c r="D76" s="236"/>
      <c r="E76" s="185"/>
      <c r="F76" s="185"/>
      <c r="G76" s="185"/>
      <c r="H76" s="185"/>
      <c r="I76" s="186" t="s">
        <v>208</v>
      </c>
      <c r="J76" s="212" t="s">
        <v>209</v>
      </c>
      <c r="K76" s="210">
        <f>227920*5%</f>
        <v>11396</v>
      </c>
      <c r="L76" s="184"/>
      <c r="M76" s="190"/>
    </row>
    <row r="77" spans="1:14" s="141" customFormat="1" ht="23.25" customHeight="1" x14ac:dyDescent="0.2">
      <c r="A77" s="182"/>
      <c r="B77" s="183"/>
      <c r="C77" s="235"/>
      <c r="D77" s="236"/>
      <c r="E77" s="185"/>
      <c r="F77" s="185"/>
      <c r="G77" s="185"/>
      <c r="H77" s="185"/>
      <c r="I77" s="186" t="s">
        <v>210</v>
      </c>
      <c r="J77" s="191" t="s">
        <v>211</v>
      </c>
      <c r="K77" s="225">
        <f>227920*5%</f>
        <v>11396</v>
      </c>
      <c r="L77" s="184"/>
      <c r="M77" s="190"/>
    </row>
    <row r="78" spans="1:14" s="141" customFormat="1" ht="23.25" customHeight="1" x14ac:dyDescent="0.2">
      <c r="A78" s="193"/>
      <c r="B78" s="194"/>
      <c r="C78" s="237"/>
      <c r="D78" s="238"/>
      <c r="E78" s="196"/>
      <c r="F78" s="196"/>
      <c r="G78" s="196"/>
      <c r="H78" s="196"/>
      <c r="I78" s="206"/>
      <c r="J78" s="198"/>
      <c r="K78" s="239">
        <f>SUM(K73:K77)</f>
        <v>227920</v>
      </c>
      <c r="L78" s="195"/>
      <c r="M78" s="201"/>
      <c r="N78" s="181"/>
    </row>
    <row r="79" spans="1:14" s="141" customFormat="1" ht="23.25" customHeight="1" x14ac:dyDescent="0.2">
      <c r="A79" s="172">
        <v>14</v>
      </c>
      <c r="B79" s="173" t="s">
        <v>212</v>
      </c>
      <c r="C79" s="174"/>
      <c r="D79" s="175" t="s">
        <v>163</v>
      </c>
      <c r="E79" s="175"/>
      <c r="F79" s="175"/>
      <c r="G79" s="175"/>
      <c r="H79" s="175"/>
      <c r="I79" s="228" t="s">
        <v>213</v>
      </c>
      <c r="J79" s="177" t="s">
        <v>110</v>
      </c>
      <c r="K79" s="222">
        <f>110800*50%</f>
        <v>55400</v>
      </c>
      <c r="L79" s="179" t="s">
        <v>166</v>
      </c>
      <c r="M79" s="180" t="s">
        <v>214</v>
      </c>
    </row>
    <row r="80" spans="1:14" s="141" customFormat="1" ht="23.25" customHeight="1" x14ac:dyDescent="0.2">
      <c r="A80" s="182"/>
      <c r="B80" s="183"/>
      <c r="C80" s="184"/>
      <c r="D80" s="185"/>
      <c r="E80" s="185"/>
      <c r="F80" s="185"/>
      <c r="G80" s="185"/>
      <c r="H80" s="185"/>
      <c r="I80" s="176" t="s">
        <v>215</v>
      </c>
      <c r="J80" s="212" t="s">
        <v>110</v>
      </c>
      <c r="K80" s="210">
        <f>110800*10%</f>
        <v>11080</v>
      </c>
      <c r="L80" s="189"/>
      <c r="M80" s="190"/>
    </row>
    <row r="81" spans="1:14" s="141" customFormat="1" ht="23.25" customHeight="1" x14ac:dyDescent="0.2">
      <c r="A81" s="182"/>
      <c r="B81" s="183"/>
      <c r="C81" s="184"/>
      <c r="D81" s="185"/>
      <c r="E81" s="185"/>
      <c r="F81" s="185"/>
      <c r="G81" s="185"/>
      <c r="H81" s="185"/>
      <c r="I81" s="192" t="s">
        <v>216</v>
      </c>
      <c r="J81" s="191" t="s">
        <v>110</v>
      </c>
      <c r="K81" s="211">
        <f>110800*10%</f>
        <v>11080</v>
      </c>
      <c r="L81" s="189"/>
      <c r="M81" s="190"/>
    </row>
    <row r="82" spans="1:14" s="141" customFormat="1" ht="23.25" customHeight="1" x14ac:dyDescent="0.2">
      <c r="A82" s="182"/>
      <c r="B82" s="183"/>
      <c r="C82" s="184"/>
      <c r="D82" s="185"/>
      <c r="E82" s="185"/>
      <c r="F82" s="185"/>
      <c r="G82" s="185"/>
      <c r="H82" s="185"/>
      <c r="I82" s="176" t="s">
        <v>217</v>
      </c>
      <c r="J82" s="191" t="s">
        <v>110</v>
      </c>
      <c r="K82" s="240">
        <f>110800*10%</f>
        <v>11080</v>
      </c>
      <c r="L82" s="189"/>
      <c r="M82" s="190"/>
    </row>
    <row r="83" spans="1:14" s="141" customFormat="1" ht="23.25" customHeight="1" x14ac:dyDescent="0.2">
      <c r="A83" s="182"/>
      <c r="B83" s="183"/>
      <c r="C83" s="184"/>
      <c r="D83" s="185"/>
      <c r="E83" s="185"/>
      <c r="F83" s="185"/>
      <c r="G83" s="185"/>
      <c r="H83" s="185"/>
      <c r="I83" s="186" t="s">
        <v>218</v>
      </c>
      <c r="J83" s="187" t="s">
        <v>183</v>
      </c>
      <c r="K83" s="240">
        <f>110800*10%</f>
        <v>11080</v>
      </c>
      <c r="L83" s="189"/>
      <c r="M83" s="190"/>
    </row>
    <row r="84" spans="1:14" s="141" customFormat="1" ht="23.25" customHeight="1" x14ac:dyDescent="0.2">
      <c r="A84" s="182"/>
      <c r="B84" s="183"/>
      <c r="C84" s="184"/>
      <c r="D84" s="185"/>
      <c r="E84" s="185"/>
      <c r="F84" s="185"/>
      <c r="G84" s="185"/>
      <c r="H84" s="185"/>
      <c r="I84" s="192" t="s">
        <v>219</v>
      </c>
      <c r="J84" s="177" t="s">
        <v>110</v>
      </c>
      <c r="K84" s="241">
        <f>110800*10%</f>
        <v>11080</v>
      </c>
      <c r="L84" s="189"/>
      <c r="M84" s="190"/>
    </row>
    <row r="85" spans="1:14" s="141" customFormat="1" ht="23.25" customHeight="1" x14ac:dyDescent="0.2">
      <c r="A85" s="193"/>
      <c r="B85" s="194"/>
      <c r="C85" s="195"/>
      <c r="D85" s="196"/>
      <c r="E85" s="196"/>
      <c r="F85" s="196"/>
      <c r="G85" s="196"/>
      <c r="H85" s="196"/>
      <c r="I85" s="197"/>
      <c r="J85" s="214"/>
      <c r="K85" s="215">
        <f>SUM(K79:K84)</f>
        <v>110800</v>
      </c>
      <c r="L85" s="200"/>
      <c r="M85" s="201"/>
    </row>
    <row r="86" spans="1:14" s="141" customFormat="1" ht="23.25" customHeight="1" x14ac:dyDescent="0.2">
      <c r="A86" s="172">
        <v>15</v>
      </c>
      <c r="B86" s="173" t="s">
        <v>220</v>
      </c>
      <c r="C86" s="174"/>
      <c r="D86" s="175" t="s">
        <v>163</v>
      </c>
      <c r="E86" s="175"/>
      <c r="F86" s="175"/>
      <c r="G86" s="175"/>
      <c r="H86" s="175" t="s">
        <v>164</v>
      </c>
      <c r="I86" s="176" t="s">
        <v>221</v>
      </c>
      <c r="J86" s="177" t="s">
        <v>110</v>
      </c>
      <c r="K86" s="216">
        <f>155000*90%</f>
        <v>139500</v>
      </c>
      <c r="L86" s="174" t="s">
        <v>166</v>
      </c>
      <c r="M86" s="180" t="s">
        <v>222</v>
      </c>
    </row>
    <row r="87" spans="1:14" s="141" customFormat="1" ht="23.25" customHeight="1" x14ac:dyDescent="0.2">
      <c r="A87" s="182"/>
      <c r="B87" s="183"/>
      <c r="C87" s="184"/>
      <c r="D87" s="185"/>
      <c r="E87" s="185"/>
      <c r="F87" s="185"/>
      <c r="G87" s="185"/>
      <c r="H87" s="185"/>
      <c r="I87" s="192" t="s">
        <v>223</v>
      </c>
      <c r="J87" s="212" t="s">
        <v>224</v>
      </c>
      <c r="K87" s="232">
        <f>155000*10%</f>
        <v>15500</v>
      </c>
      <c r="L87" s="184"/>
      <c r="M87" s="190"/>
    </row>
    <row r="88" spans="1:14" s="141" customFormat="1" ht="23.25" customHeight="1" x14ac:dyDescent="0.2">
      <c r="A88" s="193"/>
      <c r="B88" s="194"/>
      <c r="C88" s="195"/>
      <c r="D88" s="196"/>
      <c r="E88" s="196"/>
      <c r="F88" s="196"/>
      <c r="G88" s="196"/>
      <c r="H88" s="196"/>
      <c r="I88" s="197"/>
      <c r="J88" s="214"/>
      <c r="K88" s="221">
        <f>SUM(K86:K87)</f>
        <v>155000</v>
      </c>
      <c r="L88" s="195"/>
      <c r="M88" s="201"/>
    </row>
    <row r="89" spans="1:14" s="141" customFormat="1" ht="58.5" customHeight="1" x14ac:dyDescent="0.2">
      <c r="A89" s="242">
        <v>16</v>
      </c>
      <c r="B89" s="243" t="s">
        <v>225</v>
      </c>
      <c r="C89" s="244" t="s">
        <v>225</v>
      </c>
      <c r="D89" s="245" t="s">
        <v>163</v>
      </c>
      <c r="E89" s="245"/>
      <c r="F89" s="245"/>
      <c r="G89" s="245"/>
      <c r="H89" s="246"/>
      <c r="I89" s="247" t="s">
        <v>226</v>
      </c>
      <c r="J89" s="248" t="s">
        <v>117</v>
      </c>
      <c r="K89" s="249">
        <v>155000</v>
      </c>
      <c r="L89" s="250" t="s">
        <v>166</v>
      </c>
      <c r="M89" s="251" t="s">
        <v>227</v>
      </c>
    </row>
    <row r="90" spans="1:14" s="141" customFormat="1" ht="23.25" customHeight="1" x14ac:dyDescent="0.2">
      <c r="A90" s="172">
        <v>17</v>
      </c>
      <c r="B90" s="173" t="s">
        <v>228</v>
      </c>
      <c r="C90" s="174"/>
      <c r="D90" s="175" t="s">
        <v>163</v>
      </c>
      <c r="E90" s="175"/>
      <c r="F90" s="175"/>
      <c r="G90" s="175"/>
      <c r="H90" s="175" t="s">
        <v>164</v>
      </c>
      <c r="I90" s="176" t="s">
        <v>229</v>
      </c>
      <c r="J90" s="177" t="s">
        <v>110</v>
      </c>
      <c r="K90" s="216">
        <f>155000*90%</f>
        <v>139500</v>
      </c>
      <c r="L90" s="189" t="s">
        <v>166</v>
      </c>
      <c r="M90" s="190"/>
    </row>
    <row r="91" spans="1:14" s="141" customFormat="1" ht="23.25" customHeight="1" x14ac:dyDescent="0.2">
      <c r="A91" s="182"/>
      <c r="B91" s="183"/>
      <c r="C91" s="184"/>
      <c r="D91" s="185"/>
      <c r="E91" s="185"/>
      <c r="F91" s="185"/>
      <c r="G91" s="185"/>
      <c r="H91" s="185"/>
      <c r="I91" s="252" t="s">
        <v>230</v>
      </c>
      <c r="J91" s="212" t="s">
        <v>117</v>
      </c>
      <c r="K91" s="213">
        <f>155000*10%</f>
        <v>15500</v>
      </c>
      <c r="L91" s="189"/>
      <c r="M91" s="190"/>
    </row>
    <row r="92" spans="1:14" s="141" customFormat="1" ht="23.25" customHeight="1" x14ac:dyDescent="0.2">
      <c r="A92" s="193"/>
      <c r="B92" s="194"/>
      <c r="C92" s="195"/>
      <c r="D92" s="196"/>
      <c r="E92" s="196"/>
      <c r="F92" s="196"/>
      <c r="G92" s="196"/>
      <c r="H92" s="196"/>
      <c r="I92" s="197"/>
      <c r="J92" s="214"/>
      <c r="K92" s="215">
        <f>SUM(K90:K91)</f>
        <v>155000</v>
      </c>
      <c r="L92" s="200"/>
      <c r="M92" s="201"/>
    </row>
    <row r="93" spans="1:14" s="141" customFormat="1" ht="23.25" customHeight="1" x14ac:dyDescent="0.2">
      <c r="A93" s="172">
        <v>18</v>
      </c>
      <c r="B93" s="173" t="s">
        <v>231</v>
      </c>
      <c r="C93" s="174"/>
      <c r="D93" s="175" t="s">
        <v>163</v>
      </c>
      <c r="E93" s="175"/>
      <c r="F93" s="175"/>
      <c r="G93" s="175"/>
      <c r="H93" s="175"/>
      <c r="I93" s="228" t="s">
        <v>232</v>
      </c>
      <c r="J93" s="177" t="s">
        <v>110</v>
      </c>
      <c r="K93" s="216">
        <f>155000*80%</f>
        <v>124000</v>
      </c>
      <c r="L93" s="179" t="s">
        <v>166</v>
      </c>
      <c r="M93" s="180" t="s">
        <v>233</v>
      </c>
    </row>
    <row r="94" spans="1:14" s="141" customFormat="1" ht="23.25" customHeight="1" x14ac:dyDescent="0.2">
      <c r="A94" s="182"/>
      <c r="B94" s="183"/>
      <c r="C94" s="184"/>
      <c r="D94" s="185"/>
      <c r="E94" s="185"/>
      <c r="F94" s="185"/>
      <c r="G94" s="185"/>
      <c r="H94" s="185"/>
      <c r="I94" s="176" t="s">
        <v>234</v>
      </c>
      <c r="J94" s="212" t="s">
        <v>110</v>
      </c>
      <c r="K94" s="217">
        <f>155000*5%</f>
        <v>7750</v>
      </c>
      <c r="L94" s="189"/>
      <c r="M94" s="190"/>
    </row>
    <row r="95" spans="1:14" s="141" customFormat="1" ht="23.25" customHeight="1" x14ac:dyDescent="0.2">
      <c r="A95" s="182"/>
      <c r="B95" s="183"/>
      <c r="C95" s="184"/>
      <c r="D95" s="185"/>
      <c r="E95" s="185"/>
      <c r="F95" s="185"/>
      <c r="G95" s="185"/>
      <c r="H95" s="185"/>
      <c r="I95" s="186" t="s">
        <v>235</v>
      </c>
      <c r="J95" s="212" t="s">
        <v>236</v>
      </c>
      <c r="K95" s="217">
        <f>155000*5%</f>
        <v>7750</v>
      </c>
      <c r="L95" s="189"/>
      <c r="M95" s="190"/>
      <c r="N95" s="181"/>
    </row>
    <row r="96" spans="1:14" s="141" customFormat="1" ht="23.25" customHeight="1" x14ac:dyDescent="0.2">
      <c r="A96" s="182"/>
      <c r="B96" s="183"/>
      <c r="C96" s="184"/>
      <c r="D96" s="185"/>
      <c r="E96" s="185"/>
      <c r="F96" s="185"/>
      <c r="G96" s="185"/>
      <c r="H96" s="185"/>
      <c r="I96" s="192" t="s">
        <v>237</v>
      </c>
      <c r="J96" s="212" t="s">
        <v>110</v>
      </c>
      <c r="K96" s="217">
        <f>155000*5%</f>
        <v>7750</v>
      </c>
      <c r="L96" s="189"/>
      <c r="M96" s="190"/>
    </row>
    <row r="97" spans="1:14" s="141" customFormat="1" ht="23.25" customHeight="1" x14ac:dyDescent="0.2">
      <c r="A97" s="182"/>
      <c r="B97" s="183"/>
      <c r="C97" s="184"/>
      <c r="D97" s="185"/>
      <c r="E97" s="185"/>
      <c r="F97" s="185"/>
      <c r="G97" s="185"/>
      <c r="H97" s="185"/>
      <c r="I97" s="192" t="s">
        <v>238</v>
      </c>
      <c r="J97" s="223" t="s">
        <v>117</v>
      </c>
      <c r="K97" s="217">
        <f>155000*5%</f>
        <v>7750</v>
      </c>
      <c r="L97" s="189"/>
      <c r="M97" s="190"/>
    </row>
    <row r="98" spans="1:14" s="141" customFormat="1" ht="23.25" customHeight="1" x14ac:dyDescent="0.2">
      <c r="A98" s="193"/>
      <c r="B98" s="194"/>
      <c r="C98" s="195"/>
      <c r="D98" s="196"/>
      <c r="E98" s="196"/>
      <c r="F98" s="196"/>
      <c r="G98" s="196"/>
      <c r="H98" s="196"/>
      <c r="I98" s="197"/>
      <c r="J98" s="226"/>
      <c r="K98" s="227">
        <f>SUM(K93:K97)</f>
        <v>155000</v>
      </c>
      <c r="L98" s="200"/>
      <c r="M98" s="201"/>
    </row>
    <row r="99" spans="1:14" s="141" customFormat="1" ht="23.25" customHeight="1" x14ac:dyDescent="0.2">
      <c r="A99" s="172">
        <v>19</v>
      </c>
      <c r="B99" s="173" t="s">
        <v>239</v>
      </c>
      <c r="C99" s="174"/>
      <c r="D99" s="175" t="s">
        <v>163</v>
      </c>
      <c r="E99" s="175"/>
      <c r="F99" s="175"/>
      <c r="G99" s="175"/>
      <c r="H99" s="175" t="s">
        <v>240</v>
      </c>
      <c r="I99" s="176" t="s">
        <v>241</v>
      </c>
      <c r="J99" s="177" t="s">
        <v>110</v>
      </c>
      <c r="K99" s="219">
        <f>155000*50%</f>
        <v>77500</v>
      </c>
      <c r="L99" s="174" t="s">
        <v>166</v>
      </c>
      <c r="M99" s="180" t="s">
        <v>242</v>
      </c>
    </row>
    <row r="100" spans="1:14" s="141" customFormat="1" ht="23.25" customHeight="1" x14ac:dyDescent="0.2">
      <c r="A100" s="182"/>
      <c r="B100" s="183"/>
      <c r="C100" s="184"/>
      <c r="D100" s="185"/>
      <c r="E100" s="185"/>
      <c r="F100" s="185"/>
      <c r="G100" s="185"/>
      <c r="H100" s="185"/>
      <c r="I100" s="186" t="s">
        <v>243</v>
      </c>
      <c r="J100" s="212" t="s">
        <v>110</v>
      </c>
      <c r="K100" s="220">
        <f>155000*5%</f>
        <v>7750</v>
      </c>
      <c r="L100" s="184"/>
      <c r="M100" s="190"/>
    </row>
    <row r="101" spans="1:14" s="141" customFormat="1" ht="23.25" customHeight="1" x14ac:dyDescent="0.2">
      <c r="A101" s="182"/>
      <c r="B101" s="183"/>
      <c r="C101" s="184"/>
      <c r="D101" s="185"/>
      <c r="E101" s="185"/>
      <c r="F101" s="185"/>
      <c r="G101" s="185"/>
      <c r="H101" s="185"/>
      <c r="I101" s="186" t="s">
        <v>244</v>
      </c>
      <c r="J101" s="212" t="s">
        <v>145</v>
      </c>
      <c r="K101" s="220">
        <f>155000*5%</f>
        <v>7750</v>
      </c>
      <c r="L101" s="184"/>
      <c r="M101" s="190"/>
    </row>
    <row r="102" spans="1:14" s="141" customFormat="1" ht="23.25" customHeight="1" x14ac:dyDescent="0.2">
      <c r="A102" s="182"/>
      <c r="B102" s="183"/>
      <c r="C102" s="184"/>
      <c r="D102" s="185"/>
      <c r="E102" s="185"/>
      <c r="F102" s="185"/>
      <c r="G102" s="185"/>
      <c r="H102" s="185"/>
      <c r="I102" s="192" t="s">
        <v>159</v>
      </c>
      <c r="J102" s="223" t="s">
        <v>110</v>
      </c>
      <c r="K102" s="220">
        <f>155000*5%</f>
        <v>7750</v>
      </c>
      <c r="L102" s="184"/>
      <c r="M102" s="190"/>
    </row>
    <row r="103" spans="1:14" s="141" customFormat="1" ht="23.25" customHeight="1" x14ac:dyDescent="0.2">
      <c r="A103" s="182"/>
      <c r="B103" s="183"/>
      <c r="C103" s="184"/>
      <c r="D103" s="185"/>
      <c r="E103" s="185"/>
      <c r="F103" s="185"/>
      <c r="G103" s="185"/>
      <c r="H103" s="185"/>
      <c r="I103" s="192" t="s">
        <v>245</v>
      </c>
      <c r="J103" s="212" t="s">
        <v>110</v>
      </c>
      <c r="K103" s="220">
        <f>155000*5%</f>
        <v>7750</v>
      </c>
      <c r="L103" s="184"/>
      <c r="M103" s="201"/>
    </row>
    <row r="104" spans="1:14" s="141" customFormat="1" ht="23.25" customHeight="1" x14ac:dyDescent="0.2">
      <c r="A104" s="182"/>
      <c r="B104" s="183"/>
      <c r="C104" s="184"/>
      <c r="D104" s="185"/>
      <c r="E104" s="185"/>
      <c r="F104" s="185"/>
      <c r="G104" s="185"/>
      <c r="H104" s="185"/>
      <c r="I104" s="192" t="s">
        <v>246</v>
      </c>
      <c r="J104" s="212" t="s">
        <v>247</v>
      </c>
      <c r="K104" s="253">
        <f>155000*15%</f>
        <v>23250</v>
      </c>
      <c r="L104" s="184"/>
      <c r="M104" s="190"/>
      <c r="N104" s="254"/>
    </row>
    <row r="105" spans="1:14" s="141" customFormat="1" ht="23.25" customHeight="1" x14ac:dyDescent="0.2">
      <c r="A105" s="182"/>
      <c r="B105" s="183"/>
      <c r="C105" s="184"/>
      <c r="D105" s="185"/>
      <c r="E105" s="185"/>
      <c r="F105" s="185"/>
      <c r="G105" s="185"/>
      <c r="H105" s="185"/>
      <c r="I105" s="176" t="s">
        <v>248</v>
      </c>
      <c r="J105" s="223" t="s">
        <v>247</v>
      </c>
      <c r="K105" s="210">
        <f>155000*5%</f>
        <v>7750</v>
      </c>
      <c r="L105" s="184"/>
      <c r="M105" s="190"/>
    </row>
    <row r="106" spans="1:14" s="141" customFormat="1" ht="23.25" customHeight="1" x14ac:dyDescent="0.2">
      <c r="A106" s="182"/>
      <c r="B106" s="183"/>
      <c r="C106" s="184"/>
      <c r="D106" s="185"/>
      <c r="E106" s="185"/>
      <c r="F106" s="185"/>
      <c r="G106" s="185"/>
      <c r="H106" s="185"/>
      <c r="I106" s="192" t="s">
        <v>249</v>
      </c>
      <c r="J106" s="177" t="s">
        <v>110</v>
      </c>
      <c r="K106" s="240">
        <f>155000*2%</f>
        <v>3100</v>
      </c>
      <c r="L106" s="184"/>
      <c r="M106" s="190"/>
    </row>
    <row r="107" spans="1:14" s="141" customFormat="1" ht="23.25" customHeight="1" x14ac:dyDescent="0.2">
      <c r="A107" s="182"/>
      <c r="B107" s="183"/>
      <c r="C107" s="184"/>
      <c r="D107" s="185"/>
      <c r="E107" s="185"/>
      <c r="F107" s="185"/>
      <c r="G107" s="185"/>
      <c r="H107" s="185"/>
      <c r="I107" s="176" t="s">
        <v>250</v>
      </c>
      <c r="J107" s="212" t="s">
        <v>110</v>
      </c>
      <c r="K107" s="240">
        <f>155000*2%</f>
        <v>3100</v>
      </c>
      <c r="L107" s="184"/>
      <c r="M107" s="201"/>
    </row>
    <row r="108" spans="1:14" s="141" customFormat="1" ht="23.25" customHeight="1" x14ac:dyDescent="0.2">
      <c r="A108" s="182"/>
      <c r="B108" s="183"/>
      <c r="C108" s="184"/>
      <c r="D108" s="185"/>
      <c r="E108" s="185"/>
      <c r="F108" s="185"/>
      <c r="G108" s="185"/>
      <c r="H108" s="185"/>
      <c r="I108" s="186" t="s">
        <v>251</v>
      </c>
      <c r="J108" s="212" t="s">
        <v>126</v>
      </c>
      <c r="K108" s="240">
        <f>155000*2%</f>
        <v>3100</v>
      </c>
      <c r="L108" s="184"/>
      <c r="M108" s="190"/>
    </row>
    <row r="109" spans="1:14" s="141" customFormat="1" ht="23.25" customHeight="1" x14ac:dyDescent="0.2">
      <c r="A109" s="182"/>
      <c r="B109" s="183"/>
      <c r="C109" s="184"/>
      <c r="D109" s="185"/>
      <c r="E109" s="185"/>
      <c r="F109" s="185"/>
      <c r="G109" s="185"/>
      <c r="H109" s="185"/>
      <c r="I109" s="186" t="s">
        <v>252</v>
      </c>
      <c r="J109" s="223" t="s">
        <v>179</v>
      </c>
      <c r="K109" s="240">
        <f>155000*2%</f>
        <v>3100</v>
      </c>
      <c r="L109" s="184"/>
      <c r="M109" s="190"/>
      <c r="N109" s="181"/>
    </row>
    <row r="110" spans="1:14" s="141" customFormat="1" ht="23.25" customHeight="1" x14ac:dyDescent="0.2">
      <c r="A110" s="182"/>
      <c r="B110" s="183"/>
      <c r="C110" s="184"/>
      <c r="D110" s="185"/>
      <c r="E110" s="185"/>
      <c r="F110" s="185"/>
      <c r="G110" s="185"/>
      <c r="H110" s="185"/>
      <c r="I110" s="192" t="s">
        <v>253</v>
      </c>
      <c r="J110" s="223" t="s">
        <v>117</v>
      </c>
      <c r="K110" s="240">
        <f>155000*2%</f>
        <v>3100</v>
      </c>
      <c r="L110" s="184"/>
      <c r="M110" s="201"/>
    </row>
    <row r="111" spans="1:14" s="141" customFormat="1" ht="23.2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226"/>
      <c r="K111" s="239">
        <f>SUM(K99:K110)</f>
        <v>155000</v>
      </c>
      <c r="L111" s="195"/>
      <c r="M111" s="201"/>
    </row>
    <row r="112" spans="1:14" s="141" customFormat="1" ht="23.25" customHeight="1" x14ac:dyDescent="0.2">
      <c r="A112" s="172">
        <v>20</v>
      </c>
      <c r="B112" s="173" t="s">
        <v>254</v>
      </c>
      <c r="C112" s="174"/>
      <c r="D112" s="255" t="s">
        <v>107</v>
      </c>
      <c r="E112" s="185"/>
      <c r="F112" s="185"/>
      <c r="G112" s="185"/>
      <c r="H112" s="185"/>
      <c r="I112" s="176" t="s">
        <v>255</v>
      </c>
      <c r="J112" s="177" t="s">
        <v>110</v>
      </c>
      <c r="K112" s="216">
        <f>5000*90%</f>
        <v>4500</v>
      </c>
      <c r="L112" s="174" t="s">
        <v>111</v>
      </c>
      <c r="M112" s="190" t="s">
        <v>256</v>
      </c>
    </row>
    <row r="113" spans="1:13" s="141" customFormat="1" ht="23.25" customHeight="1" x14ac:dyDescent="0.2">
      <c r="A113" s="182"/>
      <c r="B113" s="183"/>
      <c r="C113" s="184"/>
      <c r="D113" s="255"/>
      <c r="E113" s="185"/>
      <c r="F113" s="185"/>
      <c r="G113" s="185"/>
      <c r="H113" s="185"/>
      <c r="I113" s="192" t="s">
        <v>257</v>
      </c>
      <c r="J113" s="223" t="s">
        <v>211</v>
      </c>
      <c r="K113" s="232">
        <f>5000*10%</f>
        <v>500</v>
      </c>
      <c r="L113" s="184"/>
      <c r="M113" s="190"/>
    </row>
    <row r="114" spans="1:13" s="141" customFormat="1" ht="23.25" customHeight="1" x14ac:dyDescent="0.2">
      <c r="A114" s="193"/>
      <c r="B114" s="194"/>
      <c r="C114" s="195"/>
      <c r="D114" s="256"/>
      <c r="E114" s="196"/>
      <c r="F114" s="196"/>
      <c r="G114" s="196"/>
      <c r="H114" s="196"/>
      <c r="I114" s="206"/>
      <c r="J114" s="226"/>
      <c r="K114" s="257">
        <f>SUM(K112:K113)</f>
        <v>5000</v>
      </c>
      <c r="L114" s="195"/>
      <c r="M114" s="201"/>
    </row>
    <row r="115" spans="1:13" s="141" customFormat="1" ht="23.25" customHeight="1" x14ac:dyDescent="0.2">
      <c r="A115" s="172">
        <v>21</v>
      </c>
      <c r="B115" s="173" t="s">
        <v>258</v>
      </c>
      <c r="C115" s="174"/>
      <c r="D115" s="255" t="s">
        <v>107</v>
      </c>
      <c r="E115" s="185"/>
      <c r="F115" s="185"/>
      <c r="G115" s="185"/>
      <c r="H115" s="258"/>
      <c r="I115" s="228" t="s">
        <v>259</v>
      </c>
      <c r="J115" s="259" t="s">
        <v>110</v>
      </c>
      <c r="K115" s="210">
        <f>10000*35%</f>
        <v>3500</v>
      </c>
      <c r="L115" s="174" t="s">
        <v>111</v>
      </c>
      <c r="M115" s="180" t="s">
        <v>260</v>
      </c>
    </row>
    <row r="116" spans="1:13" s="141" customFormat="1" ht="23.25" customHeight="1" x14ac:dyDescent="0.2">
      <c r="A116" s="182"/>
      <c r="B116" s="183"/>
      <c r="C116" s="184"/>
      <c r="D116" s="255"/>
      <c r="E116" s="185"/>
      <c r="F116" s="185"/>
      <c r="G116" s="185"/>
      <c r="H116" s="260"/>
      <c r="I116" s="176" t="s">
        <v>261</v>
      </c>
      <c r="J116" s="177" t="s">
        <v>117</v>
      </c>
      <c r="K116" s="261">
        <f>10000*25%</f>
        <v>2500</v>
      </c>
      <c r="L116" s="184"/>
      <c r="M116" s="190"/>
    </row>
    <row r="117" spans="1:13" s="141" customFormat="1" ht="23.25" customHeight="1" x14ac:dyDescent="0.2">
      <c r="A117" s="182"/>
      <c r="B117" s="183"/>
      <c r="C117" s="184"/>
      <c r="D117" s="255"/>
      <c r="E117" s="185"/>
      <c r="F117" s="185"/>
      <c r="G117" s="185"/>
      <c r="H117" s="260"/>
      <c r="I117" s="192" t="s">
        <v>262</v>
      </c>
      <c r="J117" s="223" t="s">
        <v>117</v>
      </c>
      <c r="K117" s="220">
        <f>10000*5%</f>
        <v>500</v>
      </c>
      <c r="L117" s="184"/>
      <c r="M117" s="190"/>
    </row>
    <row r="118" spans="1:13" s="141" customFormat="1" ht="23.25" customHeight="1" x14ac:dyDescent="0.2">
      <c r="A118" s="182"/>
      <c r="B118" s="183"/>
      <c r="C118" s="184"/>
      <c r="D118" s="255"/>
      <c r="E118" s="185"/>
      <c r="F118" s="185"/>
      <c r="G118" s="185"/>
      <c r="H118" s="260"/>
      <c r="I118" s="176" t="s">
        <v>263</v>
      </c>
      <c r="J118" s="223" t="s">
        <v>117</v>
      </c>
      <c r="K118" s="210">
        <f>10000*5%</f>
        <v>500</v>
      </c>
      <c r="L118" s="184"/>
      <c r="M118" s="190"/>
    </row>
    <row r="119" spans="1:13" s="141" customFormat="1" ht="23.25" customHeight="1" x14ac:dyDescent="0.2">
      <c r="A119" s="182"/>
      <c r="B119" s="183"/>
      <c r="C119" s="184"/>
      <c r="D119" s="255"/>
      <c r="E119" s="185"/>
      <c r="F119" s="185"/>
      <c r="G119" s="185"/>
      <c r="H119" s="260"/>
      <c r="I119" s="186" t="s">
        <v>264</v>
      </c>
      <c r="J119" s="177" t="s">
        <v>117</v>
      </c>
      <c r="K119" s="225">
        <f t="shared" ref="K119:K124" si="1">10000*5%</f>
        <v>500</v>
      </c>
      <c r="L119" s="184"/>
      <c r="M119" s="190"/>
    </row>
    <row r="120" spans="1:13" s="141" customFormat="1" ht="23.25" customHeight="1" x14ac:dyDescent="0.2">
      <c r="A120" s="182"/>
      <c r="B120" s="183"/>
      <c r="C120" s="184"/>
      <c r="D120" s="255"/>
      <c r="E120" s="185"/>
      <c r="F120" s="185"/>
      <c r="G120" s="185"/>
      <c r="H120" s="260"/>
      <c r="I120" s="192" t="s">
        <v>152</v>
      </c>
      <c r="J120" s="212" t="s">
        <v>117</v>
      </c>
      <c r="K120" s="220">
        <f t="shared" si="1"/>
        <v>500</v>
      </c>
      <c r="L120" s="184"/>
      <c r="M120" s="190"/>
    </row>
    <row r="121" spans="1:13" s="141" customFormat="1" ht="23.25" customHeight="1" x14ac:dyDescent="0.2">
      <c r="A121" s="182"/>
      <c r="B121" s="183"/>
      <c r="C121" s="184"/>
      <c r="D121" s="255"/>
      <c r="E121" s="185"/>
      <c r="F121" s="185"/>
      <c r="G121" s="185"/>
      <c r="H121" s="260"/>
      <c r="I121" s="192" t="s">
        <v>265</v>
      </c>
      <c r="J121" s="223" t="s">
        <v>117</v>
      </c>
      <c r="K121" s="220">
        <f t="shared" si="1"/>
        <v>500</v>
      </c>
      <c r="L121" s="184"/>
      <c r="M121" s="190"/>
    </row>
    <row r="122" spans="1:13" s="141" customFormat="1" ht="23.25" customHeight="1" x14ac:dyDescent="0.2">
      <c r="A122" s="182"/>
      <c r="B122" s="183"/>
      <c r="C122" s="184"/>
      <c r="D122" s="255"/>
      <c r="E122" s="185"/>
      <c r="F122" s="185"/>
      <c r="G122" s="185"/>
      <c r="H122" s="260"/>
      <c r="I122" s="176" t="s">
        <v>266</v>
      </c>
      <c r="J122" s="223" t="s">
        <v>117</v>
      </c>
      <c r="K122" s="210">
        <f t="shared" si="1"/>
        <v>500</v>
      </c>
      <c r="L122" s="184"/>
      <c r="M122" s="190"/>
    </row>
    <row r="123" spans="1:13" s="141" customFormat="1" ht="23.25" customHeight="1" x14ac:dyDescent="0.2">
      <c r="A123" s="182"/>
      <c r="B123" s="183"/>
      <c r="C123" s="184"/>
      <c r="D123" s="255"/>
      <c r="E123" s="185"/>
      <c r="F123" s="185"/>
      <c r="G123" s="185"/>
      <c r="H123" s="260"/>
      <c r="I123" s="186" t="s">
        <v>267</v>
      </c>
      <c r="J123" s="223" t="s">
        <v>117</v>
      </c>
      <c r="K123" s="232">
        <f t="shared" si="1"/>
        <v>500</v>
      </c>
      <c r="L123" s="184"/>
      <c r="M123" s="190"/>
    </row>
    <row r="124" spans="1:13" s="141" customFormat="1" ht="23.25" customHeight="1" x14ac:dyDescent="0.2">
      <c r="A124" s="182"/>
      <c r="B124" s="183"/>
      <c r="C124" s="184"/>
      <c r="D124" s="255"/>
      <c r="E124" s="185"/>
      <c r="F124" s="185"/>
      <c r="G124" s="185"/>
      <c r="H124" s="260"/>
      <c r="I124" s="186" t="s">
        <v>268</v>
      </c>
      <c r="J124" s="177" t="s">
        <v>117</v>
      </c>
      <c r="K124" s="261">
        <f t="shared" si="1"/>
        <v>500</v>
      </c>
      <c r="L124" s="184"/>
      <c r="M124" s="190"/>
    </row>
    <row r="125" spans="1:13" s="141" customFormat="1" ht="23.25" customHeight="1" x14ac:dyDescent="0.2">
      <c r="A125" s="193"/>
      <c r="B125" s="194"/>
      <c r="C125" s="195"/>
      <c r="D125" s="256"/>
      <c r="E125" s="196"/>
      <c r="F125" s="196"/>
      <c r="G125" s="196"/>
      <c r="H125" s="262"/>
      <c r="I125" s="206"/>
      <c r="J125" s="214"/>
      <c r="K125" s="221">
        <f>SUM(K115:K124)</f>
        <v>10000</v>
      </c>
      <c r="L125" s="195"/>
      <c r="M125" s="201"/>
    </row>
    <row r="126" spans="1:13" s="141" customFormat="1" ht="23.25" customHeight="1" x14ac:dyDescent="0.2">
      <c r="A126" s="172">
        <v>22</v>
      </c>
      <c r="B126" s="173" t="s">
        <v>269</v>
      </c>
      <c r="C126" s="174"/>
      <c r="D126" s="263" t="s">
        <v>107</v>
      </c>
      <c r="E126" s="175"/>
      <c r="F126" s="175"/>
      <c r="G126" s="175"/>
      <c r="H126" s="258"/>
      <c r="I126" s="264" t="s">
        <v>270</v>
      </c>
      <c r="J126" s="208" t="s">
        <v>271</v>
      </c>
      <c r="K126" s="216">
        <f>3000*70%</f>
        <v>2100</v>
      </c>
      <c r="L126" s="174" t="s">
        <v>111</v>
      </c>
      <c r="M126" s="180" t="s">
        <v>272</v>
      </c>
    </row>
    <row r="127" spans="1:13" s="141" customFormat="1" ht="23.25" customHeight="1" x14ac:dyDescent="0.2">
      <c r="A127" s="182"/>
      <c r="B127" s="183"/>
      <c r="C127" s="184"/>
      <c r="D127" s="255"/>
      <c r="E127" s="185"/>
      <c r="F127" s="185"/>
      <c r="G127" s="185"/>
      <c r="H127" s="260"/>
      <c r="I127" s="186" t="s">
        <v>273</v>
      </c>
      <c r="J127" s="177" t="s">
        <v>274</v>
      </c>
      <c r="K127" s="261">
        <f>3000*10%</f>
        <v>300</v>
      </c>
      <c r="L127" s="184"/>
      <c r="M127" s="190"/>
    </row>
    <row r="128" spans="1:13" s="141" customFormat="1" ht="23.25" customHeight="1" x14ac:dyDescent="0.2">
      <c r="A128" s="182"/>
      <c r="B128" s="183"/>
      <c r="C128" s="184"/>
      <c r="D128" s="255"/>
      <c r="E128" s="185"/>
      <c r="F128" s="185"/>
      <c r="G128" s="185"/>
      <c r="H128" s="260"/>
      <c r="I128" s="192" t="s">
        <v>275</v>
      </c>
      <c r="J128" s="212" t="s">
        <v>117</v>
      </c>
      <c r="K128" s="220">
        <f>3000*10%</f>
        <v>300</v>
      </c>
      <c r="L128" s="184"/>
      <c r="M128" s="190"/>
    </row>
    <row r="129" spans="1:13" s="141" customFormat="1" ht="23.25" customHeight="1" x14ac:dyDescent="0.2">
      <c r="A129" s="182"/>
      <c r="B129" s="183"/>
      <c r="C129" s="184"/>
      <c r="D129" s="255"/>
      <c r="E129" s="185"/>
      <c r="F129" s="185"/>
      <c r="G129" s="185"/>
      <c r="H129" s="260"/>
      <c r="I129" s="176" t="s">
        <v>276</v>
      </c>
      <c r="J129" s="212" t="s">
        <v>117</v>
      </c>
      <c r="K129" s="220">
        <f>3000*10%</f>
        <v>300</v>
      </c>
      <c r="L129" s="184"/>
      <c r="M129" s="190"/>
    </row>
    <row r="130" spans="1:13" s="141" customFormat="1" ht="23.25" customHeight="1" x14ac:dyDescent="0.2">
      <c r="A130" s="193"/>
      <c r="B130" s="194"/>
      <c r="C130" s="195"/>
      <c r="D130" s="256"/>
      <c r="E130" s="196"/>
      <c r="F130" s="196"/>
      <c r="G130" s="196"/>
      <c r="H130" s="262"/>
      <c r="I130" s="206"/>
      <c r="J130" s="214"/>
      <c r="K130" s="215">
        <f>SUM(K126:K129)</f>
        <v>3000</v>
      </c>
      <c r="L130" s="195"/>
      <c r="M130" s="201"/>
    </row>
    <row r="131" spans="1:13" s="141" customFormat="1" ht="23.25" customHeight="1" x14ac:dyDescent="0.2">
      <c r="A131" s="265">
        <v>23</v>
      </c>
      <c r="B131" s="266" t="s">
        <v>277</v>
      </c>
      <c r="C131" s="267" t="s">
        <v>277</v>
      </c>
      <c r="D131" s="268" t="s">
        <v>107</v>
      </c>
      <c r="E131" s="269"/>
      <c r="F131" s="269"/>
      <c r="G131" s="269"/>
      <c r="H131" s="270"/>
      <c r="I131" s="197" t="s">
        <v>278</v>
      </c>
      <c r="J131" s="226" t="s">
        <v>117</v>
      </c>
      <c r="K131" s="271">
        <v>11000</v>
      </c>
      <c r="L131" s="272" t="s">
        <v>111</v>
      </c>
      <c r="M131" s="226" t="s">
        <v>279</v>
      </c>
    </row>
    <row r="132" spans="1:13" s="141" customFormat="1" ht="23.25" customHeight="1" x14ac:dyDescent="0.2">
      <c r="A132" s="172">
        <v>24</v>
      </c>
      <c r="B132" s="173" t="s">
        <v>280</v>
      </c>
      <c r="C132" s="174"/>
      <c r="D132" s="263" t="s">
        <v>107</v>
      </c>
      <c r="E132" s="175"/>
      <c r="F132" s="175"/>
      <c r="G132" s="175"/>
      <c r="H132" s="175"/>
      <c r="I132" s="176" t="s">
        <v>281</v>
      </c>
      <c r="J132" s="177" t="s">
        <v>117</v>
      </c>
      <c r="K132" s="216">
        <f>11000*35%</f>
        <v>3849.9999999999995</v>
      </c>
      <c r="L132" s="179" t="s">
        <v>111</v>
      </c>
      <c r="M132" s="180" t="s">
        <v>282</v>
      </c>
    </row>
    <row r="133" spans="1:13" s="141" customFormat="1" ht="23.25" customHeight="1" x14ac:dyDescent="0.2">
      <c r="A133" s="182"/>
      <c r="B133" s="183"/>
      <c r="C133" s="184"/>
      <c r="D133" s="255"/>
      <c r="E133" s="185"/>
      <c r="F133" s="185"/>
      <c r="G133" s="185"/>
      <c r="H133" s="185"/>
      <c r="I133" s="192" t="s">
        <v>283</v>
      </c>
      <c r="J133" s="212" t="s">
        <v>117</v>
      </c>
      <c r="K133" s="217">
        <f>11000*20%</f>
        <v>2200</v>
      </c>
      <c r="L133" s="189"/>
      <c r="M133" s="190"/>
    </row>
    <row r="134" spans="1:13" s="141" customFormat="1" ht="23.25" customHeight="1" x14ac:dyDescent="0.2">
      <c r="A134" s="182"/>
      <c r="B134" s="183"/>
      <c r="C134" s="184"/>
      <c r="D134" s="255"/>
      <c r="E134" s="185"/>
      <c r="F134" s="185"/>
      <c r="G134" s="185"/>
      <c r="H134" s="185"/>
      <c r="I134" s="176" t="s">
        <v>284</v>
      </c>
      <c r="J134" s="187" t="s">
        <v>117</v>
      </c>
      <c r="K134" s="211">
        <f>11000*15%</f>
        <v>1650</v>
      </c>
      <c r="L134" s="189"/>
      <c r="M134" s="190"/>
    </row>
    <row r="135" spans="1:13" s="141" customFormat="1" ht="23.25" customHeight="1" x14ac:dyDescent="0.2">
      <c r="A135" s="182"/>
      <c r="B135" s="183"/>
      <c r="C135" s="184"/>
      <c r="D135" s="255"/>
      <c r="E135" s="185"/>
      <c r="F135" s="185"/>
      <c r="G135" s="185"/>
      <c r="H135" s="185"/>
      <c r="I135" s="186" t="s">
        <v>285</v>
      </c>
      <c r="J135" s="177" t="s">
        <v>117</v>
      </c>
      <c r="K135" s="240">
        <f>11000*15%</f>
        <v>1650</v>
      </c>
      <c r="L135" s="189"/>
      <c r="M135" s="190"/>
    </row>
    <row r="136" spans="1:13" s="141" customFormat="1" ht="23.25" customHeight="1" x14ac:dyDescent="0.2">
      <c r="A136" s="182"/>
      <c r="B136" s="183"/>
      <c r="C136" s="184"/>
      <c r="D136" s="255"/>
      <c r="E136" s="185"/>
      <c r="F136" s="185"/>
      <c r="G136" s="185"/>
      <c r="H136" s="185"/>
      <c r="I136" s="186" t="s">
        <v>286</v>
      </c>
      <c r="J136" s="212" t="s">
        <v>117</v>
      </c>
      <c r="K136" s="210">
        <f>11000*15%</f>
        <v>1650</v>
      </c>
      <c r="L136" s="189"/>
      <c r="M136" s="190"/>
    </row>
    <row r="137" spans="1:13" s="141" customFormat="1" ht="23.25" customHeight="1" x14ac:dyDescent="0.2">
      <c r="A137" s="193"/>
      <c r="B137" s="194"/>
      <c r="C137" s="195"/>
      <c r="D137" s="256"/>
      <c r="E137" s="196"/>
      <c r="F137" s="196"/>
      <c r="G137" s="196"/>
      <c r="H137" s="196"/>
      <c r="I137" s="206"/>
      <c r="J137" s="198"/>
      <c r="K137" s="227">
        <f>SUM(K132:K136)</f>
        <v>11000</v>
      </c>
      <c r="L137" s="200"/>
      <c r="M137" s="201"/>
    </row>
    <row r="138" spans="1:13" s="141" customFormat="1" ht="23.25" customHeight="1" x14ac:dyDescent="0.2">
      <c r="A138" s="172">
        <v>25</v>
      </c>
      <c r="B138" s="173" t="s">
        <v>287</v>
      </c>
      <c r="C138" s="174"/>
      <c r="D138" s="263" t="s">
        <v>107</v>
      </c>
      <c r="E138" s="175"/>
      <c r="F138" s="175"/>
      <c r="G138" s="175"/>
      <c r="H138" s="175"/>
      <c r="I138" s="176" t="s">
        <v>288</v>
      </c>
      <c r="J138" s="177" t="s">
        <v>145</v>
      </c>
      <c r="K138" s="216">
        <f>10000*70%</f>
        <v>7000</v>
      </c>
      <c r="L138" s="179" t="s">
        <v>111</v>
      </c>
      <c r="M138" s="180" t="s">
        <v>289</v>
      </c>
    </row>
    <row r="139" spans="1:13" s="141" customFormat="1" ht="23.25" customHeight="1" x14ac:dyDescent="0.2">
      <c r="A139" s="182"/>
      <c r="B139" s="183"/>
      <c r="C139" s="184"/>
      <c r="D139" s="255"/>
      <c r="E139" s="185"/>
      <c r="F139" s="185"/>
      <c r="G139" s="185"/>
      <c r="H139" s="185"/>
      <c r="I139" s="192" t="s">
        <v>290</v>
      </c>
      <c r="J139" s="223" t="s">
        <v>147</v>
      </c>
      <c r="K139" s="213">
        <f>10000*15%</f>
        <v>1500</v>
      </c>
      <c r="L139" s="189"/>
      <c r="M139" s="190"/>
    </row>
    <row r="140" spans="1:13" s="141" customFormat="1" ht="23.25" customHeight="1" x14ac:dyDescent="0.2">
      <c r="A140" s="182"/>
      <c r="B140" s="183"/>
      <c r="C140" s="184"/>
      <c r="D140" s="255"/>
      <c r="E140" s="185"/>
      <c r="F140" s="185"/>
      <c r="G140" s="185"/>
      <c r="H140" s="185"/>
      <c r="I140" s="192" t="s">
        <v>291</v>
      </c>
      <c r="J140" s="177" t="s">
        <v>117</v>
      </c>
      <c r="K140" s="240">
        <f>10000*15%</f>
        <v>1500</v>
      </c>
      <c r="L140" s="189"/>
      <c r="M140" s="190"/>
    </row>
    <row r="141" spans="1:13" s="141" customFormat="1" ht="23.25" customHeight="1" x14ac:dyDescent="0.2">
      <c r="A141" s="193"/>
      <c r="B141" s="194"/>
      <c r="C141" s="195"/>
      <c r="D141" s="256"/>
      <c r="E141" s="196"/>
      <c r="F141" s="196"/>
      <c r="G141" s="196"/>
      <c r="H141" s="196"/>
      <c r="I141" s="197"/>
      <c r="J141" s="214"/>
      <c r="K141" s="215">
        <f>SUM(K138:K140)</f>
        <v>10000</v>
      </c>
      <c r="L141" s="200"/>
      <c r="M141" s="201"/>
    </row>
    <row r="142" spans="1:13" s="141" customFormat="1" ht="23.25" customHeight="1" x14ac:dyDescent="0.2">
      <c r="A142" s="172">
        <v>26</v>
      </c>
      <c r="B142" s="173" t="s">
        <v>292</v>
      </c>
      <c r="C142" s="174"/>
      <c r="D142" s="263" t="s">
        <v>107</v>
      </c>
      <c r="E142" s="175"/>
      <c r="F142" s="175"/>
      <c r="G142" s="175"/>
      <c r="H142" s="175"/>
      <c r="I142" s="228" t="s">
        <v>293</v>
      </c>
      <c r="J142" s="177" t="s">
        <v>110</v>
      </c>
      <c r="K142" s="216">
        <f>8000*80%</f>
        <v>6400</v>
      </c>
      <c r="L142" s="179" t="s">
        <v>111</v>
      </c>
      <c r="M142" s="180" t="s">
        <v>294</v>
      </c>
    </row>
    <row r="143" spans="1:13" s="141" customFormat="1" ht="23.25" customHeight="1" x14ac:dyDescent="0.2">
      <c r="A143" s="182"/>
      <c r="B143" s="183"/>
      <c r="C143" s="184"/>
      <c r="D143" s="255"/>
      <c r="E143" s="185"/>
      <c r="F143" s="185"/>
      <c r="G143" s="185"/>
      <c r="H143" s="185"/>
      <c r="I143" s="176" t="s">
        <v>295</v>
      </c>
      <c r="J143" s="191" t="s">
        <v>117</v>
      </c>
      <c r="K143" s="240">
        <f>8000*5%</f>
        <v>400</v>
      </c>
      <c r="L143" s="189"/>
      <c r="M143" s="190"/>
    </row>
    <row r="144" spans="1:13" s="141" customFormat="1" ht="23.25" customHeight="1" x14ac:dyDescent="0.2">
      <c r="A144" s="182"/>
      <c r="B144" s="183"/>
      <c r="C144" s="184"/>
      <c r="D144" s="255"/>
      <c r="E144" s="185"/>
      <c r="F144" s="185"/>
      <c r="G144" s="185"/>
      <c r="H144" s="185"/>
      <c r="I144" s="192" t="s">
        <v>161</v>
      </c>
      <c r="J144" s="191" t="s">
        <v>117</v>
      </c>
      <c r="K144" s="211">
        <f>8000*5%</f>
        <v>400</v>
      </c>
      <c r="L144" s="189"/>
      <c r="M144" s="190"/>
    </row>
    <row r="145" spans="1:13" s="141" customFormat="1" ht="23.25" customHeight="1" x14ac:dyDescent="0.2">
      <c r="A145" s="182"/>
      <c r="B145" s="183"/>
      <c r="C145" s="184"/>
      <c r="D145" s="255"/>
      <c r="E145" s="185"/>
      <c r="F145" s="185"/>
      <c r="G145" s="185"/>
      <c r="H145" s="185"/>
      <c r="I145" s="176" t="s">
        <v>296</v>
      </c>
      <c r="J145" s="191" t="s">
        <v>117</v>
      </c>
      <c r="K145" s="240">
        <f>8000*5%</f>
        <v>400</v>
      </c>
      <c r="L145" s="189"/>
      <c r="M145" s="190"/>
    </row>
    <row r="146" spans="1:13" s="141" customFormat="1" ht="23.25" customHeight="1" x14ac:dyDescent="0.2">
      <c r="A146" s="182"/>
      <c r="B146" s="183"/>
      <c r="C146" s="184"/>
      <c r="D146" s="255"/>
      <c r="E146" s="185"/>
      <c r="F146" s="185"/>
      <c r="G146" s="185"/>
      <c r="H146" s="185"/>
      <c r="I146" s="192" t="s">
        <v>297</v>
      </c>
      <c r="J146" s="223" t="s">
        <v>117</v>
      </c>
      <c r="K146" s="210">
        <f>8000*5%</f>
        <v>400</v>
      </c>
      <c r="L146" s="189"/>
      <c r="M146" s="190"/>
    </row>
    <row r="147" spans="1:13" s="141" customFormat="1" ht="23.25" customHeight="1" x14ac:dyDescent="0.2">
      <c r="A147" s="193"/>
      <c r="B147" s="194"/>
      <c r="C147" s="195"/>
      <c r="D147" s="256"/>
      <c r="E147" s="196"/>
      <c r="F147" s="196"/>
      <c r="G147" s="196"/>
      <c r="H147" s="196"/>
      <c r="I147" s="197"/>
      <c r="J147" s="226"/>
      <c r="K147" s="227">
        <f>SUM(K142:K146)</f>
        <v>8000</v>
      </c>
      <c r="L147" s="200"/>
      <c r="M147" s="201"/>
    </row>
    <row r="148" spans="1:13" s="141" customFormat="1" ht="23.25" customHeight="1" x14ac:dyDescent="0.2">
      <c r="A148" s="172">
        <v>27</v>
      </c>
      <c r="B148" s="173" t="s">
        <v>298</v>
      </c>
      <c r="C148" s="174"/>
      <c r="D148" s="263" t="s">
        <v>107</v>
      </c>
      <c r="E148" s="175"/>
      <c r="F148" s="175"/>
      <c r="G148" s="175"/>
      <c r="H148" s="175"/>
      <c r="I148" s="176" t="s">
        <v>299</v>
      </c>
      <c r="J148" s="177" t="s">
        <v>110</v>
      </c>
      <c r="K148" s="216">
        <f>8000*70%</f>
        <v>5600</v>
      </c>
      <c r="L148" s="174" t="s">
        <v>111</v>
      </c>
      <c r="M148" s="180" t="s">
        <v>300</v>
      </c>
    </row>
    <row r="149" spans="1:13" s="141" customFormat="1" ht="23.25" customHeight="1" x14ac:dyDescent="0.2">
      <c r="A149" s="182"/>
      <c r="B149" s="183"/>
      <c r="C149" s="184"/>
      <c r="D149" s="255"/>
      <c r="E149" s="185"/>
      <c r="F149" s="185"/>
      <c r="G149" s="185"/>
      <c r="H149" s="185"/>
      <c r="I149" s="192" t="s">
        <v>301</v>
      </c>
      <c r="J149" s="212" t="s">
        <v>117</v>
      </c>
      <c r="K149" s="220">
        <f>8000*20%</f>
        <v>1600</v>
      </c>
      <c r="L149" s="184"/>
      <c r="M149" s="190"/>
    </row>
    <row r="150" spans="1:13" s="141" customFormat="1" ht="23.25" customHeight="1" x14ac:dyDescent="0.2">
      <c r="A150" s="182"/>
      <c r="B150" s="183"/>
      <c r="C150" s="184"/>
      <c r="D150" s="255"/>
      <c r="E150" s="185"/>
      <c r="F150" s="185"/>
      <c r="G150" s="185"/>
      <c r="H150" s="185"/>
      <c r="I150" s="176" t="s">
        <v>302</v>
      </c>
      <c r="J150" s="212" t="s">
        <v>303</v>
      </c>
      <c r="K150" s="220">
        <f>8000*5%</f>
        <v>400</v>
      </c>
      <c r="L150" s="184"/>
      <c r="M150" s="190"/>
    </row>
    <row r="151" spans="1:13" s="141" customFormat="1" ht="23.25" customHeight="1" x14ac:dyDescent="0.2">
      <c r="A151" s="182"/>
      <c r="B151" s="183"/>
      <c r="C151" s="184"/>
      <c r="D151" s="255"/>
      <c r="E151" s="185"/>
      <c r="F151" s="185"/>
      <c r="G151" s="185"/>
      <c r="H151" s="185"/>
      <c r="I151" s="186" t="s">
        <v>304</v>
      </c>
      <c r="J151" s="223" t="s">
        <v>117</v>
      </c>
      <c r="K151" s="220">
        <f>8000*5%</f>
        <v>400</v>
      </c>
      <c r="L151" s="184"/>
      <c r="M151" s="190"/>
    </row>
    <row r="152" spans="1:13" s="141" customFormat="1" ht="23.25" customHeight="1" x14ac:dyDescent="0.2">
      <c r="A152" s="193"/>
      <c r="B152" s="194"/>
      <c r="C152" s="195"/>
      <c r="D152" s="256"/>
      <c r="E152" s="196"/>
      <c r="F152" s="196"/>
      <c r="G152" s="196"/>
      <c r="H152" s="196"/>
      <c r="I152" s="206"/>
      <c r="J152" s="226"/>
      <c r="K152" s="215">
        <f>SUM(K148:K151)</f>
        <v>8000</v>
      </c>
      <c r="L152" s="195"/>
      <c r="M152" s="201"/>
    </row>
    <row r="153" spans="1:13" s="141" customFormat="1" ht="48" customHeight="1" x14ac:dyDescent="0.2">
      <c r="A153" s="172">
        <v>28</v>
      </c>
      <c r="B153" s="173" t="s">
        <v>305</v>
      </c>
      <c r="C153" s="174"/>
      <c r="D153" s="263" t="s">
        <v>107</v>
      </c>
      <c r="E153" s="175"/>
      <c r="F153" s="175"/>
      <c r="G153" s="175"/>
      <c r="H153" s="175"/>
      <c r="I153" s="228" t="s">
        <v>306</v>
      </c>
      <c r="J153" s="177" t="s">
        <v>117</v>
      </c>
      <c r="K153" s="222">
        <f>8000*60%</f>
        <v>4800</v>
      </c>
      <c r="L153" s="179" t="s">
        <v>111</v>
      </c>
      <c r="M153" s="180" t="s">
        <v>307</v>
      </c>
    </row>
    <row r="154" spans="1:13" s="141" customFormat="1" ht="47.25" customHeight="1" x14ac:dyDescent="0.2">
      <c r="A154" s="182"/>
      <c r="B154" s="183"/>
      <c r="C154" s="184"/>
      <c r="D154" s="255"/>
      <c r="E154" s="185"/>
      <c r="F154" s="185"/>
      <c r="G154" s="185"/>
      <c r="H154" s="185"/>
      <c r="I154" s="192" t="s">
        <v>308</v>
      </c>
      <c r="J154" s="212" t="s">
        <v>117</v>
      </c>
      <c r="K154" s="213">
        <f>8000*20%</f>
        <v>1600</v>
      </c>
      <c r="L154" s="189"/>
      <c r="M154" s="190"/>
    </row>
    <row r="155" spans="1:13" s="141" customFormat="1" ht="45.75" customHeight="1" x14ac:dyDescent="0.2">
      <c r="A155" s="182"/>
      <c r="B155" s="183"/>
      <c r="C155" s="184"/>
      <c r="D155" s="255"/>
      <c r="E155" s="185"/>
      <c r="F155" s="185"/>
      <c r="G155" s="185"/>
      <c r="H155" s="185"/>
      <c r="I155" s="176" t="s">
        <v>309</v>
      </c>
      <c r="J155" s="212" t="s">
        <v>117</v>
      </c>
      <c r="K155" s="210">
        <f>8000*20%</f>
        <v>1600</v>
      </c>
      <c r="L155" s="189"/>
      <c r="M155" s="190"/>
    </row>
    <row r="156" spans="1:13" s="141" customFormat="1" ht="60" customHeight="1" x14ac:dyDescent="0.2">
      <c r="A156" s="193"/>
      <c r="B156" s="194"/>
      <c r="C156" s="195"/>
      <c r="D156" s="256"/>
      <c r="E156" s="196"/>
      <c r="F156" s="196"/>
      <c r="G156" s="196"/>
      <c r="H156" s="196"/>
      <c r="I156" s="206"/>
      <c r="J156" s="214"/>
      <c r="K156" s="218">
        <f>SUM(K153:K155)</f>
        <v>8000</v>
      </c>
      <c r="L156" s="200"/>
      <c r="M156" s="201"/>
    </row>
    <row r="157" spans="1:13" s="141" customFormat="1" ht="23.25" customHeight="1" x14ac:dyDescent="0.2">
      <c r="A157" s="172">
        <v>29</v>
      </c>
      <c r="B157" s="173" t="s">
        <v>310</v>
      </c>
      <c r="C157" s="174"/>
      <c r="D157" s="263" t="s">
        <v>107</v>
      </c>
      <c r="E157" s="175"/>
      <c r="F157" s="175"/>
      <c r="G157" s="175"/>
      <c r="H157" s="175"/>
      <c r="I157" s="228" t="s">
        <v>311</v>
      </c>
      <c r="J157" s="177" t="s">
        <v>110</v>
      </c>
      <c r="K157" s="216">
        <f>8000*70%</f>
        <v>5600</v>
      </c>
      <c r="L157" s="179" t="s">
        <v>111</v>
      </c>
      <c r="M157" s="180" t="s">
        <v>312</v>
      </c>
    </row>
    <row r="158" spans="1:13" s="141" customFormat="1" ht="23.25" customHeight="1" x14ac:dyDescent="0.2">
      <c r="A158" s="182"/>
      <c r="B158" s="183"/>
      <c r="C158" s="184"/>
      <c r="D158" s="255"/>
      <c r="E158" s="185"/>
      <c r="F158" s="185"/>
      <c r="G158" s="185"/>
      <c r="H158" s="185"/>
      <c r="I158" s="192" t="s">
        <v>313</v>
      </c>
      <c r="J158" s="212" t="s">
        <v>117</v>
      </c>
      <c r="K158" s="217">
        <f>8000*10%</f>
        <v>800</v>
      </c>
      <c r="L158" s="189"/>
      <c r="M158" s="190"/>
    </row>
    <row r="159" spans="1:13" s="141" customFormat="1" ht="23.25" customHeight="1" x14ac:dyDescent="0.2">
      <c r="A159" s="182"/>
      <c r="B159" s="183"/>
      <c r="C159" s="184"/>
      <c r="D159" s="255"/>
      <c r="E159" s="185"/>
      <c r="F159" s="185"/>
      <c r="G159" s="185"/>
      <c r="H159" s="185"/>
      <c r="I159" s="192" t="s">
        <v>314</v>
      </c>
      <c r="J159" s="223" t="s">
        <v>117</v>
      </c>
      <c r="K159" s="217">
        <f>8000*10%</f>
        <v>800</v>
      </c>
      <c r="L159" s="189"/>
      <c r="M159" s="190"/>
    </row>
    <row r="160" spans="1:13" s="141" customFormat="1" ht="23.25" customHeight="1" x14ac:dyDescent="0.2">
      <c r="A160" s="182"/>
      <c r="B160" s="183"/>
      <c r="C160" s="184"/>
      <c r="D160" s="255"/>
      <c r="E160" s="185"/>
      <c r="F160" s="185"/>
      <c r="G160" s="185"/>
      <c r="H160" s="185"/>
      <c r="I160" s="192" t="s">
        <v>315</v>
      </c>
      <c r="J160" s="177" t="s">
        <v>117</v>
      </c>
      <c r="K160" s="240">
        <f>8000*10%</f>
        <v>800</v>
      </c>
      <c r="L160" s="189"/>
      <c r="M160" s="190"/>
    </row>
    <row r="161" spans="1:13" s="141" customFormat="1" ht="23.25" customHeight="1" x14ac:dyDescent="0.2">
      <c r="A161" s="193"/>
      <c r="B161" s="194"/>
      <c r="C161" s="195"/>
      <c r="D161" s="256"/>
      <c r="E161" s="196"/>
      <c r="F161" s="196"/>
      <c r="G161" s="196"/>
      <c r="H161" s="196"/>
      <c r="I161" s="197"/>
      <c r="J161" s="214"/>
      <c r="K161" s="215">
        <f>SUM(K157:K160)</f>
        <v>8000</v>
      </c>
      <c r="L161" s="200"/>
      <c r="M161" s="201"/>
    </row>
    <row r="162" spans="1:13" s="141" customFormat="1" ht="23.25" customHeight="1" x14ac:dyDescent="0.2">
      <c r="A162" s="172">
        <v>30</v>
      </c>
      <c r="B162" s="173" t="s">
        <v>316</v>
      </c>
      <c r="C162" s="174"/>
      <c r="D162" s="263" t="s">
        <v>107</v>
      </c>
      <c r="E162" s="175"/>
      <c r="F162" s="175"/>
      <c r="G162" s="175"/>
      <c r="H162" s="175"/>
      <c r="I162" s="176" t="s">
        <v>317</v>
      </c>
      <c r="J162" s="177" t="s">
        <v>110</v>
      </c>
      <c r="K162" s="222">
        <f>10000*50%</f>
        <v>5000</v>
      </c>
      <c r="L162" s="179" t="s">
        <v>111</v>
      </c>
      <c r="M162" s="180" t="s">
        <v>318</v>
      </c>
    </row>
    <row r="163" spans="1:13" s="141" customFormat="1" ht="23.25" customHeight="1" x14ac:dyDescent="0.2">
      <c r="A163" s="182"/>
      <c r="B163" s="183"/>
      <c r="C163" s="184"/>
      <c r="D163" s="255"/>
      <c r="E163" s="185"/>
      <c r="F163" s="185"/>
      <c r="G163" s="185"/>
      <c r="H163" s="185"/>
      <c r="I163" s="192" t="s">
        <v>319</v>
      </c>
      <c r="J163" s="212" t="s">
        <v>117</v>
      </c>
      <c r="K163" s="210">
        <f>10000*40%</f>
        <v>4000</v>
      </c>
      <c r="L163" s="189"/>
      <c r="M163" s="190"/>
    </row>
    <row r="164" spans="1:13" s="141" customFormat="1" ht="23.25" customHeight="1" x14ac:dyDescent="0.2">
      <c r="A164" s="182"/>
      <c r="B164" s="183"/>
      <c r="C164" s="184"/>
      <c r="D164" s="255"/>
      <c r="E164" s="185"/>
      <c r="F164" s="185"/>
      <c r="G164" s="185"/>
      <c r="H164" s="185"/>
      <c r="I164" s="192" t="s">
        <v>320</v>
      </c>
      <c r="J164" s="223" t="s">
        <v>224</v>
      </c>
      <c r="K164" s="217">
        <f>10000*5%</f>
        <v>500</v>
      </c>
      <c r="L164" s="189"/>
      <c r="M164" s="190"/>
    </row>
    <row r="165" spans="1:13" s="141" customFormat="1" ht="23.25" customHeight="1" x14ac:dyDescent="0.2">
      <c r="A165" s="182"/>
      <c r="B165" s="183"/>
      <c r="C165" s="184"/>
      <c r="D165" s="255"/>
      <c r="E165" s="185"/>
      <c r="F165" s="185"/>
      <c r="G165" s="185"/>
      <c r="H165" s="185"/>
      <c r="I165" s="176" t="s">
        <v>321</v>
      </c>
      <c r="J165" s="191" t="s">
        <v>117</v>
      </c>
      <c r="K165" s="188">
        <f>10000*5%</f>
        <v>500</v>
      </c>
      <c r="L165" s="189"/>
      <c r="M165" s="190"/>
    </row>
    <row r="166" spans="1:13" s="141" customFormat="1" ht="23.25" customHeight="1" x14ac:dyDescent="0.2">
      <c r="A166" s="193"/>
      <c r="B166" s="194"/>
      <c r="C166" s="195"/>
      <c r="D166" s="256"/>
      <c r="E166" s="196"/>
      <c r="F166" s="196"/>
      <c r="G166" s="196"/>
      <c r="H166" s="196"/>
      <c r="I166" s="197"/>
      <c r="J166" s="226"/>
      <c r="K166" s="227">
        <f>SUM(K162:K165)</f>
        <v>10000</v>
      </c>
      <c r="L166" s="200"/>
      <c r="M166" s="201"/>
    </row>
    <row r="167" spans="1:13" s="141" customFormat="1" ht="23.25" customHeight="1" x14ac:dyDescent="0.2">
      <c r="A167" s="172">
        <v>31</v>
      </c>
      <c r="B167" s="173" t="s">
        <v>322</v>
      </c>
      <c r="C167" s="174"/>
      <c r="D167" s="263" t="s">
        <v>163</v>
      </c>
      <c r="E167" s="175"/>
      <c r="F167" s="175"/>
      <c r="G167" s="175"/>
      <c r="H167" s="175"/>
      <c r="I167" s="228" t="s">
        <v>323</v>
      </c>
      <c r="J167" s="177" t="s">
        <v>183</v>
      </c>
      <c r="K167" s="222">
        <f>155000*60%</f>
        <v>93000</v>
      </c>
      <c r="L167" s="179" t="s">
        <v>324</v>
      </c>
      <c r="M167" s="180" t="s">
        <v>325</v>
      </c>
    </row>
    <row r="168" spans="1:13" s="141" customFormat="1" ht="23.25" customHeight="1" x14ac:dyDescent="0.2">
      <c r="A168" s="182"/>
      <c r="B168" s="183"/>
      <c r="C168" s="184"/>
      <c r="D168" s="255"/>
      <c r="E168" s="185"/>
      <c r="F168" s="185"/>
      <c r="G168" s="185"/>
      <c r="H168" s="185"/>
      <c r="I168" s="192" t="s">
        <v>326</v>
      </c>
      <c r="J168" s="223" t="s">
        <v>117</v>
      </c>
      <c r="K168" s="210">
        <f>155000*10%</f>
        <v>15500</v>
      </c>
      <c r="L168" s="189"/>
      <c r="M168" s="190"/>
    </row>
    <row r="169" spans="1:13" s="141" customFormat="1" ht="23.25" customHeight="1" x14ac:dyDescent="0.2">
      <c r="A169" s="182"/>
      <c r="B169" s="183"/>
      <c r="C169" s="184"/>
      <c r="D169" s="255"/>
      <c r="E169" s="185"/>
      <c r="F169" s="185"/>
      <c r="G169" s="185"/>
      <c r="H169" s="185"/>
      <c r="I169" s="192" t="s">
        <v>327</v>
      </c>
      <c r="J169" s="223" t="s">
        <v>117</v>
      </c>
      <c r="K169" s="213">
        <f t="shared" ref="K169:K171" si="2">155000*10%</f>
        <v>15500</v>
      </c>
      <c r="L169" s="189"/>
      <c r="M169" s="190"/>
    </row>
    <row r="170" spans="1:13" s="141" customFormat="1" ht="23.25" customHeight="1" x14ac:dyDescent="0.2">
      <c r="A170" s="182"/>
      <c r="B170" s="183"/>
      <c r="C170" s="184"/>
      <c r="D170" s="255"/>
      <c r="E170" s="185"/>
      <c r="F170" s="185"/>
      <c r="G170" s="185"/>
      <c r="H170" s="185"/>
      <c r="I170" s="176" t="s">
        <v>328</v>
      </c>
      <c r="J170" s="177" t="s">
        <v>117</v>
      </c>
      <c r="K170" s="210">
        <f t="shared" si="2"/>
        <v>15500</v>
      </c>
      <c r="L170" s="189"/>
      <c r="M170" s="190"/>
    </row>
    <row r="171" spans="1:13" s="141" customFormat="1" ht="23.25" customHeight="1" x14ac:dyDescent="0.2">
      <c r="A171" s="182"/>
      <c r="B171" s="183"/>
      <c r="C171" s="184"/>
      <c r="D171" s="255"/>
      <c r="E171" s="185"/>
      <c r="F171" s="185"/>
      <c r="G171" s="185"/>
      <c r="H171" s="185"/>
      <c r="I171" s="192" t="s">
        <v>329</v>
      </c>
      <c r="J171" s="212" t="s">
        <v>117</v>
      </c>
      <c r="K171" s="217">
        <f t="shared" si="2"/>
        <v>15500</v>
      </c>
      <c r="L171" s="189"/>
      <c r="M171" s="190"/>
    </row>
    <row r="172" spans="1:13" s="141" customFormat="1" ht="23.25" customHeight="1" x14ac:dyDescent="0.2">
      <c r="A172" s="193"/>
      <c r="B172" s="194"/>
      <c r="C172" s="195"/>
      <c r="D172" s="256"/>
      <c r="E172" s="196"/>
      <c r="F172" s="196"/>
      <c r="G172" s="196"/>
      <c r="H172" s="196"/>
      <c r="I172" s="197"/>
      <c r="J172" s="214"/>
      <c r="K172" s="218">
        <f>SUM(K167:K171)</f>
        <v>155000</v>
      </c>
      <c r="L172" s="200"/>
      <c r="M172" s="201"/>
    </row>
    <row r="173" spans="1:13" s="141" customFormat="1" ht="23.25" customHeight="1" x14ac:dyDescent="0.2">
      <c r="A173" s="172">
        <v>32</v>
      </c>
      <c r="B173" s="273" t="s">
        <v>330</v>
      </c>
      <c r="C173" s="274"/>
      <c r="D173" s="175" t="s">
        <v>107</v>
      </c>
      <c r="E173" s="175"/>
      <c r="F173" s="175"/>
      <c r="G173" s="175"/>
      <c r="H173" s="175" t="s">
        <v>164</v>
      </c>
      <c r="I173" s="228" t="s">
        <v>331</v>
      </c>
      <c r="J173" s="275" t="s">
        <v>117</v>
      </c>
      <c r="K173" s="276">
        <f>63000*60%</f>
        <v>37800</v>
      </c>
      <c r="L173" s="180" t="s">
        <v>111</v>
      </c>
      <c r="M173" s="180" t="s">
        <v>332</v>
      </c>
    </row>
    <row r="174" spans="1:13" s="141" customFormat="1" ht="23.25" customHeight="1" x14ac:dyDescent="0.2">
      <c r="A174" s="182"/>
      <c r="B174" s="277"/>
      <c r="C174" s="278"/>
      <c r="D174" s="185"/>
      <c r="E174" s="185"/>
      <c r="F174" s="185"/>
      <c r="G174" s="185"/>
      <c r="H174" s="185"/>
      <c r="I174" s="192" t="s">
        <v>333</v>
      </c>
      <c r="J174" s="279" t="s">
        <v>117</v>
      </c>
      <c r="K174" s="225">
        <f>63000*40%</f>
        <v>25200</v>
      </c>
      <c r="L174" s="190"/>
      <c r="M174" s="190"/>
    </row>
    <row r="175" spans="1:13" s="141" customFormat="1" ht="23.25" customHeight="1" x14ac:dyDescent="0.2">
      <c r="A175" s="193"/>
      <c r="B175" s="280"/>
      <c r="C175" s="281"/>
      <c r="D175" s="196"/>
      <c r="E175" s="196"/>
      <c r="F175" s="196"/>
      <c r="G175" s="196"/>
      <c r="H175" s="196"/>
      <c r="I175" s="206"/>
      <c r="J175" s="282"/>
      <c r="K175" s="257">
        <f>SUM(K173:K174)</f>
        <v>63000</v>
      </c>
      <c r="L175" s="201"/>
      <c r="M175" s="201"/>
    </row>
    <row r="176" spans="1:13" s="141" customFormat="1" ht="23.25" customHeight="1" x14ac:dyDescent="0.2">
      <c r="A176" s="172">
        <v>33</v>
      </c>
      <c r="B176" s="273" t="s">
        <v>334</v>
      </c>
      <c r="C176" s="274"/>
      <c r="D176" s="175" t="s">
        <v>107</v>
      </c>
      <c r="E176" s="175"/>
      <c r="F176" s="175"/>
      <c r="G176" s="175"/>
      <c r="H176" s="175"/>
      <c r="I176" s="283" t="s">
        <v>335</v>
      </c>
      <c r="J176" s="284" t="s">
        <v>117</v>
      </c>
      <c r="K176" s="285">
        <f>8000*80%</f>
        <v>6400</v>
      </c>
      <c r="L176" s="180" t="s">
        <v>111</v>
      </c>
      <c r="M176" s="180" t="s">
        <v>336</v>
      </c>
    </row>
    <row r="177" spans="1:16" s="141" customFormat="1" ht="23.25" customHeight="1" x14ac:dyDescent="0.2">
      <c r="A177" s="182"/>
      <c r="B177" s="277"/>
      <c r="C177" s="278"/>
      <c r="D177" s="185"/>
      <c r="E177" s="185"/>
      <c r="F177" s="185"/>
      <c r="G177" s="185"/>
      <c r="H177" s="185"/>
      <c r="I177" s="192" t="s">
        <v>337</v>
      </c>
      <c r="J177" s="279" t="s">
        <v>117</v>
      </c>
      <c r="K177" s="225">
        <f>8000*5%</f>
        <v>400</v>
      </c>
      <c r="L177" s="190"/>
      <c r="M177" s="190"/>
    </row>
    <row r="178" spans="1:16" s="141" customFormat="1" ht="23.25" customHeight="1" x14ac:dyDescent="0.2">
      <c r="A178" s="182"/>
      <c r="B178" s="277"/>
      <c r="C178" s="278"/>
      <c r="D178" s="185"/>
      <c r="E178" s="185"/>
      <c r="F178" s="185"/>
      <c r="G178" s="185"/>
      <c r="H178" s="185"/>
      <c r="I178" s="192" t="s">
        <v>338</v>
      </c>
      <c r="J178" s="279" t="s">
        <v>117</v>
      </c>
      <c r="K178" s="225">
        <f t="shared" ref="K178:K180" si="3">8000*5%</f>
        <v>400</v>
      </c>
      <c r="L178" s="190"/>
      <c r="M178" s="190"/>
    </row>
    <row r="179" spans="1:16" s="141" customFormat="1" ht="23.25" customHeight="1" x14ac:dyDescent="0.2">
      <c r="A179" s="182"/>
      <c r="B179" s="277"/>
      <c r="C179" s="278"/>
      <c r="D179" s="185"/>
      <c r="E179" s="185"/>
      <c r="F179" s="185"/>
      <c r="G179" s="185"/>
      <c r="H179" s="185"/>
      <c r="I179" s="192" t="s">
        <v>339</v>
      </c>
      <c r="J179" s="279" t="s">
        <v>117</v>
      </c>
      <c r="K179" s="225">
        <f t="shared" si="3"/>
        <v>400</v>
      </c>
      <c r="L179" s="190"/>
      <c r="M179" s="190"/>
    </row>
    <row r="180" spans="1:16" s="141" customFormat="1" ht="23.25" customHeight="1" x14ac:dyDescent="0.2">
      <c r="A180" s="182"/>
      <c r="B180" s="277"/>
      <c r="C180" s="278"/>
      <c r="D180" s="185"/>
      <c r="E180" s="185"/>
      <c r="F180" s="185"/>
      <c r="G180" s="185"/>
      <c r="H180" s="185"/>
      <c r="I180" s="192" t="s">
        <v>340</v>
      </c>
      <c r="J180" s="279" t="s">
        <v>117</v>
      </c>
      <c r="K180" s="225">
        <f t="shared" si="3"/>
        <v>400</v>
      </c>
      <c r="L180" s="190"/>
      <c r="M180" s="190"/>
    </row>
    <row r="181" spans="1:16" s="141" customFormat="1" ht="23.25" customHeight="1" x14ac:dyDescent="0.2">
      <c r="A181" s="193"/>
      <c r="B181" s="280"/>
      <c r="C181" s="281"/>
      <c r="D181" s="196"/>
      <c r="E181" s="196"/>
      <c r="F181" s="196"/>
      <c r="G181" s="196"/>
      <c r="H181" s="196"/>
      <c r="I181" s="186"/>
      <c r="J181" s="286"/>
      <c r="K181" s="257">
        <f>SUM(K176:K180)</f>
        <v>8000</v>
      </c>
      <c r="L181" s="201"/>
      <c r="M181" s="201"/>
    </row>
    <row r="182" spans="1:16" s="141" customFormat="1" ht="68.25" customHeight="1" x14ac:dyDescent="0.2">
      <c r="A182" s="265">
        <v>34</v>
      </c>
      <c r="B182" s="287" t="s">
        <v>341</v>
      </c>
      <c r="C182" s="288"/>
      <c r="D182" s="269" t="s">
        <v>25</v>
      </c>
      <c r="E182" s="269"/>
      <c r="F182" s="269"/>
      <c r="G182" s="269" t="s">
        <v>342</v>
      </c>
      <c r="H182" s="270"/>
      <c r="I182" s="289" t="s">
        <v>343</v>
      </c>
      <c r="J182" s="290" t="s">
        <v>117</v>
      </c>
      <c r="K182" s="291">
        <v>10000</v>
      </c>
      <c r="L182" s="177" t="s">
        <v>342</v>
      </c>
      <c r="M182" s="226" t="s">
        <v>344</v>
      </c>
    </row>
    <row r="183" spans="1:16" s="141" customFormat="1" ht="21.75" customHeight="1" x14ac:dyDescent="0.2">
      <c r="A183" s="172">
        <v>35</v>
      </c>
      <c r="B183" s="292" t="s">
        <v>345</v>
      </c>
      <c r="C183" s="293"/>
      <c r="D183" s="175" t="s">
        <v>25</v>
      </c>
      <c r="E183" s="175"/>
      <c r="F183" s="175"/>
      <c r="G183" s="175" t="s">
        <v>346</v>
      </c>
      <c r="H183" s="175"/>
      <c r="I183" s="228" t="s">
        <v>347</v>
      </c>
      <c r="J183" s="177" t="s">
        <v>117</v>
      </c>
      <c r="K183" s="276">
        <f>350000*50%</f>
        <v>175000</v>
      </c>
      <c r="L183" s="180" t="s">
        <v>346</v>
      </c>
      <c r="M183" s="180" t="s">
        <v>348</v>
      </c>
      <c r="O183" s="181"/>
    </row>
    <row r="184" spans="1:16" s="141" customFormat="1" ht="21.75" customHeight="1" x14ac:dyDescent="0.2">
      <c r="A184" s="182"/>
      <c r="B184" s="294"/>
      <c r="C184" s="295"/>
      <c r="D184" s="185"/>
      <c r="E184" s="185"/>
      <c r="F184" s="185"/>
      <c r="G184" s="185"/>
      <c r="H184" s="185"/>
      <c r="I184" s="176" t="s">
        <v>349</v>
      </c>
      <c r="J184" s="187" t="s">
        <v>117</v>
      </c>
      <c r="K184" s="225">
        <f>350000*25%</f>
        <v>87500</v>
      </c>
      <c r="L184" s="190"/>
      <c r="M184" s="190"/>
    </row>
    <row r="185" spans="1:16" s="141" customFormat="1" ht="21.75" customHeight="1" x14ac:dyDescent="0.2">
      <c r="A185" s="182"/>
      <c r="B185" s="294"/>
      <c r="C185" s="295"/>
      <c r="D185" s="185"/>
      <c r="E185" s="185"/>
      <c r="F185" s="185"/>
      <c r="G185" s="185"/>
      <c r="H185" s="185"/>
      <c r="I185" s="192" t="s">
        <v>350</v>
      </c>
      <c r="J185" s="177" t="s">
        <v>117</v>
      </c>
      <c r="K185" s="225">
        <f>350000*25%</f>
        <v>87500</v>
      </c>
      <c r="L185" s="190"/>
      <c r="M185" s="190"/>
    </row>
    <row r="186" spans="1:16" s="141" customFormat="1" ht="21.75" customHeight="1" x14ac:dyDescent="0.2">
      <c r="A186" s="193"/>
      <c r="B186" s="296"/>
      <c r="C186" s="297"/>
      <c r="D186" s="196"/>
      <c r="E186" s="196"/>
      <c r="F186" s="196"/>
      <c r="G186" s="196"/>
      <c r="H186" s="196"/>
      <c r="I186" s="197"/>
      <c r="J186" s="198"/>
      <c r="K186" s="298">
        <f>SUM(K183:K185)</f>
        <v>350000</v>
      </c>
      <c r="L186" s="201"/>
      <c r="M186" s="201"/>
    </row>
    <row r="187" spans="1:16" s="141" customFormat="1" ht="20.25" customHeight="1" x14ac:dyDescent="0.2">
      <c r="A187" s="172">
        <v>36</v>
      </c>
      <c r="B187" s="299" t="s">
        <v>351</v>
      </c>
      <c r="C187" s="300"/>
      <c r="D187" s="175" t="s">
        <v>107</v>
      </c>
      <c r="E187" s="175"/>
      <c r="F187" s="175"/>
      <c r="G187" s="175"/>
      <c r="H187" s="175"/>
      <c r="I187" s="283" t="s">
        <v>352</v>
      </c>
      <c r="J187" s="284" t="s">
        <v>117</v>
      </c>
      <c r="K187" s="301">
        <f>8000*50%</f>
        <v>4000</v>
      </c>
      <c r="L187" s="174" t="s">
        <v>111</v>
      </c>
      <c r="M187" s="180" t="s">
        <v>353</v>
      </c>
    </row>
    <row r="188" spans="1:16" s="141" customFormat="1" ht="20.25" customHeight="1" x14ac:dyDescent="0.2">
      <c r="A188" s="182"/>
      <c r="B188" s="294"/>
      <c r="C188" s="295"/>
      <c r="D188" s="185"/>
      <c r="E188" s="185"/>
      <c r="F188" s="185"/>
      <c r="G188" s="185"/>
      <c r="H188" s="185"/>
      <c r="I188" s="192" t="s">
        <v>354</v>
      </c>
      <c r="J188" s="279" t="s">
        <v>117</v>
      </c>
      <c r="K188" s="302">
        <f>8000*10%</f>
        <v>800</v>
      </c>
      <c r="L188" s="184"/>
      <c r="M188" s="190"/>
      <c r="P188" s="303"/>
    </row>
    <row r="189" spans="1:16" s="141" customFormat="1" ht="20.25" customHeight="1" x14ac:dyDescent="0.2">
      <c r="A189" s="182"/>
      <c r="B189" s="294"/>
      <c r="C189" s="295"/>
      <c r="D189" s="185"/>
      <c r="E189" s="185"/>
      <c r="F189" s="185"/>
      <c r="G189" s="185"/>
      <c r="H189" s="185"/>
      <c r="I189" s="192" t="s">
        <v>355</v>
      </c>
      <c r="J189" s="279" t="s">
        <v>117</v>
      </c>
      <c r="K189" s="302">
        <f t="shared" ref="K189:K192" si="4">8000*10%</f>
        <v>800</v>
      </c>
      <c r="L189" s="184"/>
      <c r="M189" s="190"/>
    </row>
    <row r="190" spans="1:16" s="141" customFormat="1" ht="20.25" customHeight="1" x14ac:dyDescent="0.2">
      <c r="A190" s="182"/>
      <c r="B190" s="294"/>
      <c r="C190" s="295"/>
      <c r="D190" s="185"/>
      <c r="E190" s="185"/>
      <c r="F190" s="185"/>
      <c r="G190" s="185"/>
      <c r="H190" s="185"/>
      <c r="I190" s="192" t="s">
        <v>356</v>
      </c>
      <c r="J190" s="279" t="s">
        <v>117</v>
      </c>
      <c r="K190" s="302">
        <f t="shared" si="4"/>
        <v>800</v>
      </c>
      <c r="L190" s="184"/>
      <c r="M190" s="190"/>
    </row>
    <row r="191" spans="1:16" s="141" customFormat="1" ht="20.25" customHeight="1" x14ac:dyDescent="0.2">
      <c r="A191" s="182"/>
      <c r="B191" s="294"/>
      <c r="C191" s="295"/>
      <c r="D191" s="185"/>
      <c r="E191" s="185"/>
      <c r="F191" s="185"/>
      <c r="G191" s="185"/>
      <c r="H191" s="185"/>
      <c r="I191" s="192" t="s">
        <v>357</v>
      </c>
      <c r="J191" s="284" t="s">
        <v>117</v>
      </c>
      <c r="K191" s="302">
        <f t="shared" si="4"/>
        <v>800</v>
      </c>
      <c r="L191" s="184"/>
      <c r="M191" s="190"/>
    </row>
    <row r="192" spans="1:16" s="141" customFormat="1" ht="20.25" customHeight="1" x14ac:dyDescent="0.2">
      <c r="A192" s="182"/>
      <c r="B192" s="294"/>
      <c r="C192" s="295"/>
      <c r="D192" s="185"/>
      <c r="E192" s="185"/>
      <c r="F192" s="185"/>
      <c r="G192" s="185"/>
      <c r="H192" s="185"/>
      <c r="I192" s="192" t="s">
        <v>358</v>
      </c>
      <c r="J192" s="279" t="s">
        <v>117</v>
      </c>
      <c r="K192" s="302">
        <f t="shared" si="4"/>
        <v>800</v>
      </c>
      <c r="L192" s="184"/>
      <c r="M192" s="190"/>
    </row>
    <row r="193" spans="1:15" s="141" customFormat="1" ht="20.25" customHeight="1" x14ac:dyDescent="0.2">
      <c r="A193" s="193"/>
      <c r="B193" s="294"/>
      <c r="C193" s="295"/>
      <c r="D193" s="196"/>
      <c r="E193" s="196"/>
      <c r="F193" s="196"/>
      <c r="G193" s="196"/>
      <c r="H193" s="196"/>
      <c r="I193" s="206"/>
      <c r="J193" s="304"/>
      <c r="K193" s="305">
        <f>SUM(K187:K192)</f>
        <v>8000</v>
      </c>
      <c r="L193" s="184"/>
      <c r="M193" s="201"/>
    </row>
    <row r="194" spans="1:15" s="141" customFormat="1" ht="20.25" customHeight="1" x14ac:dyDescent="0.2">
      <c r="A194" s="306">
        <v>37</v>
      </c>
      <c r="B194" s="292" t="s">
        <v>359</v>
      </c>
      <c r="C194" s="293"/>
      <c r="D194" s="175" t="s">
        <v>25</v>
      </c>
      <c r="E194" s="175"/>
      <c r="F194" s="175"/>
      <c r="G194" s="175" t="s">
        <v>360</v>
      </c>
      <c r="H194" s="175" t="s">
        <v>361</v>
      </c>
      <c r="I194" s="228" t="s">
        <v>362</v>
      </c>
      <c r="J194" s="202" t="s">
        <v>196</v>
      </c>
      <c r="K194" s="307">
        <f>7613870*20%</f>
        <v>1522774</v>
      </c>
      <c r="L194" s="180" t="s">
        <v>360</v>
      </c>
      <c r="M194" s="180" t="s">
        <v>363</v>
      </c>
    </row>
    <row r="195" spans="1:15" s="141" customFormat="1" x14ac:dyDescent="0.2">
      <c r="A195" s="308"/>
      <c r="B195" s="294"/>
      <c r="C195" s="295"/>
      <c r="D195" s="185"/>
      <c r="E195" s="185"/>
      <c r="F195" s="185"/>
      <c r="G195" s="185"/>
      <c r="H195" s="185"/>
      <c r="I195" s="192" t="s">
        <v>364</v>
      </c>
      <c r="J195" s="177" t="s">
        <v>365</v>
      </c>
      <c r="K195" s="305">
        <f>7613870*10%</f>
        <v>761387</v>
      </c>
      <c r="L195" s="190"/>
      <c r="M195" s="190"/>
    </row>
    <row r="196" spans="1:15" s="141" customFormat="1" x14ac:dyDescent="0.2">
      <c r="A196" s="182"/>
      <c r="B196" s="294"/>
      <c r="C196" s="295"/>
      <c r="D196" s="185"/>
      <c r="E196" s="185"/>
      <c r="F196" s="185"/>
      <c r="G196" s="185"/>
      <c r="H196" s="185"/>
      <c r="I196" s="192" t="s">
        <v>366</v>
      </c>
      <c r="J196" s="187" t="s">
        <v>367</v>
      </c>
      <c r="K196" s="305">
        <f t="shared" ref="K196:K200" si="5">7613870*10%</f>
        <v>761387</v>
      </c>
      <c r="L196" s="190"/>
      <c r="M196" s="190"/>
    </row>
    <row r="197" spans="1:15" s="141" customFormat="1" x14ac:dyDescent="0.2">
      <c r="A197" s="182"/>
      <c r="B197" s="294"/>
      <c r="C197" s="295"/>
      <c r="D197" s="185"/>
      <c r="E197" s="185"/>
      <c r="F197" s="185"/>
      <c r="G197" s="185"/>
      <c r="H197" s="185"/>
      <c r="I197" s="192" t="s">
        <v>368</v>
      </c>
      <c r="J197" s="187" t="s">
        <v>367</v>
      </c>
      <c r="K197" s="305">
        <f t="shared" si="5"/>
        <v>761387</v>
      </c>
      <c r="L197" s="190"/>
      <c r="M197" s="190"/>
    </row>
    <row r="198" spans="1:15" s="141" customFormat="1" x14ac:dyDescent="0.2">
      <c r="A198" s="308"/>
      <c r="B198" s="294"/>
      <c r="C198" s="295"/>
      <c r="D198" s="185"/>
      <c r="E198" s="185"/>
      <c r="F198" s="185"/>
      <c r="G198" s="185"/>
      <c r="H198" s="185"/>
      <c r="I198" s="192" t="s">
        <v>369</v>
      </c>
      <c r="J198" s="187" t="s">
        <v>190</v>
      </c>
      <c r="K198" s="305">
        <f t="shared" si="5"/>
        <v>761387</v>
      </c>
      <c r="L198" s="190"/>
      <c r="M198" s="190"/>
    </row>
    <row r="199" spans="1:15" s="141" customFormat="1" ht="23.25" customHeight="1" x14ac:dyDescent="0.2">
      <c r="A199" s="308"/>
      <c r="B199" s="294"/>
      <c r="C199" s="295"/>
      <c r="D199" s="185"/>
      <c r="E199" s="185"/>
      <c r="F199" s="185"/>
      <c r="G199" s="185"/>
      <c r="H199" s="185"/>
      <c r="I199" s="176" t="s">
        <v>370</v>
      </c>
      <c r="J199" s="187" t="s">
        <v>196</v>
      </c>
      <c r="K199" s="305">
        <f t="shared" si="5"/>
        <v>761387</v>
      </c>
      <c r="L199" s="190"/>
      <c r="M199" s="190"/>
    </row>
    <row r="200" spans="1:15" s="141" customFormat="1" x14ac:dyDescent="0.2">
      <c r="A200" s="308"/>
      <c r="B200" s="294"/>
      <c r="C200" s="295"/>
      <c r="D200" s="185"/>
      <c r="E200" s="185"/>
      <c r="F200" s="185"/>
      <c r="G200" s="185"/>
      <c r="H200" s="185"/>
      <c r="I200" s="192" t="s">
        <v>371</v>
      </c>
      <c r="J200" s="187" t="s">
        <v>196</v>
      </c>
      <c r="K200" s="305">
        <f t="shared" si="5"/>
        <v>761387</v>
      </c>
      <c r="L200" s="190"/>
      <c r="M200" s="190"/>
    </row>
    <row r="201" spans="1:15" s="141" customFormat="1" x14ac:dyDescent="0.2">
      <c r="A201" s="308"/>
      <c r="B201" s="294"/>
      <c r="C201" s="295"/>
      <c r="D201" s="185"/>
      <c r="E201" s="185"/>
      <c r="F201" s="185"/>
      <c r="G201" s="185"/>
      <c r="H201" s="260"/>
      <c r="I201" s="192" t="s">
        <v>372</v>
      </c>
      <c r="J201" s="309" t="s">
        <v>373</v>
      </c>
      <c r="K201" s="305">
        <f>7613870*10%</f>
        <v>761387</v>
      </c>
      <c r="L201" s="190"/>
      <c r="M201" s="190"/>
    </row>
    <row r="202" spans="1:15" s="141" customFormat="1" x14ac:dyDescent="0.2">
      <c r="A202" s="182"/>
      <c r="B202" s="294"/>
      <c r="C202" s="295"/>
      <c r="D202" s="185"/>
      <c r="E202" s="185"/>
      <c r="F202" s="185"/>
      <c r="G202" s="185"/>
      <c r="H202" s="260"/>
      <c r="I202" s="192" t="s">
        <v>374</v>
      </c>
      <c r="J202" s="309" t="s">
        <v>367</v>
      </c>
      <c r="K202" s="305">
        <f>7613870*5%</f>
        <v>380693.5</v>
      </c>
      <c r="L202" s="190"/>
      <c r="M202" s="190"/>
    </row>
    <row r="203" spans="1:15" s="141" customFormat="1" x14ac:dyDescent="0.2">
      <c r="A203" s="308"/>
      <c r="B203" s="294"/>
      <c r="C203" s="295"/>
      <c r="D203" s="185"/>
      <c r="E203" s="185"/>
      <c r="F203" s="185"/>
      <c r="G203" s="185"/>
      <c r="H203" s="185"/>
      <c r="I203" s="176" t="s">
        <v>375</v>
      </c>
      <c r="J203" s="187" t="s">
        <v>190</v>
      </c>
      <c r="K203" s="305">
        <f>7613870*5%</f>
        <v>380693.5</v>
      </c>
      <c r="L203" s="190"/>
      <c r="M203" s="190"/>
    </row>
    <row r="204" spans="1:15" s="141" customFormat="1" x14ac:dyDescent="0.2">
      <c r="A204" s="310"/>
      <c r="B204" s="296"/>
      <c r="C204" s="297"/>
      <c r="D204" s="196"/>
      <c r="E204" s="196"/>
      <c r="F204" s="196"/>
      <c r="G204" s="196"/>
      <c r="H204" s="196"/>
      <c r="I204" s="206"/>
      <c r="J204" s="226"/>
      <c r="K204" s="311">
        <f>SUM(K194:K203)</f>
        <v>7613870</v>
      </c>
      <c r="L204" s="201"/>
      <c r="M204" s="201"/>
    </row>
    <row r="205" spans="1:15" s="141" customFormat="1" ht="53.25" customHeight="1" x14ac:dyDescent="0.2">
      <c r="A205" s="242">
        <v>38</v>
      </c>
      <c r="B205" s="194" t="s">
        <v>376</v>
      </c>
      <c r="C205" s="195" t="s">
        <v>376</v>
      </c>
      <c r="D205" s="269" t="s">
        <v>107</v>
      </c>
      <c r="E205" s="269"/>
      <c r="F205" s="269"/>
      <c r="G205" s="269"/>
      <c r="H205" s="270"/>
      <c r="I205" s="197" t="s">
        <v>377</v>
      </c>
      <c r="J205" s="312" t="s">
        <v>378</v>
      </c>
      <c r="K205" s="313">
        <v>4900</v>
      </c>
      <c r="L205" s="272" t="s">
        <v>111</v>
      </c>
      <c r="M205" s="226" t="s">
        <v>379</v>
      </c>
      <c r="N205" s="181"/>
      <c r="O205" s="181"/>
    </row>
    <row r="206" spans="1:15" s="141" customFormat="1" ht="55.5" customHeight="1" x14ac:dyDescent="0.2">
      <c r="A206" s="242">
        <v>39</v>
      </c>
      <c r="B206" s="266" t="s">
        <v>380</v>
      </c>
      <c r="C206" s="267" t="s">
        <v>380</v>
      </c>
      <c r="D206" s="269" t="s">
        <v>107</v>
      </c>
      <c r="E206" s="269"/>
      <c r="F206" s="269"/>
      <c r="G206" s="269"/>
      <c r="H206" s="270"/>
      <c r="I206" s="197" t="s">
        <v>381</v>
      </c>
      <c r="J206" s="226" t="s">
        <v>378</v>
      </c>
      <c r="K206" s="271">
        <v>10000</v>
      </c>
      <c r="L206" s="272" t="s">
        <v>111</v>
      </c>
      <c r="M206" s="226" t="s">
        <v>382</v>
      </c>
      <c r="N206" s="181"/>
    </row>
    <row r="207" spans="1:15" s="141" customFormat="1" ht="23.25" customHeight="1" x14ac:dyDescent="0.2">
      <c r="A207" s="172">
        <v>40</v>
      </c>
      <c r="B207" s="173" t="s">
        <v>383</v>
      </c>
      <c r="C207" s="174"/>
      <c r="D207" s="175" t="s">
        <v>107</v>
      </c>
      <c r="E207" s="175"/>
      <c r="F207" s="175"/>
      <c r="G207" s="175"/>
      <c r="H207" s="175" t="s">
        <v>164</v>
      </c>
      <c r="I207" s="228" t="s">
        <v>384</v>
      </c>
      <c r="J207" s="177" t="s">
        <v>385</v>
      </c>
      <c r="K207" s="216">
        <f>4700*80%</f>
        <v>3760</v>
      </c>
      <c r="L207" s="179" t="s">
        <v>111</v>
      </c>
      <c r="M207" s="180" t="s">
        <v>386</v>
      </c>
    </row>
    <row r="208" spans="1:15" s="141" customFormat="1" ht="23.25" customHeight="1" x14ac:dyDescent="0.2">
      <c r="A208" s="182"/>
      <c r="B208" s="183"/>
      <c r="C208" s="184"/>
      <c r="D208" s="185"/>
      <c r="E208" s="185"/>
      <c r="F208" s="185"/>
      <c r="G208" s="185"/>
      <c r="H208" s="185"/>
      <c r="I208" s="192" t="s">
        <v>387</v>
      </c>
      <c r="J208" s="212" t="s">
        <v>378</v>
      </c>
      <c r="K208" s="217">
        <f>4700*20%</f>
        <v>940</v>
      </c>
      <c r="L208" s="189"/>
      <c r="M208" s="190"/>
    </row>
    <row r="209" spans="1:13" s="141" customFormat="1" ht="23.25" customHeight="1" x14ac:dyDescent="0.2">
      <c r="A209" s="193"/>
      <c r="B209" s="194"/>
      <c r="C209" s="195"/>
      <c r="D209" s="196"/>
      <c r="E209" s="196"/>
      <c r="F209" s="196"/>
      <c r="G209" s="196"/>
      <c r="H209" s="196"/>
      <c r="I209" s="197"/>
      <c r="J209" s="214"/>
      <c r="K209" s="218">
        <f>SUM(K207:K208)</f>
        <v>4700</v>
      </c>
      <c r="L209" s="200"/>
      <c r="M209" s="201"/>
    </row>
    <row r="210" spans="1:13" s="141" customFormat="1" ht="23.25" customHeight="1" x14ac:dyDescent="0.2">
      <c r="A210" s="172">
        <v>41</v>
      </c>
      <c r="B210" s="173" t="s">
        <v>388</v>
      </c>
      <c r="C210" s="174"/>
      <c r="D210" s="175" t="s">
        <v>107</v>
      </c>
      <c r="E210" s="175"/>
      <c r="F210" s="175"/>
      <c r="G210" s="175"/>
      <c r="H210" s="175" t="s">
        <v>164</v>
      </c>
      <c r="I210" s="228" t="s">
        <v>389</v>
      </c>
      <c r="J210" s="177" t="s">
        <v>385</v>
      </c>
      <c r="K210" s="216">
        <f>4700*80%</f>
        <v>3760</v>
      </c>
      <c r="L210" s="174" t="s">
        <v>111</v>
      </c>
      <c r="M210" s="180" t="s">
        <v>390</v>
      </c>
    </row>
    <row r="211" spans="1:13" s="141" customFormat="1" ht="23.25" customHeight="1" x14ac:dyDescent="0.2">
      <c r="A211" s="182"/>
      <c r="B211" s="183"/>
      <c r="C211" s="184"/>
      <c r="D211" s="185"/>
      <c r="E211" s="185"/>
      <c r="F211" s="185"/>
      <c r="G211" s="185"/>
      <c r="H211" s="185"/>
      <c r="I211" s="176" t="s">
        <v>391</v>
      </c>
      <c r="J211" s="212" t="s">
        <v>117</v>
      </c>
      <c r="K211" s="232">
        <f>4700*20%</f>
        <v>940</v>
      </c>
      <c r="L211" s="184"/>
      <c r="M211" s="190"/>
    </row>
    <row r="212" spans="1:13" s="141" customFormat="1" ht="23.25" customHeight="1" x14ac:dyDescent="0.2">
      <c r="A212" s="193"/>
      <c r="B212" s="194"/>
      <c r="C212" s="195"/>
      <c r="D212" s="196"/>
      <c r="E212" s="196"/>
      <c r="F212" s="196"/>
      <c r="G212" s="196"/>
      <c r="H212" s="196"/>
      <c r="I212" s="206"/>
      <c r="J212" s="214"/>
      <c r="K212" s="221">
        <f>K210+K211</f>
        <v>4700</v>
      </c>
      <c r="L212" s="195"/>
      <c r="M212" s="201"/>
    </row>
    <row r="213" spans="1:13" s="141" customFormat="1" ht="71.25" customHeight="1" x14ac:dyDescent="0.2">
      <c r="A213" s="242">
        <v>42</v>
      </c>
      <c r="B213" s="266" t="s">
        <v>392</v>
      </c>
      <c r="C213" s="267" t="s">
        <v>392</v>
      </c>
      <c r="D213" s="269" t="s">
        <v>107</v>
      </c>
      <c r="E213" s="269"/>
      <c r="F213" s="269"/>
      <c r="G213" s="269"/>
      <c r="H213" s="270"/>
      <c r="I213" s="197" t="s">
        <v>393</v>
      </c>
      <c r="J213" s="226" t="s">
        <v>378</v>
      </c>
      <c r="K213" s="271">
        <v>4700</v>
      </c>
      <c r="L213" s="272" t="s">
        <v>111</v>
      </c>
      <c r="M213" s="226" t="s">
        <v>394</v>
      </c>
    </row>
    <row r="214" spans="1:13" s="141" customFormat="1" ht="72" customHeight="1" x14ac:dyDescent="0.2">
      <c r="A214" s="242">
        <v>43</v>
      </c>
      <c r="B214" s="266" t="s">
        <v>395</v>
      </c>
      <c r="C214" s="267" t="s">
        <v>395</v>
      </c>
      <c r="D214" s="269" t="s">
        <v>107</v>
      </c>
      <c r="E214" s="269"/>
      <c r="F214" s="269"/>
      <c r="G214" s="269"/>
      <c r="H214" s="270"/>
      <c r="I214" s="197" t="s">
        <v>396</v>
      </c>
      <c r="J214" s="226" t="s">
        <v>378</v>
      </c>
      <c r="K214" s="271">
        <v>5000</v>
      </c>
      <c r="L214" s="272" t="s">
        <v>111</v>
      </c>
      <c r="M214" s="226" t="s">
        <v>397</v>
      </c>
    </row>
    <row r="215" spans="1:13" s="141" customFormat="1" ht="23.25" customHeight="1" x14ac:dyDescent="0.2">
      <c r="A215" s="172">
        <v>44</v>
      </c>
      <c r="B215" s="173" t="s">
        <v>398</v>
      </c>
      <c r="C215" s="174"/>
      <c r="D215" s="175" t="s">
        <v>107</v>
      </c>
      <c r="E215" s="175"/>
      <c r="F215" s="175"/>
      <c r="G215" s="175"/>
      <c r="H215" s="175"/>
      <c r="I215" s="176" t="s">
        <v>399</v>
      </c>
      <c r="J215" s="208" t="s">
        <v>385</v>
      </c>
      <c r="K215" s="224">
        <f>10000*60%</f>
        <v>6000</v>
      </c>
      <c r="L215" s="174" t="s">
        <v>111</v>
      </c>
      <c r="M215" s="180" t="s">
        <v>400</v>
      </c>
    </row>
    <row r="216" spans="1:13" s="141" customFormat="1" ht="23.25" customHeight="1" x14ac:dyDescent="0.2">
      <c r="A216" s="182"/>
      <c r="B216" s="183"/>
      <c r="C216" s="184"/>
      <c r="D216" s="185"/>
      <c r="E216" s="185"/>
      <c r="F216" s="185"/>
      <c r="G216" s="185"/>
      <c r="H216" s="185"/>
      <c r="I216" s="186" t="s">
        <v>401</v>
      </c>
      <c r="J216" s="177" t="s">
        <v>385</v>
      </c>
      <c r="K216" s="210">
        <f>10000*10%</f>
        <v>1000</v>
      </c>
      <c r="L216" s="184"/>
      <c r="M216" s="190"/>
    </row>
    <row r="217" spans="1:13" s="141" customFormat="1" ht="23.25" customHeight="1" x14ac:dyDescent="0.2">
      <c r="A217" s="182"/>
      <c r="B217" s="183"/>
      <c r="C217" s="184"/>
      <c r="D217" s="185"/>
      <c r="E217" s="185"/>
      <c r="F217" s="185"/>
      <c r="G217" s="185"/>
      <c r="H217" s="185"/>
      <c r="I217" s="192" t="s">
        <v>402</v>
      </c>
      <c r="J217" s="212" t="s">
        <v>385</v>
      </c>
      <c r="K217" s="232">
        <f>10000*10%</f>
        <v>1000</v>
      </c>
      <c r="L217" s="184"/>
      <c r="M217" s="190"/>
    </row>
    <row r="218" spans="1:13" s="141" customFormat="1" ht="23.25" customHeight="1" x14ac:dyDescent="0.2">
      <c r="A218" s="182"/>
      <c r="B218" s="183"/>
      <c r="C218" s="184"/>
      <c r="D218" s="185"/>
      <c r="E218" s="185"/>
      <c r="F218" s="185"/>
      <c r="G218" s="185"/>
      <c r="H218" s="185"/>
      <c r="I218" s="176" t="s">
        <v>403</v>
      </c>
      <c r="J218" s="212" t="s">
        <v>385</v>
      </c>
      <c r="K218" s="232">
        <f>10000*10%</f>
        <v>1000</v>
      </c>
      <c r="L218" s="184"/>
      <c r="M218" s="190"/>
    </row>
    <row r="219" spans="1:13" s="141" customFormat="1" ht="23.25" customHeight="1" x14ac:dyDescent="0.2">
      <c r="A219" s="182"/>
      <c r="B219" s="183"/>
      <c r="C219" s="184"/>
      <c r="D219" s="185"/>
      <c r="E219" s="185"/>
      <c r="F219" s="185"/>
      <c r="G219" s="185"/>
      <c r="H219" s="185"/>
      <c r="I219" s="192" t="s">
        <v>404</v>
      </c>
      <c r="J219" s="212" t="s">
        <v>385</v>
      </c>
      <c r="K219" s="220">
        <f>10000*10%</f>
        <v>1000</v>
      </c>
      <c r="L219" s="184"/>
      <c r="M219" s="190"/>
    </row>
    <row r="220" spans="1:13" s="141" customFormat="1" ht="23.25" customHeight="1" x14ac:dyDescent="0.2">
      <c r="A220" s="193"/>
      <c r="B220" s="194"/>
      <c r="C220" s="195"/>
      <c r="D220" s="196"/>
      <c r="E220" s="196"/>
      <c r="F220" s="196"/>
      <c r="G220" s="196"/>
      <c r="H220" s="196"/>
      <c r="I220" s="197"/>
      <c r="J220" s="214"/>
      <c r="K220" s="215">
        <f>SUM(K215:K219)</f>
        <v>10000</v>
      </c>
      <c r="L220" s="195"/>
      <c r="M220" s="201"/>
    </row>
    <row r="221" spans="1:13" s="141" customFormat="1" ht="23.25" customHeight="1" x14ac:dyDescent="0.2">
      <c r="A221" s="172">
        <v>45</v>
      </c>
      <c r="B221" s="173" t="s">
        <v>405</v>
      </c>
      <c r="C221" s="174"/>
      <c r="D221" s="175" t="s">
        <v>107</v>
      </c>
      <c r="E221" s="175"/>
      <c r="F221" s="175"/>
      <c r="G221" s="175"/>
      <c r="H221" s="175" t="s">
        <v>137</v>
      </c>
      <c r="I221" s="176" t="s">
        <v>406</v>
      </c>
      <c r="J221" s="177" t="s">
        <v>385</v>
      </c>
      <c r="K221" s="216">
        <f>11000*60%</f>
        <v>6600</v>
      </c>
      <c r="L221" s="174" t="s">
        <v>111</v>
      </c>
      <c r="M221" s="180" t="s">
        <v>407</v>
      </c>
    </row>
    <row r="222" spans="1:13" s="141" customFormat="1" ht="23.25" customHeight="1" x14ac:dyDescent="0.2">
      <c r="A222" s="182"/>
      <c r="B222" s="183"/>
      <c r="C222" s="184"/>
      <c r="D222" s="185"/>
      <c r="E222" s="185"/>
      <c r="F222" s="185"/>
      <c r="G222" s="185"/>
      <c r="H222" s="185"/>
      <c r="I222" s="186" t="s">
        <v>408</v>
      </c>
      <c r="J222" s="212" t="s">
        <v>385</v>
      </c>
      <c r="K222" s="232">
        <f>11000*20%</f>
        <v>2200</v>
      </c>
      <c r="L222" s="184"/>
      <c r="M222" s="190"/>
    </row>
    <row r="223" spans="1:13" s="141" customFormat="1" ht="23.25" customHeight="1" x14ac:dyDescent="0.2">
      <c r="A223" s="182"/>
      <c r="B223" s="183"/>
      <c r="C223" s="184"/>
      <c r="D223" s="185"/>
      <c r="E223" s="185"/>
      <c r="F223" s="185"/>
      <c r="G223" s="185"/>
      <c r="H223" s="185"/>
      <c r="I223" s="186" t="s">
        <v>409</v>
      </c>
      <c r="J223" s="223" t="s">
        <v>385</v>
      </c>
      <c r="K223" s="232">
        <f>11000*20%</f>
        <v>2200</v>
      </c>
      <c r="L223" s="184"/>
      <c r="M223" s="190"/>
    </row>
    <row r="224" spans="1:13" s="141" customFormat="1" ht="23.25" customHeight="1" x14ac:dyDescent="0.2">
      <c r="A224" s="193"/>
      <c r="B224" s="194"/>
      <c r="C224" s="195"/>
      <c r="D224" s="196"/>
      <c r="E224" s="196"/>
      <c r="F224" s="196"/>
      <c r="G224" s="196"/>
      <c r="H224" s="196"/>
      <c r="I224" s="206"/>
      <c r="J224" s="226"/>
      <c r="K224" s="239">
        <f>SUM(K221:K223)</f>
        <v>11000</v>
      </c>
      <c r="L224" s="195"/>
      <c r="M224" s="201"/>
    </row>
    <row r="225" spans="1:14" s="141" customFormat="1" ht="23.25" customHeight="1" x14ac:dyDescent="0.2">
      <c r="A225" s="172">
        <v>46</v>
      </c>
      <c r="B225" s="173" t="s">
        <v>410</v>
      </c>
      <c r="C225" s="174"/>
      <c r="D225" s="175" t="s">
        <v>107</v>
      </c>
      <c r="E225" s="175"/>
      <c r="F225" s="175"/>
      <c r="G225" s="175"/>
      <c r="H225" s="175"/>
      <c r="I225" s="176" t="s">
        <v>411</v>
      </c>
      <c r="J225" s="177" t="s">
        <v>385</v>
      </c>
      <c r="K225" s="216">
        <f>15000*80%</f>
        <v>12000</v>
      </c>
      <c r="L225" s="179" t="s">
        <v>111</v>
      </c>
      <c r="M225" s="180" t="s">
        <v>412</v>
      </c>
    </row>
    <row r="226" spans="1:14" s="141" customFormat="1" ht="23.25" customHeight="1" x14ac:dyDescent="0.2">
      <c r="A226" s="182"/>
      <c r="B226" s="183"/>
      <c r="C226" s="184"/>
      <c r="D226" s="185"/>
      <c r="E226" s="185"/>
      <c r="F226" s="185"/>
      <c r="G226" s="185"/>
      <c r="H226" s="185"/>
      <c r="I226" s="192" t="s">
        <v>413</v>
      </c>
      <c r="J226" s="212" t="s">
        <v>247</v>
      </c>
      <c r="K226" s="217">
        <f>15000*10%</f>
        <v>1500</v>
      </c>
      <c r="L226" s="189"/>
      <c r="M226" s="190"/>
      <c r="N226" s="181"/>
    </row>
    <row r="227" spans="1:14" s="141" customFormat="1" ht="23.25" customHeight="1" x14ac:dyDescent="0.2">
      <c r="A227" s="182"/>
      <c r="B227" s="183"/>
      <c r="C227" s="184"/>
      <c r="D227" s="185"/>
      <c r="E227" s="185"/>
      <c r="F227" s="185"/>
      <c r="G227" s="185"/>
      <c r="H227" s="185"/>
      <c r="I227" s="176" t="s">
        <v>414</v>
      </c>
      <c r="J227" s="223" t="s">
        <v>415</v>
      </c>
      <c r="K227" s="217">
        <f>15000*10%</f>
        <v>1500</v>
      </c>
      <c r="L227" s="189"/>
      <c r="M227" s="190"/>
    </row>
    <row r="228" spans="1:14" s="141" customFormat="1" ht="23.25" customHeight="1" x14ac:dyDescent="0.2">
      <c r="A228" s="193"/>
      <c r="B228" s="194"/>
      <c r="C228" s="195"/>
      <c r="D228" s="196"/>
      <c r="E228" s="196"/>
      <c r="F228" s="196"/>
      <c r="G228" s="196"/>
      <c r="H228" s="196"/>
      <c r="I228" s="206"/>
      <c r="J228" s="226"/>
      <c r="K228" s="227">
        <f>SUM(K225:K227)</f>
        <v>15000</v>
      </c>
      <c r="L228" s="200"/>
      <c r="M228" s="201"/>
    </row>
    <row r="229" spans="1:14" s="141" customFormat="1" ht="23.25" customHeight="1" x14ac:dyDescent="0.2">
      <c r="A229" s="172">
        <v>47</v>
      </c>
      <c r="B229" s="173" t="s">
        <v>416</v>
      </c>
      <c r="C229" s="174"/>
      <c r="D229" s="175" t="s">
        <v>107</v>
      </c>
      <c r="E229" s="175"/>
      <c r="F229" s="175"/>
      <c r="G229" s="175"/>
      <c r="H229" s="175" t="s">
        <v>164</v>
      </c>
      <c r="I229" s="228" t="s">
        <v>417</v>
      </c>
      <c r="J229" s="177" t="s">
        <v>385</v>
      </c>
      <c r="K229" s="216">
        <f>4700*80%</f>
        <v>3760</v>
      </c>
      <c r="L229" s="179" t="s">
        <v>111</v>
      </c>
      <c r="M229" s="180" t="s">
        <v>418</v>
      </c>
      <c r="N229" s="314"/>
    </row>
    <row r="230" spans="1:14" s="141" customFormat="1" ht="23.25" customHeight="1" x14ac:dyDescent="0.2">
      <c r="A230" s="182"/>
      <c r="B230" s="183"/>
      <c r="C230" s="184"/>
      <c r="D230" s="185"/>
      <c r="E230" s="185"/>
      <c r="F230" s="185"/>
      <c r="G230" s="185"/>
      <c r="H230" s="185"/>
      <c r="I230" s="192" t="s">
        <v>419</v>
      </c>
      <c r="J230" s="223" t="s">
        <v>378</v>
      </c>
      <c r="K230" s="217">
        <f>4700*20%</f>
        <v>940</v>
      </c>
      <c r="L230" s="189"/>
      <c r="M230" s="190"/>
      <c r="N230" s="314"/>
    </row>
    <row r="231" spans="1:14" s="141" customFormat="1" ht="23.25" customHeight="1" x14ac:dyDescent="0.2">
      <c r="A231" s="193"/>
      <c r="B231" s="194"/>
      <c r="C231" s="195"/>
      <c r="D231" s="196"/>
      <c r="E231" s="196"/>
      <c r="F231" s="196"/>
      <c r="G231" s="196"/>
      <c r="H231" s="196"/>
      <c r="I231" s="197"/>
      <c r="J231" s="226"/>
      <c r="K231" s="227">
        <f>SUM(K229:K230)</f>
        <v>4700</v>
      </c>
      <c r="L231" s="200"/>
      <c r="M231" s="201"/>
      <c r="N231" s="314"/>
    </row>
    <row r="232" spans="1:14" s="141" customFormat="1" ht="50.25" customHeight="1" x14ac:dyDescent="0.2">
      <c r="A232" s="242">
        <v>48</v>
      </c>
      <c r="B232" s="266" t="s">
        <v>420</v>
      </c>
      <c r="C232" s="267" t="s">
        <v>420</v>
      </c>
      <c r="D232" s="269" t="s">
        <v>107</v>
      </c>
      <c r="E232" s="269"/>
      <c r="F232" s="269"/>
      <c r="G232" s="269"/>
      <c r="H232" s="270"/>
      <c r="I232" s="197" t="s">
        <v>421</v>
      </c>
      <c r="J232" s="226" t="s">
        <v>378</v>
      </c>
      <c r="K232" s="271">
        <v>6050</v>
      </c>
      <c r="L232" s="272" t="s">
        <v>111</v>
      </c>
      <c r="M232" s="226" t="s">
        <v>422</v>
      </c>
    </row>
    <row r="233" spans="1:14" s="141" customFormat="1" ht="23.25" customHeight="1" x14ac:dyDescent="0.2">
      <c r="A233" s="172">
        <v>49</v>
      </c>
      <c r="B233" s="173" t="s">
        <v>423</v>
      </c>
      <c r="C233" s="174"/>
      <c r="D233" s="175" t="s">
        <v>107</v>
      </c>
      <c r="E233" s="175"/>
      <c r="F233" s="175"/>
      <c r="G233" s="175"/>
      <c r="H233" s="175" t="s">
        <v>164</v>
      </c>
      <c r="I233" s="228" t="s">
        <v>424</v>
      </c>
      <c r="J233" s="177" t="s">
        <v>385</v>
      </c>
      <c r="K233" s="216">
        <f>8000*60%</f>
        <v>4800</v>
      </c>
      <c r="L233" s="179" t="s">
        <v>111</v>
      </c>
      <c r="M233" s="180" t="s">
        <v>425</v>
      </c>
    </row>
    <row r="234" spans="1:14" s="141" customFormat="1" ht="23.25" customHeight="1" x14ac:dyDescent="0.2">
      <c r="A234" s="182"/>
      <c r="B234" s="183"/>
      <c r="C234" s="184"/>
      <c r="D234" s="185"/>
      <c r="E234" s="185"/>
      <c r="F234" s="185"/>
      <c r="G234" s="185"/>
      <c r="H234" s="185"/>
      <c r="I234" s="192" t="s">
        <v>426</v>
      </c>
      <c r="J234" s="212" t="s">
        <v>378</v>
      </c>
      <c r="K234" s="213">
        <f>8000*40%</f>
        <v>3200</v>
      </c>
      <c r="L234" s="189"/>
      <c r="M234" s="190"/>
    </row>
    <row r="235" spans="1:14" s="141" customFormat="1" ht="23.25" customHeight="1" x14ac:dyDescent="0.2">
      <c r="A235" s="193"/>
      <c r="B235" s="194"/>
      <c r="C235" s="195"/>
      <c r="D235" s="196"/>
      <c r="E235" s="196"/>
      <c r="F235" s="196"/>
      <c r="G235" s="196"/>
      <c r="H235" s="196"/>
      <c r="I235" s="197"/>
      <c r="J235" s="214"/>
      <c r="K235" s="215">
        <f>SUM(K233:K234)</f>
        <v>8000</v>
      </c>
      <c r="L235" s="200"/>
      <c r="M235" s="201"/>
    </row>
    <row r="236" spans="1:14" s="141" customFormat="1" ht="23.25" customHeight="1" x14ac:dyDescent="0.2">
      <c r="A236" s="172">
        <v>50</v>
      </c>
      <c r="B236" s="173" t="s">
        <v>427</v>
      </c>
      <c r="C236" s="174"/>
      <c r="D236" s="175" t="s">
        <v>107</v>
      </c>
      <c r="E236" s="175"/>
      <c r="F236" s="175"/>
      <c r="G236" s="175"/>
      <c r="H236" s="175" t="s">
        <v>164</v>
      </c>
      <c r="I236" s="176" t="s">
        <v>428</v>
      </c>
      <c r="J236" s="208" t="s">
        <v>378</v>
      </c>
      <c r="K236" s="216">
        <f>4900*50%</f>
        <v>2450</v>
      </c>
      <c r="L236" s="179" t="s">
        <v>111</v>
      </c>
      <c r="M236" s="180" t="s">
        <v>429</v>
      </c>
    </row>
    <row r="237" spans="1:14" s="141" customFormat="1" ht="23.25" customHeight="1" x14ac:dyDescent="0.2">
      <c r="A237" s="182"/>
      <c r="B237" s="183"/>
      <c r="C237" s="184"/>
      <c r="D237" s="185"/>
      <c r="E237" s="185"/>
      <c r="F237" s="185"/>
      <c r="G237" s="185"/>
      <c r="H237" s="185"/>
      <c r="I237" s="186" t="s">
        <v>430</v>
      </c>
      <c r="J237" s="177" t="s">
        <v>378</v>
      </c>
      <c r="K237" s="211">
        <f>4900*50%</f>
        <v>2450</v>
      </c>
      <c r="L237" s="189"/>
      <c r="M237" s="190"/>
    </row>
    <row r="238" spans="1:14" s="141" customFormat="1" ht="23.25" customHeight="1" x14ac:dyDescent="0.2">
      <c r="A238" s="193"/>
      <c r="B238" s="194"/>
      <c r="C238" s="195"/>
      <c r="D238" s="196"/>
      <c r="E238" s="196"/>
      <c r="F238" s="196"/>
      <c r="G238" s="196"/>
      <c r="H238" s="196"/>
      <c r="I238" s="206"/>
      <c r="J238" s="214"/>
      <c r="K238" s="218">
        <f>SUM(K236:K237)</f>
        <v>4900</v>
      </c>
      <c r="L238" s="200"/>
      <c r="M238" s="201"/>
    </row>
    <row r="239" spans="1:14" s="141" customFormat="1" ht="71.25" customHeight="1" x14ac:dyDescent="0.2">
      <c r="A239" s="242">
        <v>51</v>
      </c>
      <c r="B239" s="266" t="s">
        <v>431</v>
      </c>
      <c r="C239" s="267" t="s">
        <v>431</v>
      </c>
      <c r="D239" s="269" t="s">
        <v>107</v>
      </c>
      <c r="E239" s="269"/>
      <c r="F239" s="269"/>
      <c r="G239" s="269"/>
      <c r="H239" s="270"/>
      <c r="I239" s="197" t="s">
        <v>432</v>
      </c>
      <c r="J239" s="226" t="s">
        <v>378</v>
      </c>
      <c r="K239" s="271">
        <v>4700</v>
      </c>
      <c r="L239" s="272" t="s">
        <v>111</v>
      </c>
      <c r="M239" s="226" t="s">
        <v>433</v>
      </c>
    </row>
    <row r="240" spans="1:14" s="141" customFormat="1" ht="23.25" customHeight="1" x14ac:dyDescent="0.2">
      <c r="A240" s="172">
        <v>52</v>
      </c>
      <c r="B240" s="173" t="s">
        <v>434</v>
      </c>
      <c r="C240" s="174"/>
      <c r="D240" s="175" t="s">
        <v>107</v>
      </c>
      <c r="E240" s="175"/>
      <c r="F240" s="175"/>
      <c r="G240" s="175"/>
      <c r="H240" s="175"/>
      <c r="I240" s="228" t="s">
        <v>435</v>
      </c>
      <c r="J240" s="177" t="s">
        <v>436</v>
      </c>
      <c r="K240" s="216">
        <f>4000*40%</f>
        <v>1600</v>
      </c>
      <c r="L240" s="179" t="s">
        <v>111</v>
      </c>
      <c r="M240" s="180" t="s">
        <v>437</v>
      </c>
    </row>
    <row r="241" spans="1:13" s="141" customFormat="1" ht="23.25" customHeight="1" x14ac:dyDescent="0.2">
      <c r="A241" s="182"/>
      <c r="B241" s="183"/>
      <c r="C241" s="184"/>
      <c r="D241" s="185"/>
      <c r="E241" s="185"/>
      <c r="F241" s="185"/>
      <c r="G241" s="185"/>
      <c r="H241" s="185"/>
      <c r="I241" s="176" t="s">
        <v>438</v>
      </c>
      <c r="J241" s="212" t="s">
        <v>436</v>
      </c>
      <c r="K241" s="217">
        <f>4000*20%</f>
        <v>800</v>
      </c>
      <c r="L241" s="189"/>
      <c r="M241" s="190"/>
    </row>
    <row r="242" spans="1:13" s="141" customFormat="1" ht="23.25" customHeight="1" x14ac:dyDescent="0.2">
      <c r="A242" s="182"/>
      <c r="B242" s="183"/>
      <c r="C242" s="184"/>
      <c r="D242" s="185"/>
      <c r="E242" s="185"/>
      <c r="F242" s="185"/>
      <c r="G242" s="185"/>
      <c r="H242" s="185"/>
      <c r="I242" s="192" t="s">
        <v>439</v>
      </c>
      <c r="J242" s="212" t="s">
        <v>436</v>
      </c>
      <c r="K242" s="213">
        <f>4000*20%</f>
        <v>800</v>
      </c>
      <c r="L242" s="189"/>
      <c r="M242" s="190"/>
    </row>
    <row r="243" spans="1:13" s="141" customFormat="1" ht="23.25" customHeight="1" x14ac:dyDescent="0.2">
      <c r="A243" s="182"/>
      <c r="B243" s="183"/>
      <c r="C243" s="184"/>
      <c r="D243" s="185"/>
      <c r="E243" s="185"/>
      <c r="F243" s="185"/>
      <c r="G243" s="185"/>
      <c r="H243" s="185"/>
      <c r="I243" s="186" t="s">
        <v>440</v>
      </c>
      <c r="J243" s="212" t="s">
        <v>436</v>
      </c>
      <c r="K243" s="213">
        <f>4000*20%</f>
        <v>800</v>
      </c>
      <c r="L243" s="189"/>
      <c r="M243" s="190"/>
    </row>
    <row r="244" spans="1:13" s="141" customFormat="1" ht="23.25" customHeight="1" x14ac:dyDescent="0.2">
      <c r="A244" s="193"/>
      <c r="B244" s="194"/>
      <c r="C244" s="195"/>
      <c r="D244" s="196"/>
      <c r="E244" s="196"/>
      <c r="F244" s="196"/>
      <c r="G244" s="196"/>
      <c r="H244" s="196"/>
      <c r="I244" s="206"/>
      <c r="J244" s="214"/>
      <c r="K244" s="215">
        <f>SUM(K240:K243)</f>
        <v>4000</v>
      </c>
      <c r="L244" s="200"/>
      <c r="M244" s="201"/>
    </row>
    <row r="245" spans="1:13" s="141" customFormat="1" ht="23.25" customHeight="1" x14ac:dyDescent="0.2">
      <c r="A245" s="172">
        <v>53</v>
      </c>
      <c r="B245" s="173" t="s">
        <v>441</v>
      </c>
      <c r="C245" s="174"/>
      <c r="D245" s="175" t="s">
        <v>107</v>
      </c>
      <c r="E245" s="175"/>
      <c r="F245" s="175"/>
      <c r="G245" s="175"/>
      <c r="H245" s="175"/>
      <c r="I245" s="176" t="s">
        <v>435</v>
      </c>
      <c r="J245" s="177" t="s">
        <v>385</v>
      </c>
      <c r="K245" s="216">
        <f>19950*40%</f>
        <v>7980</v>
      </c>
      <c r="L245" s="174" t="s">
        <v>111</v>
      </c>
      <c r="M245" s="180" t="s">
        <v>442</v>
      </c>
    </row>
    <row r="246" spans="1:13" s="141" customFormat="1" ht="23.25" customHeight="1" x14ac:dyDescent="0.2">
      <c r="A246" s="182"/>
      <c r="B246" s="183"/>
      <c r="C246" s="184"/>
      <c r="D246" s="185"/>
      <c r="E246" s="185"/>
      <c r="F246" s="185"/>
      <c r="G246" s="185"/>
      <c r="H246" s="185"/>
      <c r="I246" s="192" t="s">
        <v>438</v>
      </c>
      <c r="J246" s="187" t="s">
        <v>385</v>
      </c>
      <c r="K246" s="261">
        <f>19950*20%</f>
        <v>3990</v>
      </c>
      <c r="L246" s="184"/>
      <c r="M246" s="190"/>
    </row>
    <row r="247" spans="1:13" s="141" customFormat="1" ht="23.25" customHeight="1" x14ac:dyDescent="0.2">
      <c r="A247" s="182"/>
      <c r="B247" s="183"/>
      <c r="C247" s="184"/>
      <c r="D247" s="185"/>
      <c r="E247" s="185"/>
      <c r="F247" s="185"/>
      <c r="G247" s="185"/>
      <c r="H247" s="185"/>
      <c r="I247" s="192" t="s">
        <v>439</v>
      </c>
      <c r="J247" s="223" t="s">
        <v>385</v>
      </c>
      <c r="K247" s="232">
        <f>19950*20%</f>
        <v>3990</v>
      </c>
      <c r="L247" s="184"/>
      <c r="M247" s="190"/>
    </row>
    <row r="248" spans="1:13" s="141" customFormat="1" ht="23.25" customHeight="1" x14ac:dyDescent="0.2">
      <c r="A248" s="182"/>
      <c r="B248" s="183"/>
      <c r="C248" s="184"/>
      <c r="D248" s="185"/>
      <c r="E248" s="185"/>
      <c r="F248" s="185"/>
      <c r="G248" s="185"/>
      <c r="H248" s="185"/>
      <c r="I248" s="176" t="s">
        <v>440</v>
      </c>
      <c r="J248" s="315" t="s">
        <v>385</v>
      </c>
      <c r="K248" s="220">
        <f>19950*20%</f>
        <v>3990</v>
      </c>
      <c r="L248" s="184"/>
      <c r="M248" s="190"/>
    </row>
    <row r="249" spans="1:13" s="141" customFormat="1" ht="23.25" customHeight="1" x14ac:dyDescent="0.2">
      <c r="A249" s="193"/>
      <c r="B249" s="194"/>
      <c r="C249" s="195"/>
      <c r="D249" s="196"/>
      <c r="E249" s="196"/>
      <c r="F249" s="196"/>
      <c r="G249" s="196"/>
      <c r="H249" s="196"/>
      <c r="I249" s="206"/>
      <c r="J249" s="226"/>
      <c r="K249" s="215">
        <f>SUM(K245:K248)</f>
        <v>19950</v>
      </c>
      <c r="L249" s="195"/>
      <c r="M249" s="201"/>
    </row>
    <row r="250" spans="1:13" s="141" customFormat="1" ht="23.25" customHeight="1" x14ac:dyDescent="0.2">
      <c r="A250" s="172">
        <v>54</v>
      </c>
      <c r="B250" s="173" t="s">
        <v>443</v>
      </c>
      <c r="C250" s="174"/>
      <c r="D250" s="175" t="s">
        <v>107</v>
      </c>
      <c r="E250" s="175"/>
      <c r="F250" s="175"/>
      <c r="G250" s="175"/>
      <c r="H250" s="175"/>
      <c r="I250" s="176" t="s">
        <v>444</v>
      </c>
      <c r="J250" s="177" t="s">
        <v>385</v>
      </c>
      <c r="K250" s="216">
        <f>7000*50%</f>
        <v>3500</v>
      </c>
      <c r="L250" s="179" t="s">
        <v>111</v>
      </c>
      <c r="M250" s="180" t="s">
        <v>445</v>
      </c>
    </row>
    <row r="251" spans="1:13" s="141" customFormat="1" ht="23.25" customHeight="1" x14ac:dyDescent="0.2">
      <c r="A251" s="182"/>
      <c r="B251" s="183"/>
      <c r="C251" s="184"/>
      <c r="D251" s="185"/>
      <c r="E251" s="185"/>
      <c r="F251" s="185"/>
      <c r="G251" s="185"/>
      <c r="H251" s="185"/>
      <c r="I251" s="192" t="s">
        <v>446</v>
      </c>
      <c r="J251" s="223" t="s">
        <v>378</v>
      </c>
      <c r="K251" s="213">
        <f>7000*50%</f>
        <v>3500</v>
      </c>
      <c r="L251" s="189"/>
      <c r="M251" s="190"/>
    </row>
    <row r="252" spans="1:13" s="141" customFormat="1" ht="23.25" customHeight="1" x14ac:dyDescent="0.2">
      <c r="A252" s="193"/>
      <c r="B252" s="194"/>
      <c r="C252" s="195"/>
      <c r="D252" s="196"/>
      <c r="E252" s="196"/>
      <c r="F252" s="196"/>
      <c r="G252" s="196"/>
      <c r="H252" s="196"/>
      <c r="I252" s="197"/>
      <c r="J252" s="226"/>
      <c r="K252" s="227">
        <f>SUM(K250:K251)</f>
        <v>7000</v>
      </c>
      <c r="L252" s="200"/>
      <c r="M252" s="201"/>
    </row>
    <row r="253" spans="1:13" s="141" customFormat="1" ht="23.25" customHeight="1" x14ac:dyDescent="0.2">
      <c r="A253" s="172">
        <v>55</v>
      </c>
      <c r="B253" s="173" t="s">
        <v>447</v>
      </c>
      <c r="C253" s="174"/>
      <c r="D253" s="175" t="s">
        <v>107</v>
      </c>
      <c r="E253" s="175"/>
      <c r="F253" s="175"/>
      <c r="G253" s="175"/>
      <c r="H253" s="175" t="s">
        <v>164</v>
      </c>
      <c r="I253" s="176" t="s">
        <v>448</v>
      </c>
      <c r="J253" s="177" t="s">
        <v>385</v>
      </c>
      <c r="K253" s="216">
        <f>4700*70%</f>
        <v>3290</v>
      </c>
      <c r="L253" s="174" t="s">
        <v>111</v>
      </c>
      <c r="M253" s="180" t="s">
        <v>449</v>
      </c>
    </row>
    <row r="254" spans="1:13" s="141" customFormat="1" ht="23.25" customHeight="1" x14ac:dyDescent="0.2">
      <c r="A254" s="182"/>
      <c r="B254" s="183"/>
      <c r="C254" s="184"/>
      <c r="D254" s="185"/>
      <c r="E254" s="185"/>
      <c r="F254" s="185"/>
      <c r="G254" s="185"/>
      <c r="H254" s="185"/>
      <c r="I254" s="186" t="s">
        <v>450</v>
      </c>
      <c r="J254" s="212" t="s">
        <v>378</v>
      </c>
      <c r="K254" s="220">
        <f>4700*30%</f>
        <v>1410</v>
      </c>
      <c r="L254" s="184"/>
      <c r="M254" s="190"/>
    </row>
    <row r="255" spans="1:13" s="141" customFormat="1" ht="23.25" customHeight="1" x14ac:dyDescent="0.2">
      <c r="A255" s="193"/>
      <c r="B255" s="194"/>
      <c r="C255" s="195"/>
      <c r="D255" s="196"/>
      <c r="E255" s="196"/>
      <c r="F255" s="196"/>
      <c r="G255" s="196"/>
      <c r="H255" s="196"/>
      <c r="I255" s="206"/>
      <c r="J255" s="214"/>
      <c r="K255" s="215">
        <f>SUM(K253:K254)</f>
        <v>4700</v>
      </c>
      <c r="L255" s="195"/>
      <c r="M255" s="201"/>
    </row>
    <row r="256" spans="1:13" s="141" customFormat="1" ht="23.25" customHeight="1" x14ac:dyDescent="0.2">
      <c r="A256" s="172">
        <v>56</v>
      </c>
      <c r="B256" s="173" t="s">
        <v>451</v>
      </c>
      <c r="C256" s="174"/>
      <c r="D256" s="175" t="s">
        <v>107</v>
      </c>
      <c r="E256" s="175"/>
      <c r="F256" s="175"/>
      <c r="G256" s="175"/>
      <c r="H256" s="175"/>
      <c r="I256" s="228" t="s">
        <v>452</v>
      </c>
      <c r="J256" s="208" t="s">
        <v>385</v>
      </c>
      <c r="K256" s="216">
        <f>4700*80%</f>
        <v>3760</v>
      </c>
      <c r="L256" s="174" t="s">
        <v>111</v>
      </c>
      <c r="M256" s="180" t="s">
        <v>453</v>
      </c>
    </row>
    <row r="257" spans="1:14" s="141" customFormat="1" ht="23.25" customHeight="1" x14ac:dyDescent="0.2">
      <c r="A257" s="182"/>
      <c r="B257" s="183"/>
      <c r="C257" s="184"/>
      <c r="D257" s="185"/>
      <c r="E257" s="185"/>
      <c r="F257" s="185"/>
      <c r="G257" s="185"/>
      <c r="H257" s="185"/>
      <c r="I257" s="192" t="s">
        <v>454</v>
      </c>
      <c r="J257" s="177" t="s">
        <v>110</v>
      </c>
      <c r="K257" s="261">
        <f>4700*10%</f>
        <v>470</v>
      </c>
      <c r="L257" s="184"/>
      <c r="M257" s="190"/>
    </row>
    <row r="258" spans="1:14" s="141" customFormat="1" ht="23.25" customHeight="1" x14ac:dyDescent="0.2">
      <c r="A258" s="182"/>
      <c r="B258" s="183"/>
      <c r="C258" s="184"/>
      <c r="D258" s="185"/>
      <c r="E258" s="185"/>
      <c r="F258" s="185"/>
      <c r="G258" s="185"/>
      <c r="H258" s="185"/>
      <c r="I258" s="176" t="s">
        <v>455</v>
      </c>
      <c r="J258" s="223" t="s">
        <v>378</v>
      </c>
      <c r="K258" s="220">
        <f>4700*10%</f>
        <v>470</v>
      </c>
      <c r="L258" s="184"/>
      <c r="M258" s="190"/>
    </row>
    <row r="259" spans="1:14" s="141" customFormat="1" ht="23.25" customHeight="1" x14ac:dyDescent="0.2">
      <c r="A259" s="193"/>
      <c r="B259" s="194"/>
      <c r="C259" s="195"/>
      <c r="D259" s="196"/>
      <c r="E259" s="196"/>
      <c r="F259" s="196"/>
      <c r="G259" s="196"/>
      <c r="H259" s="196"/>
      <c r="I259" s="206"/>
      <c r="J259" s="214"/>
      <c r="K259" s="215">
        <f>SUM(K256:K258)</f>
        <v>4700</v>
      </c>
      <c r="L259" s="195"/>
      <c r="M259" s="201"/>
    </row>
    <row r="260" spans="1:14" s="141" customFormat="1" ht="69.75" customHeight="1" x14ac:dyDescent="0.2">
      <c r="A260" s="242">
        <v>57</v>
      </c>
      <c r="B260" s="266" t="s">
        <v>456</v>
      </c>
      <c r="C260" s="267" t="s">
        <v>456</v>
      </c>
      <c r="D260" s="269" t="s">
        <v>107</v>
      </c>
      <c r="E260" s="269"/>
      <c r="F260" s="269"/>
      <c r="G260" s="269"/>
      <c r="H260" s="270"/>
      <c r="I260" s="197" t="s">
        <v>457</v>
      </c>
      <c r="J260" s="226" t="s">
        <v>378</v>
      </c>
      <c r="K260" s="271">
        <v>4700</v>
      </c>
      <c r="L260" s="272" t="s">
        <v>111</v>
      </c>
      <c r="M260" s="226" t="s">
        <v>458</v>
      </c>
    </row>
    <row r="261" spans="1:14" s="141" customFormat="1" ht="23.25" customHeight="1" x14ac:dyDescent="0.2">
      <c r="A261" s="172">
        <v>58</v>
      </c>
      <c r="B261" s="173" t="s">
        <v>459</v>
      </c>
      <c r="C261" s="174"/>
      <c r="D261" s="175" t="s">
        <v>107</v>
      </c>
      <c r="E261" s="175"/>
      <c r="F261" s="175"/>
      <c r="G261" s="175"/>
      <c r="H261" s="175"/>
      <c r="I261" s="176" t="s">
        <v>460</v>
      </c>
      <c r="J261" s="208" t="s">
        <v>385</v>
      </c>
      <c r="K261" s="216">
        <f>4900*80%</f>
        <v>3920</v>
      </c>
      <c r="L261" s="174" t="s">
        <v>111</v>
      </c>
      <c r="M261" s="180" t="s">
        <v>461</v>
      </c>
    </row>
    <row r="262" spans="1:14" s="141" customFormat="1" ht="23.25" customHeight="1" x14ac:dyDescent="0.2">
      <c r="A262" s="182"/>
      <c r="B262" s="183"/>
      <c r="C262" s="184"/>
      <c r="D262" s="185"/>
      <c r="E262" s="185"/>
      <c r="F262" s="185"/>
      <c r="G262" s="185"/>
      <c r="H262" s="185"/>
      <c r="I262" s="186" t="s">
        <v>462</v>
      </c>
      <c r="J262" s="177" t="s">
        <v>385</v>
      </c>
      <c r="K262" s="261">
        <f>4900*10%</f>
        <v>490</v>
      </c>
      <c r="L262" s="184"/>
      <c r="M262" s="190"/>
    </row>
    <row r="263" spans="1:14" s="141" customFormat="1" ht="23.25" customHeight="1" x14ac:dyDescent="0.2">
      <c r="A263" s="182"/>
      <c r="B263" s="183"/>
      <c r="C263" s="184"/>
      <c r="D263" s="185"/>
      <c r="E263" s="185"/>
      <c r="F263" s="185"/>
      <c r="G263" s="185"/>
      <c r="H263" s="185"/>
      <c r="I263" s="192" t="s">
        <v>463</v>
      </c>
      <c r="J263" s="212" t="s">
        <v>378</v>
      </c>
      <c r="K263" s="232">
        <f>4900*10%</f>
        <v>490</v>
      </c>
      <c r="L263" s="184"/>
      <c r="M263" s="190"/>
    </row>
    <row r="264" spans="1:14" s="141" customFormat="1" ht="23.25" customHeight="1" x14ac:dyDescent="0.2">
      <c r="A264" s="193"/>
      <c r="B264" s="194"/>
      <c r="C264" s="195"/>
      <c r="D264" s="196"/>
      <c r="E264" s="196"/>
      <c r="F264" s="196"/>
      <c r="G264" s="196"/>
      <c r="H264" s="196"/>
      <c r="I264" s="197"/>
      <c r="J264" s="214"/>
      <c r="K264" s="221">
        <f>SUM(K261:K263)</f>
        <v>4900</v>
      </c>
      <c r="L264" s="195"/>
      <c r="M264" s="201"/>
    </row>
    <row r="265" spans="1:14" s="141" customFormat="1" ht="76.5" customHeight="1" x14ac:dyDescent="0.2">
      <c r="A265" s="242">
        <v>59</v>
      </c>
      <c r="B265" s="266" t="s">
        <v>464</v>
      </c>
      <c r="C265" s="267" t="s">
        <v>464</v>
      </c>
      <c r="D265" s="269" t="s">
        <v>107</v>
      </c>
      <c r="E265" s="269"/>
      <c r="F265" s="269"/>
      <c r="G265" s="269"/>
      <c r="H265" s="270"/>
      <c r="I265" s="197" t="s">
        <v>465</v>
      </c>
      <c r="J265" s="226" t="s">
        <v>378</v>
      </c>
      <c r="K265" s="271">
        <v>4700</v>
      </c>
      <c r="L265" s="272" t="s">
        <v>111</v>
      </c>
      <c r="M265" s="226" t="s">
        <v>466</v>
      </c>
    </row>
    <row r="266" spans="1:14" s="141" customFormat="1" ht="65.25" customHeight="1" x14ac:dyDescent="0.2">
      <c r="A266" s="242">
        <v>60</v>
      </c>
      <c r="B266" s="266" t="s">
        <v>467</v>
      </c>
      <c r="C266" s="267" t="s">
        <v>467</v>
      </c>
      <c r="D266" s="269" t="s">
        <v>107</v>
      </c>
      <c r="E266" s="269"/>
      <c r="F266" s="269"/>
      <c r="G266" s="269"/>
      <c r="H266" s="270"/>
      <c r="I266" s="197" t="s">
        <v>468</v>
      </c>
      <c r="J266" s="226" t="s">
        <v>378</v>
      </c>
      <c r="K266" s="271">
        <v>4700</v>
      </c>
      <c r="L266" s="272" t="s">
        <v>111</v>
      </c>
      <c r="M266" s="226" t="s">
        <v>469</v>
      </c>
    </row>
    <row r="267" spans="1:14" s="141" customFormat="1" ht="21.75" customHeight="1" x14ac:dyDescent="0.2">
      <c r="A267" s="172">
        <v>61</v>
      </c>
      <c r="B267" s="173" t="s">
        <v>470</v>
      </c>
      <c r="C267" s="174"/>
      <c r="D267" s="263" t="s">
        <v>107</v>
      </c>
      <c r="E267" s="175"/>
      <c r="F267" s="175"/>
      <c r="G267" s="175"/>
      <c r="H267" s="175"/>
      <c r="I267" s="176" t="s">
        <v>471</v>
      </c>
      <c r="J267" s="208" t="s">
        <v>385</v>
      </c>
      <c r="K267" s="216">
        <f>4900*80%</f>
        <v>3920</v>
      </c>
      <c r="L267" s="179" t="s">
        <v>111</v>
      </c>
      <c r="M267" s="180" t="s">
        <v>472</v>
      </c>
    </row>
    <row r="268" spans="1:14" s="141" customFormat="1" ht="21.75" customHeight="1" x14ac:dyDescent="0.2">
      <c r="A268" s="182"/>
      <c r="B268" s="183"/>
      <c r="C268" s="184"/>
      <c r="D268" s="255"/>
      <c r="E268" s="185"/>
      <c r="F268" s="185"/>
      <c r="G268" s="185"/>
      <c r="H268" s="185"/>
      <c r="I268" s="186" t="s">
        <v>473</v>
      </c>
      <c r="J268" s="223" t="s">
        <v>179</v>
      </c>
      <c r="K268" s="213">
        <f>4900*10%</f>
        <v>490</v>
      </c>
      <c r="L268" s="189"/>
      <c r="M268" s="190"/>
      <c r="N268" s="181"/>
    </row>
    <row r="269" spans="1:14" s="141" customFormat="1" ht="21.75" customHeight="1" x14ac:dyDescent="0.2">
      <c r="A269" s="182"/>
      <c r="B269" s="183"/>
      <c r="C269" s="184"/>
      <c r="D269" s="255"/>
      <c r="E269" s="185"/>
      <c r="F269" s="185"/>
      <c r="G269" s="185"/>
      <c r="H269" s="185"/>
      <c r="I269" s="186" t="s">
        <v>474</v>
      </c>
      <c r="J269" s="223" t="s">
        <v>475</v>
      </c>
      <c r="K269" s="210">
        <f>4900*10%</f>
        <v>490</v>
      </c>
      <c r="L269" s="189"/>
      <c r="M269" s="190"/>
    </row>
    <row r="270" spans="1:14" s="141" customFormat="1" ht="21.75" customHeight="1" x14ac:dyDescent="0.2">
      <c r="A270" s="193"/>
      <c r="B270" s="194"/>
      <c r="C270" s="195"/>
      <c r="D270" s="256"/>
      <c r="E270" s="196"/>
      <c r="F270" s="196"/>
      <c r="G270" s="196"/>
      <c r="H270" s="196"/>
      <c r="I270" s="206"/>
      <c r="J270" s="226"/>
      <c r="K270" s="227">
        <f>SUM(K267:K269)</f>
        <v>4900</v>
      </c>
      <c r="L270" s="200"/>
      <c r="M270" s="201"/>
    </row>
    <row r="271" spans="1:14" s="141" customFormat="1" ht="65.25" customHeight="1" x14ac:dyDescent="0.2">
      <c r="A271" s="316">
        <v>62</v>
      </c>
      <c r="B271" s="266" t="s">
        <v>476</v>
      </c>
      <c r="C271" s="267" t="s">
        <v>476</v>
      </c>
      <c r="D271" s="268" t="s">
        <v>107</v>
      </c>
      <c r="E271" s="269"/>
      <c r="F271" s="269"/>
      <c r="G271" s="269"/>
      <c r="H271" s="270"/>
      <c r="I271" s="197" t="s">
        <v>477</v>
      </c>
      <c r="J271" s="226" t="s">
        <v>378</v>
      </c>
      <c r="K271" s="271">
        <v>4700</v>
      </c>
      <c r="L271" s="272" t="s">
        <v>111</v>
      </c>
      <c r="M271" s="226" t="s">
        <v>478</v>
      </c>
    </row>
    <row r="272" spans="1:14" s="141" customFormat="1" ht="65.25" customHeight="1" x14ac:dyDescent="0.2">
      <c r="A272" s="316">
        <v>63</v>
      </c>
      <c r="B272" s="266" t="s">
        <v>479</v>
      </c>
      <c r="C272" s="267" t="s">
        <v>479</v>
      </c>
      <c r="D272" s="268" t="s">
        <v>107</v>
      </c>
      <c r="E272" s="269"/>
      <c r="F272" s="269"/>
      <c r="G272" s="269"/>
      <c r="H272" s="270"/>
      <c r="I272" s="197" t="s">
        <v>480</v>
      </c>
      <c r="J272" s="226" t="s">
        <v>378</v>
      </c>
      <c r="K272" s="271">
        <v>4700</v>
      </c>
      <c r="L272" s="272" t="s">
        <v>111</v>
      </c>
      <c r="M272" s="226" t="s">
        <v>481</v>
      </c>
    </row>
    <row r="273" spans="1:13" s="141" customFormat="1" ht="24" customHeight="1" x14ac:dyDescent="0.2">
      <c r="A273" s="316">
        <v>64</v>
      </c>
      <c r="B273" s="266" t="s">
        <v>482</v>
      </c>
      <c r="C273" s="267" t="s">
        <v>482</v>
      </c>
      <c r="D273" s="268" t="s">
        <v>107</v>
      </c>
      <c r="E273" s="269"/>
      <c r="F273" s="269"/>
      <c r="G273" s="269"/>
      <c r="H273" s="270"/>
      <c r="I273" s="197" t="s">
        <v>480</v>
      </c>
      <c r="J273" s="226" t="s">
        <v>378</v>
      </c>
      <c r="K273" s="271">
        <v>4900</v>
      </c>
      <c r="L273" s="272" t="s">
        <v>111</v>
      </c>
      <c r="M273" s="226" t="s">
        <v>483</v>
      </c>
    </row>
    <row r="274" spans="1:13" s="141" customFormat="1" ht="24" customHeight="1" x14ac:dyDescent="0.2">
      <c r="A274" s="316">
        <v>65</v>
      </c>
      <c r="B274" s="266" t="s">
        <v>484</v>
      </c>
      <c r="C274" s="267" t="s">
        <v>484</v>
      </c>
      <c r="D274" s="268" t="s">
        <v>107</v>
      </c>
      <c r="E274" s="269"/>
      <c r="F274" s="269"/>
      <c r="G274" s="269"/>
      <c r="H274" s="270"/>
      <c r="I274" s="197" t="s">
        <v>485</v>
      </c>
      <c r="J274" s="226" t="s">
        <v>378</v>
      </c>
      <c r="K274" s="271">
        <v>4700</v>
      </c>
      <c r="L274" s="272" t="s">
        <v>111</v>
      </c>
      <c r="M274" s="226" t="s">
        <v>486</v>
      </c>
    </row>
    <row r="275" spans="1:13" s="141" customFormat="1" ht="24" customHeight="1" x14ac:dyDescent="0.2">
      <c r="A275" s="172">
        <v>66</v>
      </c>
      <c r="B275" s="173" t="s">
        <v>487</v>
      </c>
      <c r="C275" s="174"/>
      <c r="D275" s="263" t="s">
        <v>107</v>
      </c>
      <c r="E275" s="175"/>
      <c r="F275" s="175"/>
      <c r="G275" s="175"/>
      <c r="H275" s="175"/>
      <c r="I275" s="228" t="s">
        <v>488</v>
      </c>
      <c r="J275" s="177" t="s">
        <v>385</v>
      </c>
      <c r="K275" s="216">
        <f>4700*80%</f>
        <v>3760</v>
      </c>
      <c r="L275" s="179" t="s">
        <v>111</v>
      </c>
      <c r="M275" s="180" t="s">
        <v>489</v>
      </c>
    </row>
    <row r="276" spans="1:13" s="141" customFormat="1" ht="24" customHeight="1" x14ac:dyDescent="0.2">
      <c r="A276" s="182"/>
      <c r="B276" s="183"/>
      <c r="C276" s="184"/>
      <c r="D276" s="255"/>
      <c r="E276" s="185"/>
      <c r="F276" s="185"/>
      <c r="G276" s="185"/>
      <c r="H276" s="185"/>
      <c r="I276" s="192" t="s">
        <v>490</v>
      </c>
      <c r="J276" s="223" t="s">
        <v>378</v>
      </c>
      <c r="K276" s="213">
        <f>4700*20%</f>
        <v>940</v>
      </c>
      <c r="L276" s="189"/>
      <c r="M276" s="190"/>
    </row>
    <row r="277" spans="1:13" s="141" customFormat="1" ht="24" customHeight="1" x14ac:dyDescent="0.2">
      <c r="A277" s="193"/>
      <c r="B277" s="194"/>
      <c r="C277" s="195"/>
      <c r="D277" s="256"/>
      <c r="E277" s="196"/>
      <c r="F277" s="196"/>
      <c r="G277" s="196"/>
      <c r="H277" s="196"/>
      <c r="I277" s="197"/>
      <c r="J277" s="226"/>
      <c r="K277" s="215">
        <f>SUM(K275:K276)</f>
        <v>4700</v>
      </c>
      <c r="L277" s="200"/>
      <c r="M277" s="201"/>
    </row>
    <row r="278" spans="1:13" s="141" customFormat="1" ht="24" customHeight="1" x14ac:dyDescent="0.2">
      <c r="A278" s="316">
        <v>67</v>
      </c>
      <c r="B278" s="266" t="s">
        <v>491</v>
      </c>
      <c r="C278" s="267" t="s">
        <v>491</v>
      </c>
      <c r="D278" s="268" t="s">
        <v>107</v>
      </c>
      <c r="E278" s="269"/>
      <c r="F278" s="269"/>
      <c r="G278" s="269"/>
      <c r="H278" s="270"/>
      <c r="I278" s="197" t="s">
        <v>492</v>
      </c>
      <c r="J278" s="226" t="s">
        <v>378</v>
      </c>
      <c r="K278" s="271">
        <v>8000</v>
      </c>
      <c r="L278" s="272" t="s">
        <v>111</v>
      </c>
      <c r="M278" s="226" t="s">
        <v>493</v>
      </c>
    </row>
    <row r="279" spans="1:13" s="141" customFormat="1" ht="24" customHeight="1" x14ac:dyDescent="0.2">
      <c r="A279" s="172">
        <v>68</v>
      </c>
      <c r="B279" s="173" t="s">
        <v>494</v>
      </c>
      <c r="C279" s="174"/>
      <c r="D279" s="263" t="s">
        <v>107</v>
      </c>
      <c r="E279" s="175"/>
      <c r="F279" s="175"/>
      <c r="G279" s="175"/>
      <c r="H279" s="175"/>
      <c r="I279" s="228" t="s">
        <v>495</v>
      </c>
      <c r="J279" s="177" t="s">
        <v>385</v>
      </c>
      <c r="K279" s="216">
        <f>11000*60%</f>
        <v>6600</v>
      </c>
      <c r="L279" s="179" t="s">
        <v>111</v>
      </c>
      <c r="M279" s="180" t="s">
        <v>496</v>
      </c>
    </row>
    <row r="280" spans="1:13" s="141" customFormat="1" ht="24" customHeight="1" x14ac:dyDescent="0.2">
      <c r="A280" s="182"/>
      <c r="B280" s="183"/>
      <c r="C280" s="184"/>
      <c r="D280" s="255"/>
      <c r="E280" s="185"/>
      <c r="F280" s="185"/>
      <c r="G280" s="185"/>
      <c r="H280" s="185"/>
      <c r="I280" s="176" t="s">
        <v>497</v>
      </c>
      <c r="J280" s="212" t="s">
        <v>378</v>
      </c>
      <c r="K280" s="213">
        <f>11000*20%</f>
        <v>2200</v>
      </c>
      <c r="L280" s="189"/>
      <c r="M280" s="190"/>
    </row>
    <row r="281" spans="1:13" s="141" customFormat="1" ht="24" customHeight="1" x14ac:dyDescent="0.2">
      <c r="A281" s="182"/>
      <c r="B281" s="183"/>
      <c r="C281" s="184"/>
      <c r="D281" s="255"/>
      <c r="E281" s="185"/>
      <c r="F281" s="185"/>
      <c r="G281" s="185"/>
      <c r="H281" s="185"/>
      <c r="I281" s="186" t="s">
        <v>498</v>
      </c>
      <c r="J281" s="223" t="s">
        <v>378</v>
      </c>
      <c r="K281" s="213">
        <f>11000*20%</f>
        <v>2200</v>
      </c>
      <c r="L281" s="189"/>
      <c r="M281" s="190"/>
    </row>
    <row r="282" spans="1:13" s="141" customFormat="1" ht="24" customHeight="1" x14ac:dyDescent="0.2">
      <c r="A282" s="193"/>
      <c r="B282" s="194"/>
      <c r="C282" s="195"/>
      <c r="D282" s="256"/>
      <c r="E282" s="196"/>
      <c r="F282" s="196"/>
      <c r="G282" s="196"/>
      <c r="H282" s="196"/>
      <c r="I282" s="206"/>
      <c r="J282" s="226"/>
      <c r="K282" s="215">
        <f>SUM(K279:K281)</f>
        <v>11000</v>
      </c>
      <c r="L282" s="200"/>
      <c r="M282" s="201"/>
    </row>
    <row r="283" spans="1:13" s="141" customFormat="1" ht="24" customHeight="1" x14ac:dyDescent="0.2">
      <c r="A283" s="316">
        <v>69</v>
      </c>
      <c r="B283" s="266" t="s">
        <v>499</v>
      </c>
      <c r="C283" s="267" t="s">
        <v>499</v>
      </c>
      <c r="D283" s="268" t="s">
        <v>107</v>
      </c>
      <c r="E283" s="269"/>
      <c r="F283" s="269"/>
      <c r="G283" s="269"/>
      <c r="H283" s="270"/>
      <c r="I283" s="197" t="s">
        <v>500</v>
      </c>
      <c r="J283" s="226" t="s">
        <v>378</v>
      </c>
      <c r="K283" s="271">
        <v>10000</v>
      </c>
      <c r="L283" s="272" t="s">
        <v>111</v>
      </c>
      <c r="M283" s="226" t="s">
        <v>501</v>
      </c>
    </row>
    <row r="284" spans="1:13" s="141" customFormat="1" ht="24" customHeight="1" x14ac:dyDescent="0.2">
      <c r="A284" s="172">
        <v>70</v>
      </c>
      <c r="B284" s="173" t="s">
        <v>502</v>
      </c>
      <c r="C284" s="174"/>
      <c r="D284" s="263" t="s">
        <v>107</v>
      </c>
      <c r="E284" s="175"/>
      <c r="F284" s="175"/>
      <c r="G284" s="175"/>
      <c r="H284" s="175"/>
      <c r="I284" s="228" t="s">
        <v>503</v>
      </c>
      <c r="J284" s="208" t="s">
        <v>378</v>
      </c>
      <c r="K284" s="209">
        <f>10000*50%</f>
        <v>5000</v>
      </c>
      <c r="L284" s="179" t="s">
        <v>111</v>
      </c>
      <c r="M284" s="180" t="s">
        <v>504</v>
      </c>
    </row>
    <row r="285" spans="1:13" s="141" customFormat="1" ht="24" customHeight="1" x14ac:dyDescent="0.2">
      <c r="A285" s="182"/>
      <c r="B285" s="183"/>
      <c r="C285" s="184"/>
      <c r="D285" s="255"/>
      <c r="E285" s="185"/>
      <c r="F285" s="185"/>
      <c r="G285" s="185"/>
      <c r="H285" s="185"/>
      <c r="I285" s="176" t="s">
        <v>505</v>
      </c>
      <c r="J285" s="177" t="s">
        <v>378</v>
      </c>
      <c r="K285" s="210">
        <f>10000*50%</f>
        <v>5000</v>
      </c>
      <c r="L285" s="189"/>
      <c r="M285" s="190"/>
    </row>
    <row r="286" spans="1:13" s="141" customFormat="1" ht="24" customHeight="1" x14ac:dyDescent="0.2">
      <c r="A286" s="193"/>
      <c r="B286" s="194"/>
      <c r="C286" s="195"/>
      <c r="D286" s="256"/>
      <c r="E286" s="196"/>
      <c r="F286" s="196"/>
      <c r="G286" s="196"/>
      <c r="H286" s="196"/>
      <c r="I286" s="206"/>
      <c r="J286" s="214"/>
      <c r="K286" s="218">
        <f>SUM(K284:K285)</f>
        <v>10000</v>
      </c>
      <c r="L286" s="200"/>
      <c r="M286" s="201"/>
    </row>
    <row r="287" spans="1:13" s="141" customFormat="1" ht="24" customHeight="1" x14ac:dyDescent="0.2">
      <c r="A287" s="172">
        <v>71</v>
      </c>
      <c r="B287" s="173" t="s">
        <v>506</v>
      </c>
      <c r="C287" s="174"/>
      <c r="D287" s="263" t="s">
        <v>107</v>
      </c>
      <c r="E287" s="175"/>
      <c r="F287" s="175"/>
      <c r="G287" s="175"/>
      <c r="H287" s="175"/>
      <c r="I287" s="228" t="s">
        <v>507</v>
      </c>
      <c r="J287" s="177" t="s">
        <v>378</v>
      </c>
      <c r="K287" s="216">
        <f>4700*70%</f>
        <v>3290</v>
      </c>
      <c r="L287" s="179" t="s">
        <v>111</v>
      </c>
      <c r="M287" s="180" t="s">
        <v>508</v>
      </c>
    </row>
    <row r="288" spans="1:13" s="141" customFormat="1" ht="24" customHeight="1" x14ac:dyDescent="0.2">
      <c r="A288" s="182"/>
      <c r="B288" s="183"/>
      <c r="C288" s="184"/>
      <c r="D288" s="255"/>
      <c r="E288" s="185"/>
      <c r="F288" s="185"/>
      <c r="G288" s="185"/>
      <c r="H288" s="185"/>
      <c r="I288" s="176" t="s">
        <v>509</v>
      </c>
      <c r="J288" s="223" t="s">
        <v>378</v>
      </c>
      <c r="K288" s="213">
        <f>4700*30%</f>
        <v>1410</v>
      </c>
      <c r="L288" s="189"/>
      <c r="M288" s="190"/>
    </row>
    <row r="289" spans="1:14" s="141" customFormat="1" ht="24" customHeight="1" x14ac:dyDescent="0.2">
      <c r="A289" s="193"/>
      <c r="B289" s="194"/>
      <c r="C289" s="195"/>
      <c r="D289" s="256"/>
      <c r="E289" s="196"/>
      <c r="F289" s="196"/>
      <c r="G289" s="196"/>
      <c r="H289" s="196"/>
      <c r="I289" s="206"/>
      <c r="J289" s="226"/>
      <c r="K289" s="215">
        <f>SUM(K287:K288)</f>
        <v>4700</v>
      </c>
      <c r="L289" s="200"/>
      <c r="M289" s="201"/>
    </row>
    <row r="290" spans="1:14" s="141" customFormat="1" ht="66" customHeight="1" x14ac:dyDescent="0.2">
      <c r="A290" s="316">
        <v>72</v>
      </c>
      <c r="B290" s="173" t="s">
        <v>510</v>
      </c>
      <c r="C290" s="174"/>
      <c r="D290" s="317" t="s">
        <v>107</v>
      </c>
      <c r="E290" s="318"/>
      <c r="F290" s="318"/>
      <c r="G290" s="318"/>
      <c r="H290" s="318"/>
      <c r="I290" s="289" t="s">
        <v>511</v>
      </c>
      <c r="J290" s="290" t="s">
        <v>378</v>
      </c>
      <c r="K290" s="219">
        <v>10000</v>
      </c>
      <c r="L290" s="319" t="s">
        <v>111</v>
      </c>
      <c r="M290" s="177" t="s">
        <v>512</v>
      </c>
    </row>
    <row r="291" spans="1:14" s="141" customFormat="1" ht="24" customHeight="1" x14ac:dyDescent="0.2">
      <c r="A291" s="316">
        <v>73</v>
      </c>
      <c r="B291" s="173" t="s">
        <v>513</v>
      </c>
      <c r="C291" s="174"/>
      <c r="D291" s="320" t="s">
        <v>107</v>
      </c>
      <c r="E291" s="321"/>
      <c r="F291" s="321"/>
      <c r="G291" s="321"/>
      <c r="H291" s="321"/>
      <c r="I291" s="197" t="s">
        <v>514</v>
      </c>
      <c r="J291" s="226" t="s">
        <v>378</v>
      </c>
      <c r="K291" s="216">
        <v>10000</v>
      </c>
      <c r="L291" s="319" t="s">
        <v>111</v>
      </c>
      <c r="M291" s="272" t="s">
        <v>515</v>
      </c>
    </row>
    <row r="292" spans="1:14" s="141" customFormat="1" ht="24" customHeight="1" x14ac:dyDescent="0.2">
      <c r="A292" s="172">
        <v>74</v>
      </c>
      <c r="B292" s="173" t="s">
        <v>516</v>
      </c>
      <c r="C292" s="174"/>
      <c r="D292" s="263" t="s">
        <v>107</v>
      </c>
      <c r="E292" s="175"/>
      <c r="F292" s="175"/>
      <c r="G292" s="175"/>
      <c r="H292" s="175"/>
      <c r="I292" s="228" t="s">
        <v>517</v>
      </c>
      <c r="J292" s="208" t="s">
        <v>378</v>
      </c>
      <c r="K292" s="209">
        <f>10000*50%</f>
        <v>5000</v>
      </c>
      <c r="L292" s="179" t="s">
        <v>111</v>
      </c>
      <c r="M292" s="180" t="s">
        <v>518</v>
      </c>
    </row>
    <row r="293" spans="1:14" s="141" customFormat="1" ht="24" customHeight="1" x14ac:dyDescent="0.2">
      <c r="A293" s="182"/>
      <c r="B293" s="183"/>
      <c r="C293" s="184"/>
      <c r="D293" s="255"/>
      <c r="E293" s="185"/>
      <c r="F293" s="185"/>
      <c r="G293" s="185"/>
      <c r="H293" s="185"/>
      <c r="I293" s="192" t="s">
        <v>519</v>
      </c>
      <c r="J293" s="177" t="s">
        <v>378</v>
      </c>
      <c r="K293" s="210">
        <f>10000*50%</f>
        <v>5000</v>
      </c>
      <c r="L293" s="189"/>
      <c r="M293" s="190"/>
    </row>
    <row r="294" spans="1:14" s="141" customFormat="1" ht="24" customHeight="1" x14ac:dyDescent="0.2">
      <c r="A294" s="193"/>
      <c r="B294" s="194"/>
      <c r="C294" s="195"/>
      <c r="D294" s="256"/>
      <c r="E294" s="196"/>
      <c r="F294" s="196"/>
      <c r="G294" s="196"/>
      <c r="H294" s="196"/>
      <c r="I294" s="197"/>
      <c r="J294" s="214"/>
      <c r="K294" s="218">
        <f>SUM(K292:K293)</f>
        <v>10000</v>
      </c>
      <c r="L294" s="200"/>
      <c r="M294" s="201"/>
    </row>
    <row r="295" spans="1:14" s="141" customFormat="1" ht="107.25" customHeight="1" x14ac:dyDescent="0.2">
      <c r="A295" s="316">
        <v>75</v>
      </c>
      <c r="B295" s="173" t="s">
        <v>520</v>
      </c>
      <c r="C295" s="174"/>
      <c r="D295" s="320" t="s">
        <v>107</v>
      </c>
      <c r="E295" s="321"/>
      <c r="F295" s="321"/>
      <c r="G295" s="321"/>
      <c r="H295" s="321"/>
      <c r="I295" s="322" t="s">
        <v>521</v>
      </c>
      <c r="J295" s="177" t="s">
        <v>378</v>
      </c>
      <c r="K295" s="216">
        <v>18000</v>
      </c>
      <c r="L295" s="323" t="s">
        <v>111</v>
      </c>
      <c r="M295" s="272" t="s">
        <v>522</v>
      </c>
    </row>
    <row r="296" spans="1:14" s="141" customFormat="1" ht="48.75" customHeight="1" x14ac:dyDescent="0.2">
      <c r="A296" s="316">
        <v>76</v>
      </c>
      <c r="B296" s="324" t="s">
        <v>523</v>
      </c>
      <c r="C296" s="325"/>
      <c r="D296" s="321" t="s">
        <v>107</v>
      </c>
      <c r="E296" s="321"/>
      <c r="F296" s="321"/>
      <c r="G296" s="321"/>
      <c r="H296" s="321"/>
      <c r="I296" s="289" t="s">
        <v>524</v>
      </c>
      <c r="J296" s="326" t="s">
        <v>378</v>
      </c>
      <c r="K296" s="291">
        <v>10000</v>
      </c>
      <c r="L296" s="319" t="s">
        <v>111</v>
      </c>
      <c r="M296" s="272" t="s">
        <v>525</v>
      </c>
      <c r="N296" s="181"/>
    </row>
    <row r="297" spans="1:14" s="141" customFormat="1" ht="24" customHeight="1" x14ac:dyDescent="0.2">
      <c r="A297" s="172">
        <v>77</v>
      </c>
      <c r="B297" s="299" t="s">
        <v>526</v>
      </c>
      <c r="C297" s="300"/>
      <c r="D297" s="175" t="s">
        <v>107</v>
      </c>
      <c r="E297" s="175"/>
      <c r="F297" s="175"/>
      <c r="G297" s="175"/>
      <c r="H297" s="175" t="s">
        <v>164</v>
      </c>
      <c r="I297" s="283" t="s">
        <v>527</v>
      </c>
      <c r="J297" s="284" t="s">
        <v>378</v>
      </c>
      <c r="K297" s="285">
        <f>10000*70%</f>
        <v>7000</v>
      </c>
      <c r="L297" s="180" t="s">
        <v>111</v>
      </c>
      <c r="M297" s="180" t="s">
        <v>528</v>
      </c>
    </row>
    <row r="298" spans="1:14" s="141" customFormat="1" ht="24" customHeight="1" x14ac:dyDescent="0.2">
      <c r="A298" s="182"/>
      <c r="B298" s="294"/>
      <c r="C298" s="295"/>
      <c r="D298" s="185"/>
      <c r="E298" s="185"/>
      <c r="F298" s="185"/>
      <c r="G298" s="185"/>
      <c r="H298" s="185"/>
      <c r="I298" s="192" t="s">
        <v>529</v>
      </c>
      <c r="J298" s="279" t="s">
        <v>378</v>
      </c>
      <c r="K298" s="225">
        <f>10000*10%</f>
        <v>1000</v>
      </c>
      <c r="L298" s="190"/>
      <c r="M298" s="190"/>
    </row>
    <row r="299" spans="1:14" s="141" customFormat="1" ht="24" customHeight="1" x14ac:dyDescent="0.2">
      <c r="A299" s="182"/>
      <c r="B299" s="294"/>
      <c r="C299" s="295"/>
      <c r="D299" s="185"/>
      <c r="E299" s="185"/>
      <c r="F299" s="185"/>
      <c r="G299" s="185"/>
      <c r="H299" s="185"/>
      <c r="I299" s="192" t="s">
        <v>530</v>
      </c>
      <c r="J299" s="279" t="s">
        <v>378</v>
      </c>
      <c r="K299" s="225">
        <f t="shared" ref="K299:K300" si="6">10000*10%</f>
        <v>1000</v>
      </c>
      <c r="L299" s="190"/>
      <c r="M299" s="190"/>
    </row>
    <row r="300" spans="1:14" s="141" customFormat="1" ht="24" customHeight="1" x14ac:dyDescent="0.2">
      <c r="A300" s="182"/>
      <c r="B300" s="294"/>
      <c r="C300" s="295"/>
      <c r="D300" s="185"/>
      <c r="E300" s="185"/>
      <c r="F300" s="185"/>
      <c r="G300" s="185"/>
      <c r="H300" s="185"/>
      <c r="I300" s="192" t="s">
        <v>531</v>
      </c>
      <c r="J300" s="279" t="s">
        <v>378</v>
      </c>
      <c r="K300" s="225">
        <f t="shared" si="6"/>
        <v>1000</v>
      </c>
      <c r="L300" s="190"/>
      <c r="M300" s="190"/>
    </row>
    <row r="301" spans="1:14" s="141" customFormat="1" ht="24" customHeight="1" x14ac:dyDescent="0.2">
      <c r="A301" s="193"/>
      <c r="B301" s="327"/>
      <c r="C301" s="328"/>
      <c r="D301" s="196"/>
      <c r="E301" s="196"/>
      <c r="F301" s="196"/>
      <c r="G301" s="196"/>
      <c r="H301" s="196"/>
      <c r="I301" s="186"/>
      <c r="J301" s="304"/>
      <c r="K301" s="261">
        <f>SUM(K297:K300)</f>
        <v>10000</v>
      </c>
      <c r="L301" s="201"/>
      <c r="M301" s="201"/>
    </row>
    <row r="302" spans="1:14" s="141" customFormat="1" ht="24" customHeight="1" x14ac:dyDescent="0.2">
      <c r="A302" s="172">
        <v>78</v>
      </c>
      <c r="B302" s="173" t="s">
        <v>532</v>
      </c>
      <c r="C302" s="174"/>
      <c r="D302" s="175" t="s">
        <v>107</v>
      </c>
      <c r="E302" s="175"/>
      <c r="F302" s="175"/>
      <c r="G302" s="175"/>
      <c r="H302" s="175" t="s">
        <v>137</v>
      </c>
      <c r="I302" s="228" t="s">
        <v>533</v>
      </c>
      <c r="J302" s="208" t="s">
        <v>247</v>
      </c>
      <c r="K302" s="329">
        <f>4000*90%</f>
        <v>3600</v>
      </c>
      <c r="L302" s="174" t="s">
        <v>111</v>
      </c>
      <c r="M302" s="180" t="s">
        <v>534</v>
      </c>
    </row>
    <row r="303" spans="1:14" s="141" customFormat="1" ht="24" customHeight="1" x14ac:dyDescent="0.2">
      <c r="A303" s="182"/>
      <c r="B303" s="183"/>
      <c r="C303" s="184"/>
      <c r="D303" s="185"/>
      <c r="E303" s="185"/>
      <c r="F303" s="185"/>
      <c r="G303" s="185"/>
      <c r="H303" s="185"/>
      <c r="I303" s="192" t="s">
        <v>180</v>
      </c>
      <c r="J303" s="177" t="s">
        <v>247</v>
      </c>
      <c r="K303" s="261">
        <f>4000*5%</f>
        <v>200</v>
      </c>
      <c r="L303" s="184"/>
      <c r="M303" s="190"/>
    </row>
    <row r="304" spans="1:14" s="141" customFormat="1" ht="24" customHeight="1" x14ac:dyDescent="0.2">
      <c r="A304" s="182"/>
      <c r="B304" s="183"/>
      <c r="C304" s="184"/>
      <c r="D304" s="185"/>
      <c r="E304" s="185"/>
      <c r="F304" s="185"/>
      <c r="G304" s="185"/>
      <c r="H304" s="185"/>
      <c r="I304" s="176" t="s">
        <v>535</v>
      </c>
      <c r="J304" s="212" t="s">
        <v>415</v>
      </c>
      <c r="K304" s="220">
        <f>4000*5%</f>
        <v>200</v>
      </c>
      <c r="L304" s="184"/>
      <c r="M304" s="190"/>
    </row>
    <row r="305" spans="1:13" s="141" customFormat="1" ht="24" customHeight="1" x14ac:dyDescent="0.2">
      <c r="A305" s="193"/>
      <c r="B305" s="194"/>
      <c r="C305" s="195"/>
      <c r="D305" s="196"/>
      <c r="E305" s="196"/>
      <c r="F305" s="196"/>
      <c r="G305" s="196"/>
      <c r="H305" s="196"/>
      <c r="I305" s="206"/>
      <c r="J305" s="214"/>
      <c r="K305" s="221">
        <f>SUM(K302:K304)</f>
        <v>4000</v>
      </c>
      <c r="L305" s="195"/>
      <c r="M305" s="201"/>
    </row>
    <row r="306" spans="1:13" s="141" customFormat="1" ht="23.25" customHeight="1" x14ac:dyDescent="0.2">
      <c r="A306" s="172">
        <v>79</v>
      </c>
      <c r="B306" s="173" t="s">
        <v>536</v>
      </c>
      <c r="C306" s="174"/>
      <c r="D306" s="175" t="s">
        <v>107</v>
      </c>
      <c r="E306" s="175"/>
      <c r="F306" s="175"/>
      <c r="G306" s="175"/>
      <c r="H306" s="175"/>
      <c r="I306" s="176" t="s">
        <v>537</v>
      </c>
      <c r="J306" s="208" t="s">
        <v>247</v>
      </c>
      <c r="K306" s="216">
        <f>4000*70%</f>
        <v>2800</v>
      </c>
      <c r="L306" s="179" t="s">
        <v>111</v>
      </c>
      <c r="M306" s="180" t="s">
        <v>538</v>
      </c>
    </row>
    <row r="307" spans="1:13" s="141" customFormat="1" ht="23.25" customHeight="1" x14ac:dyDescent="0.2">
      <c r="A307" s="182"/>
      <c r="B307" s="183"/>
      <c r="C307" s="184"/>
      <c r="D307" s="185"/>
      <c r="E307" s="185"/>
      <c r="F307" s="185"/>
      <c r="G307" s="185"/>
      <c r="H307" s="185"/>
      <c r="I307" s="186" t="s">
        <v>539</v>
      </c>
      <c r="J307" s="177" t="s">
        <v>247</v>
      </c>
      <c r="K307" s="240">
        <f>4000*10%</f>
        <v>400</v>
      </c>
      <c r="L307" s="189"/>
      <c r="M307" s="190"/>
    </row>
    <row r="308" spans="1:13" s="141" customFormat="1" ht="23.25" customHeight="1" x14ac:dyDescent="0.2">
      <c r="A308" s="182"/>
      <c r="B308" s="183"/>
      <c r="C308" s="184"/>
      <c r="D308" s="185"/>
      <c r="E308" s="185"/>
      <c r="F308" s="185"/>
      <c r="G308" s="185"/>
      <c r="H308" s="185"/>
      <c r="I308" s="186" t="s">
        <v>540</v>
      </c>
      <c r="J308" s="212" t="s">
        <v>247</v>
      </c>
      <c r="K308" s="210">
        <f>4000*10%</f>
        <v>400</v>
      </c>
      <c r="L308" s="189"/>
      <c r="M308" s="190"/>
    </row>
    <row r="309" spans="1:13" s="141" customFormat="1" ht="23.25" customHeight="1" x14ac:dyDescent="0.2">
      <c r="A309" s="182"/>
      <c r="B309" s="183"/>
      <c r="C309" s="184"/>
      <c r="D309" s="185"/>
      <c r="E309" s="185"/>
      <c r="F309" s="185"/>
      <c r="G309" s="185"/>
      <c r="H309" s="185"/>
      <c r="I309" s="192" t="s">
        <v>541</v>
      </c>
      <c r="J309" s="223" t="s">
        <v>415</v>
      </c>
      <c r="K309" s="213">
        <f>4000*10%</f>
        <v>400</v>
      </c>
      <c r="L309" s="189"/>
      <c r="M309" s="190"/>
    </row>
    <row r="310" spans="1:13" s="141" customFormat="1" ht="23.25" customHeight="1" x14ac:dyDescent="0.2">
      <c r="A310" s="193"/>
      <c r="B310" s="194"/>
      <c r="C310" s="195"/>
      <c r="D310" s="196"/>
      <c r="E310" s="196"/>
      <c r="F310" s="196"/>
      <c r="G310" s="196"/>
      <c r="H310" s="196"/>
      <c r="I310" s="197"/>
      <c r="J310" s="214"/>
      <c r="K310" s="215">
        <f>SUM(K306:K309)</f>
        <v>4000</v>
      </c>
      <c r="L310" s="200"/>
      <c r="M310" s="201"/>
    </row>
    <row r="311" spans="1:13" s="141" customFormat="1" x14ac:dyDescent="0.2">
      <c r="A311" s="172">
        <v>80</v>
      </c>
      <c r="B311" s="173" t="s">
        <v>542</v>
      </c>
      <c r="C311" s="174"/>
      <c r="D311" s="175" t="s">
        <v>107</v>
      </c>
      <c r="E311" s="175"/>
      <c r="F311" s="175"/>
      <c r="G311" s="175"/>
      <c r="H311" s="175"/>
      <c r="I311" s="176" t="s">
        <v>543</v>
      </c>
      <c r="J311" s="177" t="s">
        <v>415</v>
      </c>
      <c r="K311" s="216">
        <f>4800*60%</f>
        <v>2880</v>
      </c>
      <c r="L311" s="174" t="s">
        <v>111</v>
      </c>
      <c r="M311" s="180" t="s">
        <v>544</v>
      </c>
    </row>
    <row r="312" spans="1:13" s="141" customFormat="1" x14ac:dyDescent="0.2">
      <c r="A312" s="182"/>
      <c r="B312" s="183"/>
      <c r="C312" s="184"/>
      <c r="D312" s="185"/>
      <c r="E312" s="185"/>
      <c r="F312" s="185"/>
      <c r="G312" s="185"/>
      <c r="H312" s="185"/>
      <c r="I312" s="192" t="s">
        <v>545</v>
      </c>
      <c r="J312" s="223" t="s">
        <v>415</v>
      </c>
      <c r="K312" s="217">
        <f>4800*40%</f>
        <v>1920</v>
      </c>
      <c r="L312" s="184"/>
      <c r="M312" s="190"/>
    </row>
    <row r="313" spans="1:13" s="141" customFormat="1" x14ac:dyDescent="0.2">
      <c r="A313" s="193"/>
      <c r="B313" s="194"/>
      <c r="C313" s="195"/>
      <c r="D313" s="196"/>
      <c r="E313" s="196"/>
      <c r="F313" s="196"/>
      <c r="G313" s="196"/>
      <c r="H313" s="196"/>
      <c r="I313" s="206"/>
      <c r="J313" s="226"/>
      <c r="K313" s="239">
        <f>SUM(K311:K312)</f>
        <v>4800</v>
      </c>
      <c r="L313" s="195"/>
      <c r="M313" s="201"/>
    </row>
    <row r="314" spans="1:13" s="141" customFormat="1" x14ac:dyDescent="0.2">
      <c r="A314" s="172">
        <v>81</v>
      </c>
      <c r="B314" s="173" t="s">
        <v>546</v>
      </c>
      <c r="C314" s="174"/>
      <c r="D314" s="175" t="s">
        <v>107</v>
      </c>
      <c r="E314" s="175"/>
      <c r="F314" s="175"/>
      <c r="G314" s="175"/>
      <c r="H314" s="175"/>
      <c r="I314" s="176" t="s">
        <v>543</v>
      </c>
      <c r="J314" s="177" t="s">
        <v>415</v>
      </c>
      <c r="K314" s="216">
        <f>4800*60%</f>
        <v>2880</v>
      </c>
      <c r="L314" s="174" t="s">
        <v>111</v>
      </c>
      <c r="M314" s="180" t="s">
        <v>547</v>
      </c>
    </row>
    <row r="315" spans="1:13" s="141" customFormat="1" x14ac:dyDescent="0.2">
      <c r="A315" s="182"/>
      <c r="B315" s="183"/>
      <c r="C315" s="184"/>
      <c r="D315" s="185"/>
      <c r="E315" s="185"/>
      <c r="F315" s="185"/>
      <c r="G315" s="185"/>
      <c r="H315" s="185"/>
      <c r="I315" s="192" t="s">
        <v>545</v>
      </c>
      <c r="J315" s="212" t="s">
        <v>415</v>
      </c>
      <c r="K315" s="232">
        <f>4800*40%</f>
        <v>1920</v>
      </c>
      <c r="L315" s="184"/>
      <c r="M315" s="190"/>
    </row>
    <row r="316" spans="1:13" s="141" customFormat="1" x14ac:dyDescent="0.2">
      <c r="A316" s="193"/>
      <c r="B316" s="194"/>
      <c r="C316" s="195"/>
      <c r="D316" s="196"/>
      <c r="E316" s="196"/>
      <c r="F316" s="196"/>
      <c r="G316" s="196"/>
      <c r="H316" s="196"/>
      <c r="I316" s="197"/>
      <c r="J316" s="214"/>
      <c r="K316" s="221">
        <f>SUM(K314:K315)</f>
        <v>4800</v>
      </c>
      <c r="L316" s="195"/>
      <c r="M316" s="201"/>
    </row>
    <row r="317" spans="1:13" s="141" customFormat="1" ht="50.25" customHeight="1" x14ac:dyDescent="0.2">
      <c r="A317" s="316">
        <v>82</v>
      </c>
      <c r="B317" s="173" t="s">
        <v>548</v>
      </c>
      <c r="C317" s="174"/>
      <c r="D317" s="321" t="s">
        <v>107</v>
      </c>
      <c r="E317" s="321"/>
      <c r="F317" s="321"/>
      <c r="G317" s="321"/>
      <c r="H317" s="321"/>
      <c r="I317" s="176" t="s">
        <v>549</v>
      </c>
      <c r="J317" s="330" t="s">
        <v>415</v>
      </c>
      <c r="K317" s="216">
        <v>4800</v>
      </c>
      <c r="L317" s="319" t="s">
        <v>111</v>
      </c>
      <c r="M317" s="272" t="s">
        <v>550</v>
      </c>
    </row>
    <row r="318" spans="1:13" s="141" customFormat="1" ht="23.25" customHeight="1" x14ac:dyDescent="0.2">
      <c r="A318" s="172">
        <v>83</v>
      </c>
      <c r="B318" s="173" t="s">
        <v>551</v>
      </c>
      <c r="C318" s="174"/>
      <c r="D318" s="175" t="s">
        <v>107</v>
      </c>
      <c r="E318" s="175"/>
      <c r="F318" s="175"/>
      <c r="G318" s="175"/>
      <c r="H318" s="175"/>
      <c r="I318" s="228" t="s">
        <v>552</v>
      </c>
      <c r="J318" s="208" t="s">
        <v>247</v>
      </c>
      <c r="K318" s="216">
        <f>5000*40%</f>
        <v>2000</v>
      </c>
      <c r="L318" s="179" t="s">
        <v>111</v>
      </c>
      <c r="M318" s="180" t="s">
        <v>553</v>
      </c>
    </row>
    <row r="319" spans="1:13" s="141" customFormat="1" x14ac:dyDescent="0.2">
      <c r="A319" s="182"/>
      <c r="B319" s="183"/>
      <c r="C319" s="184"/>
      <c r="D319" s="185"/>
      <c r="E319" s="185"/>
      <c r="F319" s="185"/>
      <c r="G319" s="185"/>
      <c r="H319" s="185"/>
      <c r="I319" s="192" t="s">
        <v>554</v>
      </c>
      <c r="J319" s="187" t="s">
        <v>415</v>
      </c>
      <c r="K319" s="211">
        <f>5000*20%</f>
        <v>1000</v>
      </c>
      <c r="L319" s="189"/>
      <c r="M319" s="190"/>
    </row>
    <row r="320" spans="1:13" s="141" customFormat="1" x14ac:dyDescent="0.2">
      <c r="A320" s="182"/>
      <c r="B320" s="183"/>
      <c r="C320" s="184"/>
      <c r="D320" s="185"/>
      <c r="E320" s="185"/>
      <c r="F320" s="185"/>
      <c r="G320" s="185"/>
      <c r="H320" s="185"/>
      <c r="I320" s="192" t="s">
        <v>555</v>
      </c>
      <c r="J320" s="187" t="s">
        <v>415</v>
      </c>
      <c r="K320" s="211">
        <f>5000*20%</f>
        <v>1000</v>
      </c>
      <c r="L320" s="189"/>
      <c r="M320" s="190"/>
    </row>
    <row r="321" spans="1:13" s="141" customFormat="1" x14ac:dyDescent="0.2">
      <c r="A321" s="182"/>
      <c r="B321" s="183"/>
      <c r="C321" s="184"/>
      <c r="D321" s="185"/>
      <c r="E321" s="185"/>
      <c r="F321" s="185"/>
      <c r="G321" s="185"/>
      <c r="H321" s="185"/>
      <c r="I321" s="331" t="s">
        <v>556</v>
      </c>
      <c r="J321" s="187" t="s">
        <v>415</v>
      </c>
      <c r="K321" s="211">
        <f>5000*10%</f>
        <v>500</v>
      </c>
      <c r="L321" s="189"/>
      <c r="M321" s="190"/>
    </row>
    <row r="322" spans="1:13" s="141" customFormat="1" x14ac:dyDescent="0.2">
      <c r="A322" s="182"/>
      <c r="B322" s="183"/>
      <c r="C322" s="184"/>
      <c r="D322" s="185"/>
      <c r="E322" s="185"/>
      <c r="F322" s="185"/>
      <c r="G322" s="185"/>
      <c r="H322" s="185"/>
      <c r="I322" s="332" t="s">
        <v>557</v>
      </c>
      <c r="J322" s="177" t="s">
        <v>415</v>
      </c>
      <c r="K322" s="211">
        <f>5000*10%</f>
        <v>500</v>
      </c>
      <c r="L322" s="189"/>
      <c r="M322" s="190"/>
    </row>
    <row r="323" spans="1:13" s="141" customFormat="1" x14ac:dyDescent="0.2">
      <c r="A323" s="193"/>
      <c r="B323" s="194"/>
      <c r="C323" s="195"/>
      <c r="D323" s="196"/>
      <c r="E323" s="196"/>
      <c r="F323" s="196"/>
      <c r="G323" s="196"/>
      <c r="H323" s="196"/>
      <c r="I323" s="206"/>
      <c r="J323" s="214"/>
      <c r="K323" s="215">
        <f>SUM(K318:K322)</f>
        <v>5000</v>
      </c>
      <c r="L323" s="200"/>
      <c r="M323" s="201"/>
    </row>
    <row r="324" spans="1:13" s="141" customFormat="1" ht="22.5" customHeight="1" x14ac:dyDescent="0.2">
      <c r="A324" s="333">
        <v>84</v>
      </c>
      <c r="B324" s="173" t="s">
        <v>558</v>
      </c>
      <c r="C324" s="174"/>
      <c r="D324" s="175" t="s">
        <v>107</v>
      </c>
      <c r="E324" s="175"/>
      <c r="F324" s="175"/>
      <c r="G324" s="175"/>
      <c r="H324" s="175"/>
      <c r="I324" s="228" t="s">
        <v>559</v>
      </c>
      <c r="J324" s="177" t="s">
        <v>415</v>
      </c>
      <c r="K324" s="216">
        <f>6300*20%</f>
        <v>1260</v>
      </c>
      <c r="L324" s="179" t="s">
        <v>111</v>
      </c>
      <c r="M324" s="180" t="s">
        <v>560</v>
      </c>
    </row>
    <row r="325" spans="1:13" s="141" customFormat="1" x14ac:dyDescent="0.2">
      <c r="A325" s="334"/>
      <c r="B325" s="183"/>
      <c r="C325" s="184"/>
      <c r="D325" s="185"/>
      <c r="E325" s="185"/>
      <c r="F325" s="185"/>
      <c r="G325" s="185"/>
      <c r="H325" s="185"/>
      <c r="I325" s="176" t="s">
        <v>561</v>
      </c>
      <c r="J325" s="223" t="s">
        <v>415</v>
      </c>
      <c r="K325" s="217">
        <f>6300*15%</f>
        <v>945</v>
      </c>
      <c r="L325" s="189"/>
      <c r="M325" s="190"/>
    </row>
    <row r="326" spans="1:13" s="141" customFormat="1" x14ac:dyDescent="0.2">
      <c r="A326" s="334"/>
      <c r="B326" s="183"/>
      <c r="C326" s="184"/>
      <c r="D326" s="185"/>
      <c r="E326" s="185"/>
      <c r="F326" s="185"/>
      <c r="G326" s="185"/>
      <c r="H326" s="185"/>
      <c r="I326" s="192" t="s">
        <v>562</v>
      </c>
      <c r="J326" s="223" t="s">
        <v>415</v>
      </c>
      <c r="K326" s="213">
        <f>6300*15%</f>
        <v>945</v>
      </c>
      <c r="L326" s="189"/>
      <c r="M326" s="190"/>
    </row>
    <row r="327" spans="1:13" s="141" customFormat="1" x14ac:dyDescent="0.2">
      <c r="A327" s="334"/>
      <c r="B327" s="183"/>
      <c r="C327" s="184"/>
      <c r="D327" s="185"/>
      <c r="E327" s="185"/>
      <c r="F327" s="185"/>
      <c r="G327" s="185"/>
      <c r="H327" s="185"/>
      <c r="I327" s="176" t="s">
        <v>563</v>
      </c>
      <c r="J327" s="315" t="s">
        <v>415</v>
      </c>
      <c r="K327" s="210">
        <f>6300*50%</f>
        <v>3150</v>
      </c>
      <c r="L327" s="189"/>
      <c r="M327" s="190"/>
    </row>
    <row r="328" spans="1:13" s="141" customFormat="1" x14ac:dyDescent="0.2">
      <c r="A328" s="335"/>
      <c r="B328" s="194"/>
      <c r="C328" s="195"/>
      <c r="D328" s="196"/>
      <c r="E328" s="196"/>
      <c r="F328" s="196"/>
      <c r="G328" s="196"/>
      <c r="H328" s="196"/>
      <c r="I328" s="206"/>
      <c r="J328" s="226"/>
      <c r="K328" s="227">
        <f>SUM(K324:K327)</f>
        <v>6300</v>
      </c>
      <c r="L328" s="200"/>
      <c r="M328" s="201"/>
    </row>
    <row r="329" spans="1:13" s="141" customFormat="1" x14ac:dyDescent="0.2">
      <c r="A329" s="336">
        <v>85</v>
      </c>
      <c r="B329" s="337" t="s">
        <v>564</v>
      </c>
      <c r="C329" s="338"/>
      <c r="D329" s="320" t="s">
        <v>107</v>
      </c>
      <c r="E329" s="321"/>
      <c r="F329" s="321"/>
      <c r="G329" s="321"/>
      <c r="H329" s="321"/>
      <c r="I329" s="176" t="s">
        <v>565</v>
      </c>
      <c r="J329" s="290" t="s">
        <v>415</v>
      </c>
      <c r="K329" s="222">
        <v>4300</v>
      </c>
      <c r="L329" s="323" t="s">
        <v>111</v>
      </c>
      <c r="M329" s="272" t="s">
        <v>566</v>
      </c>
    </row>
    <row r="330" spans="1:13" s="141" customFormat="1" x14ac:dyDescent="0.2">
      <c r="A330" s="333">
        <v>86</v>
      </c>
      <c r="B330" s="173" t="s">
        <v>567</v>
      </c>
      <c r="C330" s="174"/>
      <c r="D330" s="263" t="s">
        <v>107</v>
      </c>
      <c r="E330" s="175"/>
      <c r="F330" s="175"/>
      <c r="G330" s="175"/>
      <c r="H330" s="175"/>
      <c r="I330" s="228" t="s">
        <v>568</v>
      </c>
      <c r="J330" s="177" t="s">
        <v>415</v>
      </c>
      <c r="K330" s="216">
        <f>4800*50%</f>
        <v>2400</v>
      </c>
      <c r="L330" s="179" t="s">
        <v>111</v>
      </c>
      <c r="M330" s="180" t="s">
        <v>569</v>
      </c>
    </row>
    <row r="331" spans="1:13" s="141" customFormat="1" x14ac:dyDescent="0.2">
      <c r="A331" s="334"/>
      <c r="B331" s="183"/>
      <c r="C331" s="184"/>
      <c r="D331" s="255"/>
      <c r="E331" s="185"/>
      <c r="F331" s="185"/>
      <c r="G331" s="185"/>
      <c r="H331" s="185"/>
      <c r="I331" s="192" t="s">
        <v>570</v>
      </c>
      <c r="J331" s="223" t="s">
        <v>415</v>
      </c>
      <c r="K331" s="213">
        <f>4800*25%</f>
        <v>1200</v>
      </c>
      <c r="L331" s="189"/>
      <c r="M331" s="190"/>
    </row>
    <row r="332" spans="1:13" s="141" customFormat="1" x14ac:dyDescent="0.2">
      <c r="A332" s="334"/>
      <c r="B332" s="183"/>
      <c r="C332" s="184"/>
      <c r="D332" s="255"/>
      <c r="E332" s="185"/>
      <c r="F332" s="185"/>
      <c r="G332" s="185"/>
      <c r="H332" s="185"/>
      <c r="I332" s="176" t="s">
        <v>571</v>
      </c>
      <c r="J332" s="315" t="s">
        <v>572</v>
      </c>
      <c r="K332" s="213">
        <f>4800*25%</f>
        <v>1200</v>
      </c>
      <c r="L332" s="189"/>
      <c r="M332" s="190"/>
    </row>
    <row r="333" spans="1:13" s="141" customFormat="1" x14ac:dyDescent="0.2">
      <c r="A333" s="335"/>
      <c r="B333" s="194"/>
      <c r="C333" s="195"/>
      <c r="D333" s="256"/>
      <c r="E333" s="196"/>
      <c r="F333" s="196"/>
      <c r="G333" s="196"/>
      <c r="H333" s="196"/>
      <c r="I333" s="206"/>
      <c r="J333" s="226"/>
      <c r="K333" s="215">
        <f>SUM(K330:K332)</f>
        <v>4800</v>
      </c>
      <c r="L333" s="200"/>
      <c r="M333" s="201"/>
    </row>
    <row r="334" spans="1:13" s="141" customFormat="1" x14ac:dyDescent="0.2">
      <c r="A334" s="339">
        <v>87</v>
      </c>
      <c r="B334" s="173" t="s">
        <v>573</v>
      </c>
      <c r="C334" s="174"/>
      <c r="D334" s="263" t="s">
        <v>107</v>
      </c>
      <c r="E334" s="175"/>
      <c r="F334" s="175"/>
      <c r="G334" s="175"/>
      <c r="H334" s="175"/>
      <c r="I334" s="228" t="s">
        <v>574</v>
      </c>
      <c r="J334" s="208" t="s">
        <v>415</v>
      </c>
      <c r="K334" s="209">
        <f>4800*70%</f>
        <v>3360</v>
      </c>
      <c r="L334" s="179" t="s">
        <v>111</v>
      </c>
      <c r="M334" s="180" t="s">
        <v>575</v>
      </c>
    </row>
    <row r="335" spans="1:13" s="141" customFormat="1" x14ac:dyDescent="0.2">
      <c r="A335" s="339"/>
      <c r="B335" s="183"/>
      <c r="C335" s="184"/>
      <c r="D335" s="255"/>
      <c r="E335" s="185"/>
      <c r="F335" s="185"/>
      <c r="G335" s="185"/>
      <c r="H335" s="185"/>
      <c r="I335" s="192" t="s">
        <v>576</v>
      </c>
      <c r="J335" s="177" t="s">
        <v>415</v>
      </c>
      <c r="K335" s="210">
        <f>4800*30%</f>
        <v>1440</v>
      </c>
      <c r="L335" s="189"/>
      <c r="M335" s="190"/>
    </row>
    <row r="336" spans="1:13" s="141" customFormat="1" x14ac:dyDescent="0.2">
      <c r="A336" s="339"/>
      <c r="B336" s="194"/>
      <c r="C336" s="195"/>
      <c r="D336" s="256"/>
      <c r="E336" s="196"/>
      <c r="F336" s="196"/>
      <c r="G336" s="196"/>
      <c r="H336" s="196"/>
      <c r="I336" s="197"/>
      <c r="J336" s="214"/>
      <c r="K336" s="218">
        <f>SUM(K334:K335)</f>
        <v>4800</v>
      </c>
      <c r="L336" s="200"/>
      <c r="M336" s="201"/>
    </row>
    <row r="337" spans="1:14" s="141" customFormat="1" ht="63.75" customHeight="1" x14ac:dyDescent="0.2">
      <c r="A337" s="340">
        <v>88</v>
      </c>
      <c r="B337" s="173" t="s">
        <v>577</v>
      </c>
      <c r="C337" s="174"/>
      <c r="D337" s="320" t="s">
        <v>107</v>
      </c>
      <c r="E337" s="321"/>
      <c r="F337" s="321"/>
      <c r="G337" s="321"/>
      <c r="H337" s="321"/>
      <c r="I337" s="289" t="s">
        <v>578</v>
      </c>
      <c r="J337" s="312" t="s">
        <v>415</v>
      </c>
      <c r="K337" s="216">
        <v>4800</v>
      </c>
      <c r="L337" s="323" t="s">
        <v>111</v>
      </c>
      <c r="M337" s="272" t="s">
        <v>579</v>
      </c>
    </row>
    <row r="338" spans="1:14" s="141" customFormat="1" x14ac:dyDescent="0.2">
      <c r="A338" s="339">
        <v>89</v>
      </c>
      <c r="B338" s="173" t="s">
        <v>580</v>
      </c>
      <c r="C338" s="174"/>
      <c r="D338" s="263" t="s">
        <v>107</v>
      </c>
      <c r="E338" s="175"/>
      <c r="F338" s="175"/>
      <c r="G338" s="175"/>
      <c r="H338" s="175"/>
      <c r="I338" s="176" t="s">
        <v>581</v>
      </c>
      <c r="J338" s="177" t="s">
        <v>415</v>
      </c>
      <c r="K338" s="216">
        <f>5000*20%</f>
        <v>1000</v>
      </c>
      <c r="L338" s="179" t="s">
        <v>111</v>
      </c>
      <c r="M338" s="180" t="s">
        <v>582</v>
      </c>
    </row>
    <row r="339" spans="1:14" s="141" customFormat="1" x14ac:dyDescent="0.2">
      <c r="A339" s="339"/>
      <c r="B339" s="183"/>
      <c r="C339" s="184"/>
      <c r="D339" s="255"/>
      <c r="E339" s="185"/>
      <c r="F339" s="185"/>
      <c r="G339" s="185"/>
      <c r="H339" s="185"/>
      <c r="I339" s="186" t="s">
        <v>583</v>
      </c>
      <c r="J339" s="223" t="s">
        <v>415</v>
      </c>
      <c r="K339" s="217">
        <f>5000*20%</f>
        <v>1000</v>
      </c>
      <c r="L339" s="189"/>
      <c r="M339" s="190"/>
    </row>
    <row r="340" spans="1:14" s="141" customFormat="1" x14ac:dyDescent="0.2">
      <c r="A340" s="339"/>
      <c r="B340" s="183"/>
      <c r="C340" s="184"/>
      <c r="D340" s="255"/>
      <c r="E340" s="185"/>
      <c r="F340" s="185"/>
      <c r="G340" s="185"/>
      <c r="H340" s="185"/>
      <c r="I340" s="186" t="s">
        <v>584</v>
      </c>
      <c r="J340" s="315" t="s">
        <v>415</v>
      </c>
      <c r="K340" s="217">
        <f>5000*20%</f>
        <v>1000</v>
      </c>
      <c r="L340" s="189"/>
      <c r="M340" s="190"/>
    </row>
    <row r="341" spans="1:14" s="141" customFormat="1" x14ac:dyDescent="0.2">
      <c r="A341" s="339"/>
      <c r="B341" s="183"/>
      <c r="C341" s="184"/>
      <c r="D341" s="255"/>
      <c r="E341" s="185"/>
      <c r="F341" s="185"/>
      <c r="G341" s="185"/>
      <c r="H341" s="185"/>
      <c r="I341" s="186" t="s">
        <v>585</v>
      </c>
      <c r="J341" s="177" t="s">
        <v>415</v>
      </c>
      <c r="K341" s="211">
        <f>5000*20%</f>
        <v>1000</v>
      </c>
      <c r="L341" s="189"/>
      <c r="M341" s="190"/>
    </row>
    <row r="342" spans="1:14" s="141" customFormat="1" x14ac:dyDescent="0.2">
      <c r="A342" s="339"/>
      <c r="B342" s="183"/>
      <c r="C342" s="184"/>
      <c r="D342" s="255"/>
      <c r="E342" s="185"/>
      <c r="F342" s="185"/>
      <c r="G342" s="185"/>
      <c r="H342" s="185"/>
      <c r="I342" s="192" t="s">
        <v>586</v>
      </c>
      <c r="J342" s="223" t="s">
        <v>415</v>
      </c>
      <c r="K342" s="217">
        <f>5000*20%</f>
        <v>1000</v>
      </c>
      <c r="L342" s="189"/>
      <c r="M342" s="190"/>
    </row>
    <row r="343" spans="1:14" s="141" customFormat="1" ht="21" customHeight="1" x14ac:dyDescent="0.2">
      <c r="A343" s="339"/>
      <c r="B343" s="194"/>
      <c r="C343" s="195"/>
      <c r="D343" s="256"/>
      <c r="E343" s="196"/>
      <c r="F343" s="196"/>
      <c r="G343" s="196"/>
      <c r="H343" s="196"/>
      <c r="I343" s="197"/>
      <c r="J343" s="226"/>
      <c r="K343" s="227">
        <f>SUM(K338:K342)</f>
        <v>5000</v>
      </c>
      <c r="L343" s="200"/>
      <c r="M343" s="201"/>
    </row>
    <row r="344" spans="1:14" s="141" customFormat="1" x14ac:dyDescent="0.2">
      <c r="A344" s="333">
        <v>90</v>
      </c>
      <c r="B344" s="173" t="s">
        <v>587</v>
      </c>
      <c r="C344" s="174"/>
      <c r="D344" s="263" t="s">
        <v>107</v>
      </c>
      <c r="E344" s="175"/>
      <c r="F344" s="175"/>
      <c r="G344" s="175"/>
      <c r="H344" s="175"/>
      <c r="I344" s="176" t="s">
        <v>574</v>
      </c>
      <c r="J344" s="202" t="s">
        <v>415</v>
      </c>
      <c r="K344" s="222">
        <f>4800*70%</f>
        <v>3360</v>
      </c>
      <c r="L344" s="179" t="s">
        <v>111</v>
      </c>
      <c r="M344" s="180" t="s">
        <v>588</v>
      </c>
    </row>
    <row r="345" spans="1:14" s="141" customFormat="1" x14ac:dyDescent="0.2">
      <c r="A345" s="334"/>
      <c r="B345" s="183"/>
      <c r="C345" s="184"/>
      <c r="D345" s="255"/>
      <c r="E345" s="185"/>
      <c r="F345" s="185"/>
      <c r="G345" s="185"/>
      <c r="H345" s="185"/>
      <c r="I345" s="186" t="s">
        <v>589</v>
      </c>
      <c r="J345" s="177" t="s">
        <v>415</v>
      </c>
      <c r="K345" s="210">
        <f>4800*30%</f>
        <v>1440</v>
      </c>
      <c r="L345" s="189"/>
      <c r="M345" s="190"/>
    </row>
    <row r="346" spans="1:14" s="141" customFormat="1" x14ac:dyDescent="0.2">
      <c r="A346" s="335"/>
      <c r="B346" s="194"/>
      <c r="C346" s="195"/>
      <c r="D346" s="256"/>
      <c r="E346" s="196"/>
      <c r="F346" s="196"/>
      <c r="G346" s="196"/>
      <c r="H346" s="196"/>
      <c r="I346" s="206"/>
      <c r="J346" s="198"/>
      <c r="K346" s="227">
        <f>SUM(K344:K345)</f>
        <v>4800</v>
      </c>
      <c r="L346" s="200"/>
      <c r="M346" s="201"/>
    </row>
    <row r="347" spans="1:14" s="141" customFormat="1" x14ac:dyDescent="0.2">
      <c r="A347" s="172">
        <v>91</v>
      </c>
      <c r="B347" s="173" t="s">
        <v>590</v>
      </c>
      <c r="C347" s="174"/>
      <c r="D347" s="175" t="s">
        <v>107</v>
      </c>
      <c r="E347" s="175"/>
      <c r="F347" s="175"/>
      <c r="G347" s="175"/>
      <c r="H347" s="175"/>
      <c r="I347" s="176" t="s">
        <v>591</v>
      </c>
      <c r="J347" s="177" t="s">
        <v>592</v>
      </c>
      <c r="K347" s="216">
        <f>10500*65%</f>
        <v>6825</v>
      </c>
      <c r="L347" s="179" t="s">
        <v>111</v>
      </c>
      <c r="M347" s="180" t="s">
        <v>593</v>
      </c>
    </row>
    <row r="348" spans="1:14" s="141" customFormat="1" x14ac:dyDescent="0.2">
      <c r="A348" s="182"/>
      <c r="B348" s="183"/>
      <c r="C348" s="184"/>
      <c r="D348" s="185"/>
      <c r="E348" s="185"/>
      <c r="F348" s="185"/>
      <c r="G348" s="185"/>
      <c r="H348" s="185"/>
      <c r="I348" s="186" t="s">
        <v>594</v>
      </c>
      <c r="J348" s="212" t="s">
        <v>592</v>
      </c>
      <c r="K348" s="217">
        <f t="shared" ref="K348:K354" si="7">10500*5%</f>
        <v>525</v>
      </c>
      <c r="L348" s="189"/>
      <c r="M348" s="190"/>
    </row>
    <row r="349" spans="1:14" s="141" customFormat="1" x14ac:dyDescent="0.2">
      <c r="A349" s="182"/>
      <c r="B349" s="183"/>
      <c r="C349" s="184"/>
      <c r="D349" s="185"/>
      <c r="E349" s="185"/>
      <c r="F349" s="185"/>
      <c r="G349" s="185"/>
      <c r="H349" s="185"/>
      <c r="I349" s="186" t="s">
        <v>595</v>
      </c>
      <c r="J349" s="223" t="s">
        <v>592</v>
      </c>
      <c r="K349" s="217">
        <f t="shared" si="7"/>
        <v>525</v>
      </c>
      <c r="L349" s="189"/>
      <c r="M349" s="190"/>
      <c r="N349" s="181"/>
    </row>
    <row r="350" spans="1:14" s="141" customFormat="1" x14ac:dyDescent="0.2">
      <c r="A350" s="182"/>
      <c r="B350" s="183"/>
      <c r="C350" s="184"/>
      <c r="D350" s="185"/>
      <c r="E350" s="185"/>
      <c r="F350" s="185"/>
      <c r="G350" s="185"/>
      <c r="H350" s="185"/>
      <c r="I350" s="186" t="s">
        <v>596</v>
      </c>
      <c r="J350" s="177" t="s">
        <v>592</v>
      </c>
      <c r="K350" s="211">
        <f t="shared" si="7"/>
        <v>525</v>
      </c>
      <c r="L350" s="189"/>
      <c r="M350" s="190"/>
    </row>
    <row r="351" spans="1:14" s="141" customFormat="1" x14ac:dyDescent="0.2">
      <c r="A351" s="182"/>
      <c r="B351" s="183"/>
      <c r="C351" s="184"/>
      <c r="D351" s="185"/>
      <c r="E351" s="185"/>
      <c r="F351" s="185"/>
      <c r="G351" s="185"/>
      <c r="H351" s="185"/>
      <c r="I351" s="192" t="s">
        <v>597</v>
      </c>
      <c r="J351" s="212" t="s">
        <v>592</v>
      </c>
      <c r="K351" s="217">
        <f t="shared" si="7"/>
        <v>525</v>
      </c>
      <c r="L351" s="189"/>
      <c r="M351" s="190"/>
    </row>
    <row r="352" spans="1:14" s="141" customFormat="1" x14ac:dyDescent="0.2">
      <c r="A352" s="182"/>
      <c r="B352" s="183"/>
      <c r="C352" s="184"/>
      <c r="D352" s="185"/>
      <c r="E352" s="185"/>
      <c r="F352" s="185"/>
      <c r="G352" s="185"/>
      <c r="H352" s="185"/>
      <c r="I352" s="176" t="s">
        <v>598</v>
      </c>
      <c r="J352" s="187" t="s">
        <v>592</v>
      </c>
      <c r="K352" s="211">
        <f t="shared" si="7"/>
        <v>525</v>
      </c>
      <c r="L352" s="189"/>
      <c r="M352" s="190"/>
    </row>
    <row r="353" spans="1:14" s="141" customFormat="1" x14ac:dyDescent="0.2">
      <c r="A353" s="182"/>
      <c r="B353" s="183"/>
      <c r="C353" s="184"/>
      <c r="D353" s="185"/>
      <c r="E353" s="185"/>
      <c r="F353" s="185"/>
      <c r="G353" s="185"/>
      <c r="H353" s="185"/>
      <c r="I353" s="192" t="s">
        <v>599</v>
      </c>
      <c r="J353" s="259" t="s">
        <v>592</v>
      </c>
      <c r="K353" s="240">
        <f t="shared" si="7"/>
        <v>525</v>
      </c>
      <c r="L353" s="189"/>
      <c r="M353" s="190"/>
    </row>
    <row r="354" spans="1:14" s="141" customFormat="1" x14ac:dyDescent="0.2">
      <c r="A354" s="182"/>
      <c r="B354" s="183"/>
      <c r="C354" s="184"/>
      <c r="D354" s="185"/>
      <c r="E354" s="185"/>
      <c r="F354" s="185"/>
      <c r="G354" s="185"/>
      <c r="H354" s="185"/>
      <c r="I354" s="192" t="s">
        <v>600</v>
      </c>
      <c r="J354" s="177" t="s">
        <v>592</v>
      </c>
      <c r="K354" s="210">
        <f t="shared" si="7"/>
        <v>525</v>
      </c>
      <c r="L354" s="189"/>
      <c r="M354" s="190"/>
    </row>
    <row r="355" spans="1:14" s="141" customFormat="1" x14ac:dyDescent="0.2">
      <c r="A355" s="193"/>
      <c r="B355" s="194"/>
      <c r="C355" s="195"/>
      <c r="D355" s="196"/>
      <c r="E355" s="196"/>
      <c r="F355" s="196"/>
      <c r="G355" s="196"/>
      <c r="H355" s="196"/>
      <c r="I355" s="197"/>
      <c r="J355" s="198"/>
      <c r="K355" s="227">
        <f>SUM(K347:K354)</f>
        <v>10500</v>
      </c>
      <c r="L355" s="200"/>
      <c r="M355" s="201"/>
    </row>
    <row r="356" spans="1:14" s="141" customFormat="1" ht="99.75" customHeight="1" x14ac:dyDescent="0.2">
      <c r="A356" s="341">
        <v>92</v>
      </c>
      <c r="B356" s="266" t="s">
        <v>601</v>
      </c>
      <c r="C356" s="267"/>
      <c r="D356" s="318" t="s">
        <v>25</v>
      </c>
      <c r="E356" s="318"/>
      <c r="F356" s="318"/>
      <c r="G356" s="318" t="s">
        <v>602</v>
      </c>
      <c r="H356" s="318"/>
      <c r="I356" s="197" t="s">
        <v>603</v>
      </c>
      <c r="J356" s="290" t="s">
        <v>592</v>
      </c>
      <c r="K356" s="205">
        <v>77320</v>
      </c>
      <c r="L356" s="342" t="s">
        <v>602</v>
      </c>
      <c r="M356" s="177" t="s">
        <v>604</v>
      </c>
    </row>
    <row r="357" spans="1:14" s="141" customFormat="1" ht="51" customHeight="1" x14ac:dyDescent="0.2">
      <c r="A357" s="316">
        <v>93</v>
      </c>
      <c r="B357" s="173" t="s">
        <v>605</v>
      </c>
      <c r="C357" s="174"/>
      <c r="D357" s="321" t="s">
        <v>107</v>
      </c>
      <c r="E357" s="321"/>
      <c r="F357" s="321"/>
      <c r="G357" s="321"/>
      <c r="H357" s="321"/>
      <c r="I357" s="289" t="s">
        <v>606</v>
      </c>
      <c r="J357" s="312" t="s">
        <v>415</v>
      </c>
      <c r="K357" s="216">
        <f>4800*100%</f>
        <v>4800</v>
      </c>
      <c r="L357" s="323" t="s">
        <v>111</v>
      </c>
      <c r="M357" s="272" t="s">
        <v>607</v>
      </c>
    </row>
    <row r="358" spans="1:14" s="141" customFormat="1" ht="51" customHeight="1" x14ac:dyDescent="0.2">
      <c r="A358" s="316">
        <v>94</v>
      </c>
      <c r="B358" s="173" t="s">
        <v>608</v>
      </c>
      <c r="C358" s="174"/>
      <c r="D358" s="321" t="s">
        <v>107</v>
      </c>
      <c r="E358" s="321"/>
      <c r="F358" s="321"/>
      <c r="G358" s="321"/>
      <c r="H358" s="321"/>
      <c r="I358" s="176" t="s">
        <v>609</v>
      </c>
      <c r="J358" s="312" t="s">
        <v>415</v>
      </c>
      <c r="K358" s="216">
        <f>4800*100%</f>
        <v>4800</v>
      </c>
      <c r="L358" s="323" t="s">
        <v>111</v>
      </c>
      <c r="M358" s="272" t="s">
        <v>610</v>
      </c>
    </row>
    <row r="359" spans="1:14" s="141" customFormat="1" x14ac:dyDescent="0.2">
      <c r="A359" s="172">
        <v>95</v>
      </c>
      <c r="B359" s="173" t="s">
        <v>611</v>
      </c>
      <c r="C359" s="174"/>
      <c r="D359" s="175" t="s">
        <v>107</v>
      </c>
      <c r="E359" s="175"/>
      <c r="F359" s="175"/>
      <c r="G359" s="175"/>
      <c r="H359" s="175"/>
      <c r="I359" s="228" t="s">
        <v>612</v>
      </c>
      <c r="J359" s="177" t="s">
        <v>190</v>
      </c>
      <c r="K359" s="216">
        <f>4800*50%</f>
        <v>2400</v>
      </c>
      <c r="L359" s="179" t="s">
        <v>111</v>
      </c>
      <c r="M359" s="180" t="s">
        <v>613</v>
      </c>
    </row>
    <row r="360" spans="1:14" s="141" customFormat="1" x14ac:dyDescent="0.2">
      <c r="A360" s="182"/>
      <c r="B360" s="183"/>
      <c r="C360" s="184"/>
      <c r="D360" s="185"/>
      <c r="E360" s="185"/>
      <c r="F360" s="185"/>
      <c r="G360" s="185"/>
      <c r="H360" s="185"/>
      <c r="I360" s="176" t="s">
        <v>614</v>
      </c>
      <c r="J360" s="223" t="s">
        <v>367</v>
      </c>
      <c r="K360" s="217">
        <f>4800*20%</f>
        <v>960</v>
      </c>
      <c r="L360" s="189"/>
      <c r="M360" s="190"/>
      <c r="N360" s="181"/>
    </row>
    <row r="361" spans="1:14" s="141" customFormat="1" x14ac:dyDescent="0.2">
      <c r="A361" s="182"/>
      <c r="B361" s="183"/>
      <c r="C361" s="184"/>
      <c r="D361" s="185"/>
      <c r="E361" s="185"/>
      <c r="F361" s="185"/>
      <c r="G361" s="185"/>
      <c r="H361" s="185"/>
      <c r="I361" s="192" t="s">
        <v>615</v>
      </c>
      <c r="J361" s="177" t="s">
        <v>190</v>
      </c>
      <c r="K361" s="211">
        <f>4800*20%</f>
        <v>960</v>
      </c>
      <c r="L361" s="189"/>
      <c r="M361" s="190"/>
    </row>
    <row r="362" spans="1:14" s="141" customFormat="1" x14ac:dyDescent="0.2">
      <c r="A362" s="182"/>
      <c r="B362" s="183"/>
      <c r="C362" s="184"/>
      <c r="D362" s="185"/>
      <c r="E362" s="185"/>
      <c r="F362" s="185"/>
      <c r="G362" s="185"/>
      <c r="H362" s="185"/>
      <c r="I362" s="176" t="s">
        <v>616</v>
      </c>
      <c r="J362" s="212" t="s">
        <v>617</v>
      </c>
      <c r="K362" s="217">
        <f>4800*10%</f>
        <v>480</v>
      </c>
      <c r="L362" s="189"/>
      <c r="M362" s="190"/>
      <c r="N362" s="181"/>
    </row>
    <row r="363" spans="1:14" s="141" customFormat="1" x14ac:dyDescent="0.2">
      <c r="A363" s="193"/>
      <c r="B363" s="194"/>
      <c r="C363" s="195"/>
      <c r="D363" s="196"/>
      <c r="E363" s="196"/>
      <c r="F363" s="196"/>
      <c r="G363" s="196"/>
      <c r="H363" s="196"/>
      <c r="I363" s="206"/>
      <c r="J363" s="214"/>
      <c r="K363" s="218">
        <f>SUM(K359:K362)</f>
        <v>4800</v>
      </c>
      <c r="L363" s="200"/>
      <c r="M363" s="201"/>
    </row>
    <row r="364" spans="1:14" s="141" customFormat="1" ht="48.75" customHeight="1" x14ac:dyDescent="0.2">
      <c r="A364" s="316">
        <v>96</v>
      </c>
      <c r="B364" s="173" t="s">
        <v>618</v>
      </c>
      <c r="C364" s="174"/>
      <c r="D364" s="321" t="s">
        <v>107</v>
      </c>
      <c r="E364" s="321"/>
      <c r="F364" s="321"/>
      <c r="G364" s="321"/>
      <c r="H364" s="321"/>
      <c r="I364" s="228" t="s">
        <v>619</v>
      </c>
      <c r="J364" s="290" t="s">
        <v>415</v>
      </c>
      <c r="K364" s="222">
        <f>4800*100%</f>
        <v>4800</v>
      </c>
      <c r="L364" s="323" t="s">
        <v>111</v>
      </c>
      <c r="M364" s="272" t="s">
        <v>620</v>
      </c>
    </row>
    <row r="365" spans="1:14" s="141" customFormat="1" x14ac:dyDescent="0.2">
      <c r="A365" s="172">
        <v>97</v>
      </c>
      <c r="B365" s="173" t="s">
        <v>621</v>
      </c>
      <c r="C365" s="174"/>
      <c r="D365" s="175" t="s">
        <v>107</v>
      </c>
      <c r="E365" s="175"/>
      <c r="F365" s="175"/>
      <c r="G365" s="175"/>
      <c r="H365" s="175"/>
      <c r="I365" s="228" t="s">
        <v>622</v>
      </c>
      <c r="J365" s="177" t="s">
        <v>415</v>
      </c>
      <c r="K365" s="216">
        <f>5000*90%</f>
        <v>4500</v>
      </c>
      <c r="L365" s="179" t="s">
        <v>111</v>
      </c>
      <c r="M365" s="180" t="s">
        <v>623</v>
      </c>
    </row>
    <row r="366" spans="1:14" s="141" customFormat="1" x14ac:dyDescent="0.2">
      <c r="A366" s="182"/>
      <c r="B366" s="183"/>
      <c r="C366" s="184"/>
      <c r="D366" s="185"/>
      <c r="E366" s="185"/>
      <c r="F366" s="185"/>
      <c r="G366" s="185"/>
      <c r="H366" s="185"/>
      <c r="I366" s="192" t="s">
        <v>624</v>
      </c>
      <c r="J366" s="223" t="s">
        <v>415</v>
      </c>
      <c r="K366" s="217">
        <f>5000*10%</f>
        <v>500</v>
      </c>
      <c r="L366" s="189"/>
      <c r="M366" s="190"/>
    </row>
    <row r="367" spans="1:14" s="141" customFormat="1" x14ac:dyDescent="0.2">
      <c r="A367" s="193"/>
      <c r="B367" s="194"/>
      <c r="C367" s="195"/>
      <c r="D367" s="196"/>
      <c r="E367" s="196"/>
      <c r="F367" s="196"/>
      <c r="G367" s="196"/>
      <c r="H367" s="196"/>
      <c r="I367" s="197"/>
      <c r="J367" s="226"/>
      <c r="K367" s="227">
        <f>SUM(K365:K366)</f>
        <v>5000</v>
      </c>
      <c r="L367" s="200"/>
      <c r="M367" s="201"/>
    </row>
    <row r="368" spans="1:14" s="141" customFormat="1" x14ac:dyDescent="0.2">
      <c r="A368" s="172">
        <v>98</v>
      </c>
      <c r="B368" s="173" t="s">
        <v>625</v>
      </c>
      <c r="C368" s="174"/>
      <c r="D368" s="175" t="s">
        <v>107</v>
      </c>
      <c r="E368" s="175"/>
      <c r="F368" s="175"/>
      <c r="G368" s="175"/>
      <c r="H368" s="175"/>
      <c r="I368" s="228" t="s">
        <v>626</v>
      </c>
      <c r="J368" s="177" t="s">
        <v>415</v>
      </c>
      <c r="K368" s="216">
        <f>4300*30%</f>
        <v>1290</v>
      </c>
      <c r="L368" s="179" t="s">
        <v>111</v>
      </c>
      <c r="M368" s="180" t="s">
        <v>627</v>
      </c>
    </row>
    <row r="369" spans="1:13" s="141" customFormat="1" x14ac:dyDescent="0.2">
      <c r="A369" s="182"/>
      <c r="B369" s="183"/>
      <c r="C369" s="184"/>
      <c r="D369" s="185"/>
      <c r="E369" s="185"/>
      <c r="F369" s="185"/>
      <c r="G369" s="185"/>
      <c r="H369" s="185"/>
      <c r="I369" s="192" t="s">
        <v>628</v>
      </c>
      <c r="J369" s="223" t="s">
        <v>415</v>
      </c>
      <c r="K369" s="217">
        <f>4300*40%</f>
        <v>1720</v>
      </c>
      <c r="L369" s="189"/>
      <c r="M369" s="190"/>
    </row>
    <row r="370" spans="1:13" s="141" customFormat="1" x14ac:dyDescent="0.2">
      <c r="A370" s="182"/>
      <c r="B370" s="183"/>
      <c r="C370" s="184"/>
      <c r="D370" s="185"/>
      <c r="E370" s="185"/>
      <c r="F370" s="185"/>
      <c r="G370" s="185"/>
      <c r="H370" s="185"/>
      <c r="I370" s="176" t="s">
        <v>629</v>
      </c>
      <c r="J370" s="315" t="s">
        <v>415</v>
      </c>
      <c r="K370" s="217">
        <f>4300*30%</f>
        <v>1290</v>
      </c>
      <c r="L370" s="189"/>
      <c r="M370" s="190"/>
    </row>
    <row r="371" spans="1:13" s="141" customFormat="1" x14ac:dyDescent="0.2">
      <c r="A371" s="193"/>
      <c r="B371" s="194"/>
      <c r="C371" s="195"/>
      <c r="D371" s="196"/>
      <c r="E371" s="196"/>
      <c r="F371" s="196"/>
      <c r="G371" s="196"/>
      <c r="H371" s="196"/>
      <c r="I371" s="206"/>
      <c r="J371" s="226"/>
      <c r="K371" s="227">
        <f>SUM(K368:K370)</f>
        <v>4300</v>
      </c>
      <c r="L371" s="200"/>
      <c r="M371" s="201"/>
    </row>
    <row r="372" spans="1:13" s="141" customFormat="1" x14ac:dyDescent="0.2">
      <c r="A372" s="172">
        <v>99</v>
      </c>
      <c r="B372" s="173" t="s">
        <v>630</v>
      </c>
      <c r="C372" s="174"/>
      <c r="D372" s="175" t="s">
        <v>107</v>
      </c>
      <c r="E372" s="175"/>
      <c r="F372" s="175"/>
      <c r="G372" s="175"/>
      <c r="H372" s="175"/>
      <c r="I372" s="176" t="s">
        <v>631</v>
      </c>
      <c r="J372" s="177" t="s">
        <v>415</v>
      </c>
      <c r="K372" s="216">
        <f>5000*40%</f>
        <v>2000</v>
      </c>
      <c r="L372" s="179" t="s">
        <v>111</v>
      </c>
      <c r="M372" s="180" t="s">
        <v>632</v>
      </c>
    </row>
    <row r="373" spans="1:13" s="141" customFormat="1" x14ac:dyDescent="0.2">
      <c r="A373" s="182"/>
      <c r="B373" s="183"/>
      <c r="C373" s="184"/>
      <c r="D373" s="185"/>
      <c r="E373" s="185"/>
      <c r="F373" s="185"/>
      <c r="G373" s="185"/>
      <c r="H373" s="185"/>
      <c r="I373" s="186" t="s">
        <v>633</v>
      </c>
      <c r="J373" s="212" t="s">
        <v>415</v>
      </c>
      <c r="K373" s="217">
        <f>5000*50%</f>
        <v>2500</v>
      </c>
      <c r="L373" s="189"/>
      <c r="M373" s="190"/>
    </row>
    <row r="374" spans="1:13" s="141" customFormat="1" x14ac:dyDescent="0.2">
      <c r="A374" s="182"/>
      <c r="B374" s="183"/>
      <c r="C374" s="184"/>
      <c r="D374" s="185"/>
      <c r="E374" s="185"/>
      <c r="F374" s="185"/>
      <c r="G374" s="185"/>
      <c r="H374" s="185"/>
      <c r="I374" s="192" t="s">
        <v>634</v>
      </c>
      <c r="J374" s="212" t="s">
        <v>415</v>
      </c>
      <c r="K374" s="213">
        <f>5000*10%</f>
        <v>500</v>
      </c>
      <c r="L374" s="189"/>
      <c r="M374" s="190"/>
    </row>
    <row r="375" spans="1:13" s="141" customFormat="1" x14ac:dyDescent="0.2">
      <c r="A375" s="193"/>
      <c r="B375" s="194"/>
      <c r="C375" s="195"/>
      <c r="D375" s="196"/>
      <c r="E375" s="196"/>
      <c r="F375" s="196"/>
      <c r="G375" s="196"/>
      <c r="H375" s="196"/>
      <c r="I375" s="197"/>
      <c r="J375" s="214"/>
      <c r="K375" s="215">
        <f>SUM(K372:K374)</f>
        <v>5000</v>
      </c>
      <c r="L375" s="200"/>
      <c r="M375" s="201"/>
    </row>
    <row r="376" spans="1:13" s="141" customFormat="1" x14ac:dyDescent="0.2">
      <c r="A376" s="316">
        <v>100</v>
      </c>
      <c r="B376" s="173" t="s">
        <v>635</v>
      </c>
      <c r="C376" s="174"/>
      <c r="D376" s="321" t="s">
        <v>107</v>
      </c>
      <c r="E376" s="321"/>
      <c r="F376" s="321"/>
      <c r="G376" s="321"/>
      <c r="H376" s="321"/>
      <c r="I376" s="289" t="s">
        <v>636</v>
      </c>
      <c r="J376" s="312" t="s">
        <v>415</v>
      </c>
      <c r="K376" s="216">
        <f>8000*100%</f>
        <v>8000</v>
      </c>
      <c r="L376" s="323" t="s">
        <v>111</v>
      </c>
      <c r="M376" s="272" t="s">
        <v>637</v>
      </c>
    </row>
    <row r="377" spans="1:13" s="141" customFormat="1" x14ac:dyDescent="0.2">
      <c r="A377" s="172">
        <v>101</v>
      </c>
      <c r="B377" s="173" t="s">
        <v>638</v>
      </c>
      <c r="C377" s="174"/>
      <c r="D377" s="175" t="s">
        <v>107</v>
      </c>
      <c r="E377" s="175"/>
      <c r="F377" s="175"/>
      <c r="G377" s="175"/>
      <c r="H377" s="175"/>
      <c r="I377" s="176" t="s">
        <v>639</v>
      </c>
      <c r="J377" s="177" t="s">
        <v>415</v>
      </c>
      <c r="K377" s="216">
        <f>8000*80%</f>
        <v>6400</v>
      </c>
      <c r="L377" s="179" t="s">
        <v>111</v>
      </c>
      <c r="M377" s="180" t="s">
        <v>640</v>
      </c>
    </row>
    <row r="378" spans="1:13" s="141" customFormat="1" x14ac:dyDescent="0.2">
      <c r="A378" s="182"/>
      <c r="B378" s="183"/>
      <c r="C378" s="184"/>
      <c r="D378" s="185"/>
      <c r="E378" s="185"/>
      <c r="F378" s="185"/>
      <c r="G378" s="185"/>
      <c r="H378" s="185"/>
      <c r="I378" s="192" t="s">
        <v>641</v>
      </c>
      <c r="J378" s="212" t="s">
        <v>415</v>
      </c>
      <c r="K378" s="217">
        <f>8000*5%</f>
        <v>400</v>
      </c>
      <c r="L378" s="189"/>
      <c r="M378" s="190"/>
    </row>
    <row r="379" spans="1:13" s="141" customFormat="1" x14ac:dyDescent="0.2">
      <c r="A379" s="182"/>
      <c r="B379" s="183"/>
      <c r="C379" s="184"/>
      <c r="D379" s="185"/>
      <c r="E379" s="185"/>
      <c r="F379" s="185"/>
      <c r="G379" s="185"/>
      <c r="H379" s="185"/>
      <c r="I379" s="186" t="s">
        <v>642</v>
      </c>
      <c r="J379" s="212" t="s">
        <v>415</v>
      </c>
      <c r="K379" s="213">
        <f>8000*5%</f>
        <v>400</v>
      </c>
      <c r="L379" s="189"/>
      <c r="M379" s="190"/>
    </row>
    <row r="380" spans="1:13" s="141" customFormat="1" x14ac:dyDescent="0.2">
      <c r="A380" s="182"/>
      <c r="B380" s="183"/>
      <c r="C380" s="184"/>
      <c r="D380" s="185"/>
      <c r="E380" s="185"/>
      <c r="F380" s="185"/>
      <c r="G380" s="185"/>
      <c r="H380" s="185"/>
      <c r="I380" s="186" t="s">
        <v>643</v>
      </c>
      <c r="J380" s="223" t="s">
        <v>415</v>
      </c>
      <c r="K380" s="210">
        <f>8000*5%</f>
        <v>400</v>
      </c>
      <c r="L380" s="189"/>
      <c r="M380" s="190"/>
    </row>
    <row r="381" spans="1:13" s="141" customFormat="1" x14ac:dyDescent="0.2">
      <c r="A381" s="182"/>
      <c r="B381" s="183"/>
      <c r="C381" s="184"/>
      <c r="D381" s="185"/>
      <c r="E381" s="185"/>
      <c r="F381" s="185"/>
      <c r="G381" s="185"/>
      <c r="H381" s="185"/>
      <c r="I381" s="192" t="s">
        <v>644</v>
      </c>
      <c r="J381" s="177" t="s">
        <v>415</v>
      </c>
      <c r="K381" s="211">
        <f>8000*5%</f>
        <v>400</v>
      </c>
      <c r="L381" s="189"/>
      <c r="M381" s="190"/>
    </row>
    <row r="382" spans="1:13" s="141" customFormat="1" x14ac:dyDescent="0.2">
      <c r="A382" s="193"/>
      <c r="B382" s="194"/>
      <c r="C382" s="195"/>
      <c r="D382" s="196"/>
      <c r="E382" s="196"/>
      <c r="F382" s="196"/>
      <c r="G382" s="196"/>
      <c r="H382" s="196"/>
      <c r="I382" s="206"/>
      <c r="J382" s="214"/>
      <c r="K382" s="218">
        <f>SUM(K377:K381)</f>
        <v>8000</v>
      </c>
      <c r="L382" s="200"/>
      <c r="M382" s="201"/>
    </row>
    <row r="383" spans="1:13" s="141" customFormat="1" ht="68.25" customHeight="1" x14ac:dyDescent="0.2">
      <c r="A383" s="316">
        <v>102</v>
      </c>
      <c r="B383" s="173" t="s">
        <v>645</v>
      </c>
      <c r="C383" s="174"/>
      <c r="D383" s="321" t="s">
        <v>163</v>
      </c>
      <c r="E383" s="321"/>
      <c r="F383" s="321"/>
      <c r="G383" s="321"/>
      <c r="H383" s="343"/>
      <c r="I383" s="289" t="s">
        <v>646</v>
      </c>
      <c r="J383" s="312" t="s">
        <v>415</v>
      </c>
      <c r="K383" s="209">
        <f>100000*100%</f>
        <v>100000</v>
      </c>
      <c r="L383" s="323" t="s">
        <v>166</v>
      </c>
      <c r="M383" s="272" t="s">
        <v>647</v>
      </c>
    </row>
    <row r="384" spans="1:13" s="141" customFormat="1" ht="51" customHeight="1" x14ac:dyDescent="0.2">
      <c r="A384" s="316">
        <v>103</v>
      </c>
      <c r="B384" s="173" t="s">
        <v>648</v>
      </c>
      <c r="C384" s="174"/>
      <c r="D384" s="321" t="s">
        <v>163</v>
      </c>
      <c r="E384" s="321"/>
      <c r="F384" s="321"/>
      <c r="G384" s="321"/>
      <c r="H384" s="321"/>
      <c r="I384" s="289" t="s">
        <v>649</v>
      </c>
      <c r="J384" s="177" t="s">
        <v>415</v>
      </c>
      <c r="K384" s="216">
        <f>200000*100%</f>
        <v>200000</v>
      </c>
      <c r="L384" s="323" t="s">
        <v>166</v>
      </c>
      <c r="M384" s="272" t="s">
        <v>650</v>
      </c>
    </row>
    <row r="385" spans="1:14" s="141" customFormat="1" x14ac:dyDescent="0.2">
      <c r="A385" s="172">
        <v>104</v>
      </c>
      <c r="B385" s="173" t="s">
        <v>651</v>
      </c>
      <c r="C385" s="174"/>
      <c r="D385" s="175" t="s">
        <v>163</v>
      </c>
      <c r="E385" s="175"/>
      <c r="F385" s="175"/>
      <c r="G385" s="175"/>
      <c r="H385" s="175"/>
      <c r="I385" s="176" t="s">
        <v>652</v>
      </c>
      <c r="J385" s="208" t="s">
        <v>415</v>
      </c>
      <c r="K385" s="216">
        <f>88132*55%</f>
        <v>48472.600000000006</v>
      </c>
      <c r="L385" s="179" t="s">
        <v>166</v>
      </c>
      <c r="M385" s="180" t="s">
        <v>653</v>
      </c>
    </row>
    <row r="386" spans="1:14" s="141" customFormat="1" x14ac:dyDescent="0.2">
      <c r="A386" s="182"/>
      <c r="B386" s="183"/>
      <c r="C386" s="184"/>
      <c r="D386" s="185"/>
      <c r="E386" s="185"/>
      <c r="F386" s="185"/>
      <c r="G386" s="185"/>
      <c r="H386" s="185"/>
      <c r="I386" s="192" t="s">
        <v>654</v>
      </c>
      <c r="J386" s="177" t="s">
        <v>415</v>
      </c>
      <c r="K386" s="240">
        <f>88132*15%</f>
        <v>13219.8</v>
      </c>
      <c r="L386" s="189"/>
      <c r="M386" s="190"/>
    </row>
    <row r="387" spans="1:14" s="141" customFormat="1" x14ac:dyDescent="0.2">
      <c r="A387" s="182"/>
      <c r="B387" s="183"/>
      <c r="C387" s="184"/>
      <c r="D387" s="185"/>
      <c r="E387" s="185"/>
      <c r="F387" s="185"/>
      <c r="G387" s="185"/>
      <c r="H387" s="185"/>
      <c r="I387" s="186" t="s">
        <v>655</v>
      </c>
      <c r="J387" s="223" t="s">
        <v>367</v>
      </c>
      <c r="K387" s="210">
        <f>88132*15%</f>
        <v>13219.8</v>
      </c>
      <c r="L387" s="189"/>
      <c r="M387" s="190"/>
    </row>
    <row r="388" spans="1:14" s="141" customFormat="1" x14ac:dyDescent="0.2">
      <c r="A388" s="182"/>
      <c r="B388" s="183"/>
      <c r="C388" s="184"/>
      <c r="D388" s="185"/>
      <c r="E388" s="185"/>
      <c r="F388" s="185"/>
      <c r="G388" s="185"/>
      <c r="H388" s="185"/>
      <c r="I388" s="192" t="s">
        <v>656</v>
      </c>
      <c r="J388" s="177" t="s">
        <v>657</v>
      </c>
      <c r="K388" s="211">
        <f>88132*15%</f>
        <v>13219.8</v>
      </c>
      <c r="L388" s="189"/>
      <c r="M388" s="190"/>
      <c r="N388" s="181"/>
    </row>
    <row r="389" spans="1:14" s="141" customFormat="1" x14ac:dyDescent="0.2">
      <c r="A389" s="193"/>
      <c r="B389" s="194"/>
      <c r="C389" s="195"/>
      <c r="D389" s="196"/>
      <c r="E389" s="196"/>
      <c r="F389" s="196"/>
      <c r="G389" s="196"/>
      <c r="H389" s="196"/>
      <c r="I389" s="206"/>
      <c r="J389" s="214"/>
      <c r="K389" s="218">
        <f>SUM(K385:K388)</f>
        <v>88132.000000000015</v>
      </c>
      <c r="L389" s="200"/>
      <c r="M389" s="201"/>
    </row>
    <row r="390" spans="1:14" s="141" customFormat="1" ht="75.75" customHeight="1" x14ac:dyDescent="0.2">
      <c r="A390" s="316">
        <v>105</v>
      </c>
      <c r="B390" s="173" t="s">
        <v>658</v>
      </c>
      <c r="C390" s="174"/>
      <c r="D390" s="321" t="s">
        <v>163</v>
      </c>
      <c r="E390" s="321"/>
      <c r="F390" s="321"/>
      <c r="G390" s="321"/>
      <c r="H390" s="321"/>
      <c r="I390" s="289" t="s">
        <v>659</v>
      </c>
      <c r="J390" s="312" t="s">
        <v>415</v>
      </c>
      <c r="K390" s="216">
        <f>278721*100%</f>
        <v>278721</v>
      </c>
      <c r="L390" s="323" t="s">
        <v>166</v>
      </c>
      <c r="M390" s="272" t="s">
        <v>660</v>
      </c>
    </row>
    <row r="391" spans="1:14" s="141" customFormat="1" x14ac:dyDescent="0.2">
      <c r="A391" s="172">
        <v>106</v>
      </c>
      <c r="B391" s="173" t="s">
        <v>661</v>
      </c>
      <c r="C391" s="174"/>
      <c r="D391" s="175" t="s">
        <v>163</v>
      </c>
      <c r="E391" s="175"/>
      <c r="F391" s="175"/>
      <c r="G391" s="175"/>
      <c r="H391" s="175"/>
      <c r="I391" s="176" t="s">
        <v>662</v>
      </c>
      <c r="J391" s="177" t="s">
        <v>415</v>
      </c>
      <c r="K391" s="216">
        <f>255975*85%</f>
        <v>217578.75</v>
      </c>
      <c r="L391" s="179" t="s">
        <v>166</v>
      </c>
      <c r="M391" s="180" t="s">
        <v>663</v>
      </c>
    </row>
    <row r="392" spans="1:14" s="141" customFormat="1" x14ac:dyDescent="0.2">
      <c r="A392" s="182"/>
      <c r="B392" s="183"/>
      <c r="C392" s="184"/>
      <c r="D392" s="185"/>
      <c r="E392" s="185"/>
      <c r="F392" s="185"/>
      <c r="G392" s="185"/>
      <c r="H392" s="185"/>
      <c r="I392" s="186" t="s">
        <v>664</v>
      </c>
      <c r="J392" s="223" t="s">
        <v>415</v>
      </c>
      <c r="K392" s="217">
        <f>255975*5%</f>
        <v>12798.75</v>
      </c>
      <c r="L392" s="189"/>
      <c r="M392" s="190"/>
    </row>
    <row r="393" spans="1:14" s="141" customFormat="1" x14ac:dyDescent="0.2">
      <c r="A393" s="182"/>
      <c r="B393" s="183"/>
      <c r="C393" s="184"/>
      <c r="D393" s="185"/>
      <c r="E393" s="185"/>
      <c r="F393" s="185"/>
      <c r="G393" s="185"/>
      <c r="H393" s="185"/>
      <c r="I393" s="186" t="s">
        <v>665</v>
      </c>
      <c r="J393" s="223" t="s">
        <v>415</v>
      </c>
      <c r="K393" s="217">
        <f>255975*5%</f>
        <v>12798.75</v>
      </c>
      <c r="L393" s="189"/>
      <c r="M393" s="190"/>
    </row>
    <row r="394" spans="1:14" s="141" customFormat="1" x14ac:dyDescent="0.2">
      <c r="A394" s="182"/>
      <c r="B394" s="183"/>
      <c r="C394" s="184"/>
      <c r="D394" s="185"/>
      <c r="E394" s="185"/>
      <c r="F394" s="185"/>
      <c r="G394" s="185"/>
      <c r="H394" s="185"/>
      <c r="I394" s="192" t="s">
        <v>666</v>
      </c>
      <c r="J394" s="177" t="s">
        <v>367</v>
      </c>
      <c r="K394" s="240">
        <f>255975*5%</f>
        <v>12798.75</v>
      </c>
      <c r="L394" s="189"/>
      <c r="M394" s="190"/>
    </row>
    <row r="395" spans="1:14" s="141" customFormat="1" x14ac:dyDescent="0.2">
      <c r="A395" s="193"/>
      <c r="B395" s="194"/>
      <c r="C395" s="195"/>
      <c r="D395" s="196"/>
      <c r="E395" s="196"/>
      <c r="F395" s="196"/>
      <c r="G395" s="196"/>
      <c r="H395" s="196"/>
      <c r="I395" s="197"/>
      <c r="J395" s="214"/>
      <c r="K395" s="215">
        <f>SUM(K391:K394)</f>
        <v>255975</v>
      </c>
      <c r="L395" s="200"/>
      <c r="M395" s="201"/>
    </row>
    <row r="396" spans="1:14" s="141" customFormat="1" x14ac:dyDescent="0.2">
      <c r="A396" s="172">
        <v>107</v>
      </c>
      <c r="B396" s="299" t="s">
        <v>667</v>
      </c>
      <c r="C396" s="300"/>
      <c r="D396" s="175" t="s">
        <v>107</v>
      </c>
      <c r="E396" s="175"/>
      <c r="F396" s="175"/>
      <c r="G396" s="175"/>
      <c r="H396" s="175" t="s">
        <v>164</v>
      </c>
      <c r="I396" s="228" t="s">
        <v>668</v>
      </c>
      <c r="J396" s="275" t="s">
        <v>415</v>
      </c>
      <c r="K396" s="276">
        <f>25000*90%</f>
        <v>22500</v>
      </c>
      <c r="L396" s="180" t="s">
        <v>111</v>
      </c>
      <c r="M396" s="180" t="s">
        <v>669</v>
      </c>
    </row>
    <row r="397" spans="1:14" s="141" customFormat="1" x14ac:dyDescent="0.2">
      <c r="A397" s="182"/>
      <c r="B397" s="294"/>
      <c r="C397" s="295"/>
      <c r="D397" s="185"/>
      <c r="E397" s="185"/>
      <c r="F397" s="185"/>
      <c r="G397" s="185"/>
      <c r="H397" s="185"/>
      <c r="I397" s="192" t="s">
        <v>670</v>
      </c>
      <c r="J397" s="279" t="s">
        <v>117</v>
      </c>
      <c r="K397" s="225">
        <f>25000*10%</f>
        <v>2500</v>
      </c>
      <c r="L397" s="190"/>
      <c r="M397" s="190"/>
    </row>
    <row r="398" spans="1:14" s="141" customFormat="1" x14ac:dyDescent="0.2">
      <c r="A398" s="193"/>
      <c r="B398" s="327"/>
      <c r="C398" s="328"/>
      <c r="D398" s="196"/>
      <c r="E398" s="196"/>
      <c r="F398" s="196"/>
      <c r="G398" s="196"/>
      <c r="H398" s="196"/>
      <c r="I398" s="206"/>
      <c r="J398" s="282"/>
      <c r="K398" s="257">
        <f>SUM(K396:K397)</f>
        <v>25000</v>
      </c>
      <c r="L398" s="201"/>
      <c r="M398" s="201"/>
    </row>
    <row r="399" spans="1:14" s="141" customFormat="1" x14ac:dyDescent="0.2">
      <c r="A399" s="172">
        <v>108</v>
      </c>
      <c r="B399" s="299" t="s">
        <v>671</v>
      </c>
      <c r="C399" s="300"/>
      <c r="D399" s="175" t="s">
        <v>25</v>
      </c>
      <c r="E399" s="175"/>
      <c r="F399" s="175"/>
      <c r="G399" s="175" t="s">
        <v>672</v>
      </c>
      <c r="H399" s="175"/>
      <c r="I399" s="228" t="s">
        <v>673</v>
      </c>
      <c r="J399" s="344" t="s">
        <v>415</v>
      </c>
      <c r="K399" s="276">
        <f>450000*50%</f>
        <v>225000</v>
      </c>
      <c r="L399" s="180" t="s">
        <v>672</v>
      </c>
      <c r="M399" s="180" t="s">
        <v>674</v>
      </c>
      <c r="N399" s="181"/>
    </row>
    <row r="400" spans="1:14" s="141" customFormat="1" x14ac:dyDescent="0.2">
      <c r="A400" s="182"/>
      <c r="B400" s="294"/>
      <c r="C400" s="295"/>
      <c r="D400" s="185"/>
      <c r="E400" s="185"/>
      <c r="F400" s="185"/>
      <c r="G400" s="185"/>
      <c r="H400" s="185"/>
      <c r="I400" s="176" t="s">
        <v>675</v>
      </c>
      <c r="J400" s="187" t="s">
        <v>415</v>
      </c>
      <c r="K400" s="225">
        <f>450000*20%</f>
        <v>90000</v>
      </c>
      <c r="L400" s="190"/>
      <c r="M400" s="190"/>
    </row>
    <row r="401" spans="1:14" s="141" customFormat="1" x14ac:dyDescent="0.2">
      <c r="A401" s="182"/>
      <c r="B401" s="294"/>
      <c r="C401" s="295"/>
      <c r="D401" s="185"/>
      <c r="E401" s="185"/>
      <c r="F401" s="185"/>
      <c r="G401" s="185"/>
      <c r="H401" s="185"/>
      <c r="I401" s="186" t="s">
        <v>676</v>
      </c>
      <c r="J401" s="177" t="s">
        <v>117</v>
      </c>
      <c r="K401" s="225">
        <f>450000*20%</f>
        <v>90000</v>
      </c>
      <c r="L401" s="190"/>
      <c r="M401" s="190"/>
    </row>
    <row r="402" spans="1:14" s="141" customFormat="1" x14ac:dyDescent="0.2">
      <c r="A402" s="182"/>
      <c r="B402" s="294"/>
      <c r="C402" s="295"/>
      <c r="D402" s="185"/>
      <c r="E402" s="185"/>
      <c r="F402" s="185"/>
      <c r="G402" s="185"/>
      <c r="H402" s="185"/>
      <c r="I402" s="186" t="s">
        <v>677</v>
      </c>
      <c r="J402" s="187" t="s">
        <v>367</v>
      </c>
      <c r="K402" s="225">
        <f>450000*10%</f>
        <v>45000</v>
      </c>
      <c r="L402" s="190"/>
      <c r="M402" s="190"/>
      <c r="N402" s="181"/>
    </row>
    <row r="403" spans="1:14" s="141" customFormat="1" x14ac:dyDescent="0.2">
      <c r="A403" s="193"/>
      <c r="B403" s="296"/>
      <c r="C403" s="297"/>
      <c r="D403" s="196"/>
      <c r="E403" s="196"/>
      <c r="F403" s="196"/>
      <c r="G403" s="196"/>
      <c r="H403" s="196"/>
      <c r="I403" s="186"/>
      <c r="J403" s="226"/>
      <c r="K403" s="345">
        <f>SUM(K399:K402)</f>
        <v>450000</v>
      </c>
      <c r="L403" s="201"/>
      <c r="M403" s="201"/>
    </row>
    <row r="404" spans="1:14" s="141" customFormat="1" x14ac:dyDescent="0.2">
      <c r="A404" s="172">
        <v>109</v>
      </c>
      <c r="B404" s="299" t="s">
        <v>678</v>
      </c>
      <c r="C404" s="300"/>
      <c r="D404" s="175" t="s">
        <v>107</v>
      </c>
      <c r="E404" s="175"/>
      <c r="F404" s="175"/>
      <c r="G404" s="175"/>
      <c r="H404" s="258"/>
      <c r="I404" s="228" t="s">
        <v>679</v>
      </c>
      <c r="J404" s="275" t="s">
        <v>415</v>
      </c>
      <c r="K404" s="346">
        <f>8000*80%</f>
        <v>6400</v>
      </c>
      <c r="L404" s="180" t="s">
        <v>111</v>
      </c>
      <c r="M404" s="180" t="s">
        <v>680</v>
      </c>
    </row>
    <row r="405" spans="1:14" s="141" customFormat="1" x14ac:dyDescent="0.2">
      <c r="A405" s="182"/>
      <c r="B405" s="294"/>
      <c r="C405" s="295"/>
      <c r="D405" s="185"/>
      <c r="E405" s="185"/>
      <c r="F405" s="185"/>
      <c r="G405" s="185"/>
      <c r="H405" s="260"/>
      <c r="I405" s="192" t="s">
        <v>681</v>
      </c>
      <c r="J405" s="279" t="s">
        <v>415</v>
      </c>
      <c r="K405" s="302">
        <f>8000*5%</f>
        <v>400</v>
      </c>
      <c r="L405" s="190"/>
      <c r="M405" s="190"/>
    </row>
    <row r="406" spans="1:14" s="141" customFormat="1" x14ac:dyDescent="0.2">
      <c r="A406" s="182"/>
      <c r="B406" s="294"/>
      <c r="C406" s="295"/>
      <c r="D406" s="185"/>
      <c r="E406" s="185"/>
      <c r="F406" s="185"/>
      <c r="G406" s="185"/>
      <c r="H406" s="260"/>
      <c r="I406" s="192" t="s">
        <v>682</v>
      </c>
      <c r="J406" s="279" t="s">
        <v>415</v>
      </c>
      <c r="K406" s="302">
        <f t="shared" ref="K406:K408" si="8">8000*5%</f>
        <v>400</v>
      </c>
      <c r="L406" s="190"/>
      <c r="M406" s="190"/>
    </row>
    <row r="407" spans="1:14" s="141" customFormat="1" x14ac:dyDescent="0.2">
      <c r="A407" s="182"/>
      <c r="B407" s="294"/>
      <c r="C407" s="295"/>
      <c r="D407" s="185"/>
      <c r="E407" s="185"/>
      <c r="F407" s="185"/>
      <c r="G407" s="185"/>
      <c r="H407" s="260"/>
      <c r="I407" s="192" t="s">
        <v>683</v>
      </c>
      <c r="J407" s="279" t="s">
        <v>415</v>
      </c>
      <c r="K407" s="302">
        <f t="shared" si="8"/>
        <v>400</v>
      </c>
      <c r="L407" s="190"/>
      <c r="M407" s="190"/>
    </row>
    <row r="408" spans="1:14" s="141" customFormat="1" x14ac:dyDescent="0.2">
      <c r="A408" s="182"/>
      <c r="B408" s="294"/>
      <c r="C408" s="295"/>
      <c r="D408" s="185"/>
      <c r="E408" s="185"/>
      <c r="F408" s="185"/>
      <c r="G408" s="185"/>
      <c r="H408" s="260"/>
      <c r="I408" s="192" t="s">
        <v>684</v>
      </c>
      <c r="J408" s="279" t="s">
        <v>415</v>
      </c>
      <c r="K408" s="302">
        <f t="shared" si="8"/>
        <v>400</v>
      </c>
      <c r="L408" s="190"/>
      <c r="M408" s="190"/>
    </row>
    <row r="409" spans="1:14" s="141" customFormat="1" x14ac:dyDescent="0.2">
      <c r="A409" s="193"/>
      <c r="B409" s="327"/>
      <c r="C409" s="328"/>
      <c r="D409" s="196"/>
      <c r="E409" s="196"/>
      <c r="F409" s="196"/>
      <c r="G409" s="196"/>
      <c r="H409" s="262"/>
      <c r="I409" s="206"/>
      <c r="J409" s="282"/>
      <c r="K409" s="311">
        <f>SUM(K404:K408)</f>
        <v>8000</v>
      </c>
      <c r="L409" s="201"/>
      <c r="M409" s="201"/>
    </row>
    <row r="410" spans="1:14" s="141" customFormat="1" x14ac:dyDescent="0.2">
      <c r="A410" s="242">
        <v>110</v>
      </c>
      <c r="B410" s="266" t="s">
        <v>685</v>
      </c>
      <c r="C410" s="267"/>
      <c r="D410" s="347" t="s">
        <v>107</v>
      </c>
      <c r="E410" s="347"/>
      <c r="F410" s="347"/>
      <c r="G410" s="347"/>
      <c r="H410" s="347"/>
      <c r="I410" s="289" t="s">
        <v>686</v>
      </c>
      <c r="J410" s="290" t="s">
        <v>190</v>
      </c>
      <c r="K410" s="348" t="s">
        <v>687</v>
      </c>
      <c r="L410" s="290" t="s">
        <v>111</v>
      </c>
      <c r="M410" s="290" t="s">
        <v>688</v>
      </c>
    </row>
    <row r="411" spans="1:14" s="141" customFormat="1" x14ac:dyDescent="0.2">
      <c r="A411" s="172">
        <v>111</v>
      </c>
      <c r="B411" s="173" t="s">
        <v>689</v>
      </c>
      <c r="C411" s="174"/>
      <c r="D411" s="175" t="s">
        <v>25</v>
      </c>
      <c r="E411" s="175"/>
      <c r="F411" s="175"/>
      <c r="G411" s="175" t="s">
        <v>690</v>
      </c>
      <c r="H411" s="175"/>
      <c r="I411" s="228" t="s">
        <v>691</v>
      </c>
      <c r="J411" s="202" t="s">
        <v>190</v>
      </c>
      <c r="K411" s="349">
        <f>300000*20%</f>
        <v>60000</v>
      </c>
      <c r="L411" s="180" t="s">
        <v>690</v>
      </c>
      <c r="M411" s="180" t="s">
        <v>692</v>
      </c>
    </row>
    <row r="412" spans="1:14" s="141" customFormat="1" x14ac:dyDescent="0.2">
      <c r="A412" s="182"/>
      <c r="B412" s="183"/>
      <c r="C412" s="184"/>
      <c r="D412" s="185"/>
      <c r="E412" s="185"/>
      <c r="F412" s="185"/>
      <c r="G412" s="185"/>
      <c r="H412" s="185"/>
      <c r="I412" s="192" t="s">
        <v>693</v>
      </c>
      <c r="J412" s="187" t="s">
        <v>190</v>
      </c>
      <c r="K412" s="350">
        <f>300000*10%</f>
        <v>30000</v>
      </c>
      <c r="L412" s="190"/>
      <c r="M412" s="190"/>
    </row>
    <row r="413" spans="1:14" s="141" customFormat="1" x14ac:dyDescent="0.2">
      <c r="A413" s="182"/>
      <c r="B413" s="183"/>
      <c r="C413" s="184"/>
      <c r="D413" s="185"/>
      <c r="E413" s="185"/>
      <c r="F413" s="185"/>
      <c r="G413" s="185"/>
      <c r="H413" s="185"/>
      <c r="I413" s="176" t="s">
        <v>694</v>
      </c>
      <c r="J413" s="187" t="s">
        <v>695</v>
      </c>
      <c r="K413" s="350">
        <f t="shared" ref="K413:K419" si="9">300000*10%</f>
        <v>30000</v>
      </c>
      <c r="L413" s="190"/>
      <c r="M413" s="190"/>
    </row>
    <row r="414" spans="1:14" s="141" customFormat="1" x14ac:dyDescent="0.2">
      <c r="A414" s="182"/>
      <c r="B414" s="183"/>
      <c r="C414" s="184"/>
      <c r="D414" s="185"/>
      <c r="E414" s="185"/>
      <c r="F414" s="185"/>
      <c r="G414" s="185"/>
      <c r="H414" s="185"/>
      <c r="I414" s="186" t="s">
        <v>696</v>
      </c>
      <c r="J414" s="187" t="s">
        <v>367</v>
      </c>
      <c r="K414" s="350">
        <f t="shared" si="9"/>
        <v>30000</v>
      </c>
      <c r="L414" s="190"/>
      <c r="M414" s="190"/>
    </row>
    <row r="415" spans="1:14" s="141" customFormat="1" x14ac:dyDescent="0.2">
      <c r="A415" s="182"/>
      <c r="B415" s="183"/>
      <c r="C415" s="184"/>
      <c r="D415" s="185"/>
      <c r="E415" s="185"/>
      <c r="F415" s="185"/>
      <c r="G415" s="185"/>
      <c r="H415" s="185"/>
      <c r="I415" s="186" t="s">
        <v>697</v>
      </c>
      <c r="J415" s="177" t="s">
        <v>373</v>
      </c>
      <c r="K415" s="350">
        <f t="shared" si="9"/>
        <v>30000</v>
      </c>
      <c r="L415" s="190"/>
      <c r="M415" s="190"/>
    </row>
    <row r="416" spans="1:14" s="141" customFormat="1" x14ac:dyDescent="0.2">
      <c r="A416" s="182"/>
      <c r="B416" s="183"/>
      <c r="C416" s="184"/>
      <c r="D416" s="185"/>
      <c r="E416" s="185"/>
      <c r="F416" s="185"/>
      <c r="G416" s="185"/>
      <c r="H416" s="185"/>
      <c r="I416" s="186" t="s">
        <v>698</v>
      </c>
      <c r="J416" s="187" t="s">
        <v>190</v>
      </c>
      <c r="K416" s="350">
        <f t="shared" si="9"/>
        <v>30000</v>
      </c>
      <c r="L416" s="190"/>
      <c r="M416" s="190"/>
    </row>
    <row r="417" spans="1:14" s="141" customFormat="1" x14ac:dyDescent="0.2">
      <c r="A417" s="182"/>
      <c r="B417" s="183"/>
      <c r="C417" s="184"/>
      <c r="D417" s="185"/>
      <c r="E417" s="185"/>
      <c r="F417" s="185"/>
      <c r="G417" s="185"/>
      <c r="H417" s="185"/>
      <c r="I417" s="186" t="s">
        <v>699</v>
      </c>
      <c r="J417" s="187" t="s">
        <v>190</v>
      </c>
      <c r="K417" s="350">
        <f t="shared" si="9"/>
        <v>30000</v>
      </c>
      <c r="L417" s="190"/>
      <c r="M417" s="190"/>
    </row>
    <row r="418" spans="1:14" s="141" customFormat="1" x14ac:dyDescent="0.2">
      <c r="A418" s="182"/>
      <c r="B418" s="183"/>
      <c r="C418" s="184"/>
      <c r="D418" s="185"/>
      <c r="E418" s="185"/>
      <c r="F418" s="185"/>
      <c r="G418" s="185"/>
      <c r="H418" s="185"/>
      <c r="I418" s="186" t="s">
        <v>700</v>
      </c>
      <c r="J418" s="177" t="s">
        <v>190</v>
      </c>
      <c r="K418" s="350">
        <f t="shared" si="9"/>
        <v>30000</v>
      </c>
      <c r="L418" s="190"/>
      <c r="M418" s="190"/>
    </row>
    <row r="419" spans="1:14" s="141" customFormat="1" x14ac:dyDescent="0.2">
      <c r="A419" s="182"/>
      <c r="B419" s="183"/>
      <c r="C419" s="184"/>
      <c r="D419" s="185"/>
      <c r="E419" s="185"/>
      <c r="F419" s="185"/>
      <c r="G419" s="185"/>
      <c r="H419" s="185"/>
      <c r="I419" s="186" t="s">
        <v>701</v>
      </c>
      <c r="J419" s="187" t="s">
        <v>303</v>
      </c>
      <c r="K419" s="351">
        <f t="shared" si="9"/>
        <v>30000</v>
      </c>
      <c r="L419" s="190"/>
      <c r="M419" s="190"/>
    </row>
    <row r="420" spans="1:14" s="141" customFormat="1" x14ac:dyDescent="0.2">
      <c r="A420" s="193"/>
      <c r="B420" s="194"/>
      <c r="C420" s="195"/>
      <c r="D420" s="196"/>
      <c r="E420" s="196"/>
      <c r="F420" s="196"/>
      <c r="G420" s="196"/>
      <c r="H420" s="196"/>
      <c r="I420" s="206"/>
      <c r="J420" s="226"/>
      <c r="K420" s="352">
        <f>SUM(K411:K419)</f>
        <v>300000</v>
      </c>
      <c r="L420" s="201"/>
      <c r="M420" s="201"/>
    </row>
    <row r="421" spans="1:14" s="141" customFormat="1" x14ac:dyDescent="0.2">
      <c r="A421" s="172">
        <v>112</v>
      </c>
      <c r="B421" s="173" t="s">
        <v>702</v>
      </c>
      <c r="C421" s="174"/>
      <c r="D421" s="175" t="s">
        <v>107</v>
      </c>
      <c r="E421" s="175"/>
      <c r="F421" s="175"/>
      <c r="G421" s="175"/>
      <c r="H421" s="175"/>
      <c r="I421" s="228" t="s">
        <v>703</v>
      </c>
      <c r="J421" s="208" t="s">
        <v>274</v>
      </c>
      <c r="K421" s="209">
        <f>6300*75%</f>
        <v>4725</v>
      </c>
      <c r="L421" s="179" t="s">
        <v>111</v>
      </c>
      <c r="M421" s="180" t="s">
        <v>704</v>
      </c>
      <c r="N421" s="181"/>
    </row>
    <row r="422" spans="1:14" s="141" customFormat="1" x14ac:dyDescent="0.2">
      <c r="A422" s="182"/>
      <c r="B422" s="183"/>
      <c r="C422" s="184"/>
      <c r="D422" s="185"/>
      <c r="E422" s="185"/>
      <c r="F422" s="185"/>
      <c r="G422" s="185"/>
      <c r="H422" s="185"/>
      <c r="I422" s="186" t="s">
        <v>705</v>
      </c>
      <c r="J422" s="315" t="s">
        <v>274</v>
      </c>
      <c r="K422" s="210">
        <f>6300*5%</f>
        <v>315</v>
      </c>
      <c r="L422" s="189"/>
      <c r="M422" s="190"/>
      <c r="N422" s="181"/>
    </row>
    <row r="423" spans="1:14" s="141" customFormat="1" x14ac:dyDescent="0.2">
      <c r="A423" s="182"/>
      <c r="B423" s="183"/>
      <c r="C423" s="184"/>
      <c r="D423" s="185"/>
      <c r="E423" s="185"/>
      <c r="F423" s="185"/>
      <c r="G423" s="185"/>
      <c r="H423" s="185"/>
      <c r="I423" s="192" t="s">
        <v>706</v>
      </c>
      <c r="J423" s="315" t="s">
        <v>274</v>
      </c>
      <c r="K423" s="213">
        <f>6300*5%</f>
        <v>315</v>
      </c>
      <c r="L423" s="189"/>
      <c r="M423" s="190"/>
    </row>
    <row r="424" spans="1:14" s="141" customFormat="1" x14ac:dyDescent="0.2">
      <c r="A424" s="182"/>
      <c r="B424" s="183"/>
      <c r="C424" s="184"/>
      <c r="D424" s="185"/>
      <c r="E424" s="185"/>
      <c r="F424" s="185"/>
      <c r="G424" s="185"/>
      <c r="H424" s="185"/>
      <c r="I424" s="176" t="s">
        <v>707</v>
      </c>
      <c r="J424" s="177" t="s">
        <v>274</v>
      </c>
      <c r="K424" s="240">
        <f>6300*5%</f>
        <v>315</v>
      </c>
      <c r="L424" s="189"/>
      <c r="M424" s="190"/>
    </row>
    <row r="425" spans="1:14" s="141" customFormat="1" x14ac:dyDescent="0.2">
      <c r="A425" s="182"/>
      <c r="B425" s="183"/>
      <c r="C425" s="184"/>
      <c r="D425" s="185"/>
      <c r="E425" s="185"/>
      <c r="F425" s="185"/>
      <c r="G425" s="185"/>
      <c r="H425" s="185"/>
      <c r="I425" s="186" t="s">
        <v>708</v>
      </c>
      <c r="J425" s="223" t="s">
        <v>709</v>
      </c>
      <c r="K425" s="213">
        <f>6300*5%</f>
        <v>315</v>
      </c>
      <c r="L425" s="189"/>
      <c r="M425" s="190"/>
    </row>
    <row r="426" spans="1:14" s="141" customFormat="1" x14ac:dyDescent="0.2">
      <c r="A426" s="182"/>
      <c r="B426" s="183"/>
      <c r="C426" s="184"/>
      <c r="D426" s="185"/>
      <c r="E426" s="185"/>
      <c r="F426" s="185"/>
      <c r="G426" s="185"/>
      <c r="H426" s="185"/>
      <c r="I426" s="192" t="s">
        <v>710</v>
      </c>
      <c r="J426" s="177" t="s">
        <v>711</v>
      </c>
      <c r="K426" s="210">
        <f>6300*5%</f>
        <v>315</v>
      </c>
      <c r="L426" s="189"/>
      <c r="M426" s="190"/>
      <c r="N426" s="181"/>
    </row>
    <row r="427" spans="1:14" s="141" customFormat="1" x14ac:dyDescent="0.2">
      <c r="A427" s="193"/>
      <c r="B427" s="194"/>
      <c r="C427" s="195"/>
      <c r="D427" s="196"/>
      <c r="E427" s="196"/>
      <c r="F427" s="196"/>
      <c r="G427" s="196"/>
      <c r="H427" s="196"/>
      <c r="I427" s="197"/>
      <c r="J427" s="214"/>
      <c r="K427" s="218">
        <f>SUM(K421:K426)</f>
        <v>6300</v>
      </c>
      <c r="L427" s="200"/>
      <c r="M427" s="201"/>
    </row>
    <row r="428" spans="1:14" s="141" customFormat="1" x14ac:dyDescent="0.2">
      <c r="A428" s="172">
        <v>113</v>
      </c>
      <c r="B428" s="173" t="s">
        <v>712</v>
      </c>
      <c r="C428" s="174"/>
      <c r="D428" s="175" t="s">
        <v>107</v>
      </c>
      <c r="E428" s="175"/>
      <c r="F428" s="175"/>
      <c r="G428" s="175"/>
      <c r="H428" s="175"/>
      <c r="I428" s="176" t="s">
        <v>713</v>
      </c>
      <c r="J428" s="177" t="s">
        <v>378</v>
      </c>
      <c r="K428" s="216">
        <f>6300*5%</f>
        <v>315</v>
      </c>
      <c r="L428" s="179" t="s">
        <v>111</v>
      </c>
      <c r="M428" s="180" t="s">
        <v>714</v>
      </c>
    </row>
    <row r="429" spans="1:14" s="141" customFormat="1" x14ac:dyDescent="0.2">
      <c r="A429" s="182"/>
      <c r="B429" s="183"/>
      <c r="C429" s="184"/>
      <c r="D429" s="185"/>
      <c r="E429" s="185"/>
      <c r="F429" s="185"/>
      <c r="G429" s="185"/>
      <c r="H429" s="185"/>
      <c r="I429" s="186" t="s">
        <v>715</v>
      </c>
      <c r="J429" s="223" t="s">
        <v>274</v>
      </c>
      <c r="K429" s="217">
        <f>6300*5%</f>
        <v>315</v>
      </c>
      <c r="L429" s="189"/>
      <c r="M429" s="190"/>
    </row>
    <row r="430" spans="1:14" s="141" customFormat="1" x14ac:dyDescent="0.2">
      <c r="A430" s="182"/>
      <c r="B430" s="183"/>
      <c r="C430" s="184"/>
      <c r="D430" s="185"/>
      <c r="E430" s="185"/>
      <c r="F430" s="185"/>
      <c r="G430" s="185"/>
      <c r="H430" s="185"/>
      <c r="I430" s="186" t="s">
        <v>705</v>
      </c>
      <c r="J430" s="223" t="s">
        <v>274</v>
      </c>
      <c r="K430" s="217">
        <f>6300*5%</f>
        <v>315</v>
      </c>
      <c r="L430" s="189"/>
      <c r="M430" s="190"/>
    </row>
    <row r="431" spans="1:14" s="141" customFormat="1" x14ac:dyDescent="0.2">
      <c r="A431" s="182"/>
      <c r="B431" s="183"/>
      <c r="C431" s="184"/>
      <c r="D431" s="185"/>
      <c r="E431" s="185"/>
      <c r="F431" s="185"/>
      <c r="G431" s="185"/>
      <c r="H431" s="185"/>
      <c r="I431" s="186" t="s">
        <v>716</v>
      </c>
      <c r="J431" s="223" t="s">
        <v>274</v>
      </c>
      <c r="K431" s="217">
        <f>6300*70%</f>
        <v>4410</v>
      </c>
      <c r="L431" s="189"/>
      <c r="M431" s="190"/>
    </row>
    <row r="432" spans="1:14" s="141" customFormat="1" x14ac:dyDescent="0.2">
      <c r="A432" s="182"/>
      <c r="B432" s="183"/>
      <c r="C432" s="184"/>
      <c r="D432" s="185"/>
      <c r="E432" s="185"/>
      <c r="F432" s="185"/>
      <c r="G432" s="185"/>
      <c r="H432" s="185"/>
      <c r="I432" s="186" t="s">
        <v>708</v>
      </c>
      <c r="J432" s="177" t="s">
        <v>709</v>
      </c>
      <c r="K432" s="240">
        <f>6300*5%</f>
        <v>315</v>
      </c>
      <c r="L432" s="189"/>
      <c r="M432" s="190"/>
    </row>
    <row r="433" spans="1:13" s="141" customFormat="1" x14ac:dyDescent="0.2">
      <c r="A433" s="182"/>
      <c r="B433" s="183"/>
      <c r="C433" s="184"/>
      <c r="D433" s="185"/>
      <c r="E433" s="185"/>
      <c r="F433" s="185"/>
      <c r="G433" s="185"/>
      <c r="H433" s="185"/>
      <c r="I433" s="192" t="s">
        <v>717</v>
      </c>
      <c r="J433" s="223" t="s">
        <v>274</v>
      </c>
      <c r="K433" s="213">
        <f>6300*5%</f>
        <v>315</v>
      </c>
      <c r="L433" s="189"/>
      <c r="M433" s="190"/>
    </row>
    <row r="434" spans="1:13" s="141" customFormat="1" x14ac:dyDescent="0.2">
      <c r="A434" s="182"/>
      <c r="B434" s="183"/>
      <c r="C434" s="184"/>
      <c r="D434" s="185"/>
      <c r="E434" s="185"/>
      <c r="F434" s="185"/>
      <c r="G434" s="185"/>
      <c r="H434" s="185"/>
      <c r="I434" s="176" t="s">
        <v>707</v>
      </c>
      <c r="J434" s="223" t="s">
        <v>274</v>
      </c>
      <c r="K434" s="210">
        <f>6300*5%</f>
        <v>315</v>
      </c>
      <c r="L434" s="189"/>
      <c r="M434" s="190"/>
    </row>
    <row r="435" spans="1:13" s="141" customFormat="1" x14ac:dyDescent="0.2">
      <c r="A435" s="193"/>
      <c r="B435" s="194"/>
      <c r="C435" s="195"/>
      <c r="D435" s="196"/>
      <c r="E435" s="196"/>
      <c r="F435" s="196"/>
      <c r="G435" s="196"/>
      <c r="H435" s="196"/>
      <c r="I435" s="353"/>
      <c r="J435" s="226"/>
      <c r="K435" s="227">
        <f>SUM(K428:K434)</f>
        <v>6300</v>
      </c>
      <c r="L435" s="200"/>
      <c r="M435" s="201"/>
    </row>
    <row r="436" spans="1:13" s="141" customFormat="1" x14ac:dyDescent="0.2">
      <c r="A436" s="172">
        <v>114</v>
      </c>
      <c r="B436" s="173" t="s">
        <v>718</v>
      </c>
      <c r="C436" s="174"/>
      <c r="D436" s="175" t="s">
        <v>107</v>
      </c>
      <c r="E436" s="175"/>
      <c r="F436" s="175"/>
      <c r="G436" s="175"/>
      <c r="H436" s="175"/>
      <c r="I436" s="176" t="s">
        <v>719</v>
      </c>
      <c r="J436" s="208" t="s">
        <v>274</v>
      </c>
      <c r="K436" s="209">
        <f>6300*30%</f>
        <v>1890</v>
      </c>
      <c r="L436" s="179" t="s">
        <v>111</v>
      </c>
      <c r="M436" s="180" t="s">
        <v>720</v>
      </c>
    </row>
    <row r="437" spans="1:13" s="141" customFormat="1" x14ac:dyDescent="0.2">
      <c r="A437" s="182"/>
      <c r="B437" s="183"/>
      <c r="C437" s="184"/>
      <c r="D437" s="185"/>
      <c r="E437" s="185"/>
      <c r="F437" s="185"/>
      <c r="G437" s="185"/>
      <c r="H437" s="185"/>
      <c r="I437" s="186" t="s">
        <v>721</v>
      </c>
      <c r="J437" s="177" t="s">
        <v>274</v>
      </c>
      <c r="K437" s="210">
        <f>6300*5%</f>
        <v>315</v>
      </c>
      <c r="L437" s="189"/>
      <c r="M437" s="190"/>
    </row>
    <row r="438" spans="1:13" s="141" customFormat="1" x14ac:dyDescent="0.2">
      <c r="A438" s="182"/>
      <c r="B438" s="183"/>
      <c r="C438" s="184"/>
      <c r="D438" s="185"/>
      <c r="E438" s="185"/>
      <c r="F438" s="185"/>
      <c r="G438" s="185"/>
      <c r="H438" s="185"/>
      <c r="I438" s="192" t="s">
        <v>722</v>
      </c>
      <c r="J438" s="223" t="s">
        <v>274</v>
      </c>
      <c r="K438" s="213">
        <f>6300*5%</f>
        <v>315</v>
      </c>
      <c r="L438" s="189"/>
      <c r="M438" s="190"/>
    </row>
    <row r="439" spans="1:13" s="141" customFormat="1" x14ac:dyDescent="0.2">
      <c r="A439" s="182"/>
      <c r="B439" s="183"/>
      <c r="C439" s="184"/>
      <c r="D439" s="185"/>
      <c r="E439" s="185"/>
      <c r="F439" s="185"/>
      <c r="G439" s="185"/>
      <c r="H439" s="185"/>
      <c r="I439" s="192" t="s">
        <v>723</v>
      </c>
      <c r="J439" s="223" t="s">
        <v>709</v>
      </c>
      <c r="K439" s="213">
        <f>6300*5%</f>
        <v>315</v>
      </c>
      <c r="L439" s="189"/>
      <c r="M439" s="190"/>
    </row>
    <row r="440" spans="1:13" s="141" customFormat="1" x14ac:dyDescent="0.2">
      <c r="A440" s="182"/>
      <c r="B440" s="183"/>
      <c r="C440" s="184"/>
      <c r="D440" s="185"/>
      <c r="E440" s="185"/>
      <c r="F440" s="185"/>
      <c r="G440" s="185"/>
      <c r="H440" s="185"/>
      <c r="I440" s="192" t="s">
        <v>724</v>
      </c>
      <c r="J440" s="223" t="s">
        <v>274</v>
      </c>
      <c r="K440" s="213">
        <f>6300*50%</f>
        <v>3150</v>
      </c>
      <c r="L440" s="189"/>
      <c r="M440" s="190"/>
    </row>
    <row r="441" spans="1:13" s="141" customFormat="1" x14ac:dyDescent="0.2">
      <c r="A441" s="182"/>
      <c r="B441" s="183"/>
      <c r="C441" s="184"/>
      <c r="D441" s="185"/>
      <c r="E441" s="185"/>
      <c r="F441" s="185"/>
      <c r="G441" s="185"/>
      <c r="H441" s="185"/>
      <c r="I441" s="176" t="s">
        <v>725</v>
      </c>
      <c r="J441" s="223" t="s">
        <v>274</v>
      </c>
      <c r="K441" s="210">
        <f>6300*5%</f>
        <v>315</v>
      </c>
      <c r="L441" s="189"/>
      <c r="M441" s="190"/>
    </row>
    <row r="442" spans="1:13" s="141" customFormat="1" x14ac:dyDescent="0.2">
      <c r="A442" s="193"/>
      <c r="B442" s="194"/>
      <c r="C442" s="195"/>
      <c r="D442" s="196"/>
      <c r="E442" s="196"/>
      <c r="F442" s="196"/>
      <c r="G442" s="196"/>
      <c r="H442" s="196"/>
      <c r="I442" s="206"/>
      <c r="J442" s="226"/>
      <c r="K442" s="227">
        <f>SUM(K436:K441)</f>
        <v>6300</v>
      </c>
      <c r="L442" s="200"/>
      <c r="M442" s="201"/>
    </row>
    <row r="443" spans="1:13" s="141" customFormat="1" x14ac:dyDescent="0.2">
      <c r="A443" s="172">
        <v>115</v>
      </c>
      <c r="B443" s="173" t="s">
        <v>726</v>
      </c>
      <c r="C443" s="174"/>
      <c r="D443" s="175" t="s">
        <v>107</v>
      </c>
      <c r="E443" s="175"/>
      <c r="F443" s="175"/>
      <c r="G443" s="175"/>
      <c r="H443" s="175"/>
      <c r="I443" s="176" t="s">
        <v>727</v>
      </c>
      <c r="J443" s="177" t="s">
        <v>274</v>
      </c>
      <c r="K443" s="216">
        <f>6300*70%</f>
        <v>4410</v>
      </c>
      <c r="L443" s="179" t="s">
        <v>111</v>
      </c>
      <c r="M443" s="180" t="s">
        <v>728</v>
      </c>
    </row>
    <row r="444" spans="1:13" s="141" customFormat="1" x14ac:dyDescent="0.2">
      <c r="A444" s="182"/>
      <c r="B444" s="183"/>
      <c r="C444" s="184"/>
      <c r="D444" s="185"/>
      <c r="E444" s="185"/>
      <c r="F444" s="185"/>
      <c r="G444" s="185"/>
      <c r="H444" s="185"/>
      <c r="I444" s="192" t="s">
        <v>715</v>
      </c>
      <c r="J444" s="223" t="s">
        <v>274</v>
      </c>
      <c r="K444" s="217">
        <f t="shared" ref="K444:K449" si="10">6300*5%</f>
        <v>315</v>
      </c>
      <c r="L444" s="189"/>
      <c r="M444" s="190"/>
    </row>
    <row r="445" spans="1:13" s="141" customFormat="1" x14ac:dyDescent="0.2">
      <c r="A445" s="182"/>
      <c r="B445" s="183"/>
      <c r="C445" s="184"/>
      <c r="D445" s="185"/>
      <c r="E445" s="185"/>
      <c r="F445" s="185"/>
      <c r="G445" s="185"/>
      <c r="H445" s="185"/>
      <c r="I445" s="192" t="s">
        <v>729</v>
      </c>
      <c r="J445" s="223" t="s">
        <v>274</v>
      </c>
      <c r="K445" s="213">
        <f t="shared" si="10"/>
        <v>315</v>
      </c>
      <c r="L445" s="189"/>
      <c r="M445" s="190"/>
    </row>
    <row r="446" spans="1:13" s="141" customFormat="1" x14ac:dyDescent="0.2">
      <c r="A446" s="182"/>
      <c r="B446" s="183"/>
      <c r="C446" s="184"/>
      <c r="D446" s="185"/>
      <c r="E446" s="185"/>
      <c r="F446" s="185"/>
      <c r="G446" s="185"/>
      <c r="H446" s="185"/>
      <c r="I446" s="192" t="s">
        <v>730</v>
      </c>
      <c r="J446" s="177" t="s">
        <v>274</v>
      </c>
      <c r="K446" s="240">
        <f t="shared" si="10"/>
        <v>315</v>
      </c>
      <c r="L446" s="189"/>
      <c r="M446" s="190"/>
    </row>
    <row r="447" spans="1:13" s="141" customFormat="1" x14ac:dyDescent="0.2">
      <c r="A447" s="182"/>
      <c r="B447" s="183"/>
      <c r="C447" s="184"/>
      <c r="D447" s="185"/>
      <c r="E447" s="185"/>
      <c r="F447" s="185"/>
      <c r="G447" s="185"/>
      <c r="H447" s="185"/>
      <c r="I447" s="192" t="s">
        <v>731</v>
      </c>
      <c r="J447" s="223" t="s">
        <v>367</v>
      </c>
      <c r="K447" s="210">
        <f t="shared" si="10"/>
        <v>315</v>
      </c>
      <c r="L447" s="189"/>
      <c r="M447" s="190"/>
    </row>
    <row r="448" spans="1:13" s="141" customFormat="1" x14ac:dyDescent="0.2">
      <c r="A448" s="182"/>
      <c r="B448" s="183"/>
      <c r="C448" s="184"/>
      <c r="D448" s="185"/>
      <c r="E448" s="185"/>
      <c r="F448" s="185"/>
      <c r="G448" s="185"/>
      <c r="H448" s="185"/>
      <c r="I448" s="192" t="s">
        <v>732</v>
      </c>
      <c r="J448" s="223" t="s">
        <v>711</v>
      </c>
      <c r="K448" s="217">
        <f t="shared" si="10"/>
        <v>315</v>
      </c>
      <c r="L448" s="189"/>
      <c r="M448" s="190"/>
    </row>
    <row r="449" spans="1:13" s="141" customFormat="1" x14ac:dyDescent="0.2">
      <c r="A449" s="182"/>
      <c r="B449" s="183"/>
      <c r="C449" s="184"/>
      <c r="D449" s="185"/>
      <c r="E449" s="185"/>
      <c r="F449" s="185"/>
      <c r="G449" s="185"/>
      <c r="H449" s="185"/>
      <c r="I449" s="176" t="s">
        <v>713</v>
      </c>
      <c r="J449" s="177" t="s">
        <v>378</v>
      </c>
      <c r="K449" s="240">
        <f t="shared" si="10"/>
        <v>315</v>
      </c>
      <c r="L449" s="189"/>
      <c r="M449" s="190"/>
    </row>
    <row r="450" spans="1:13" s="141" customFormat="1" x14ac:dyDescent="0.2">
      <c r="A450" s="193"/>
      <c r="B450" s="194"/>
      <c r="C450" s="195"/>
      <c r="D450" s="196"/>
      <c r="E450" s="196"/>
      <c r="F450" s="196"/>
      <c r="G450" s="196"/>
      <c r="H450" s="196"/>
      <c r="I450" s="206"/>
      <c r="J450" s="214"/>
      <c r="K450" s="215">
        <f>SUM(K443:K449)</f>
        <v>6300</v>
      </c>
      <c r="L450" s="200"/>
      <c r="M450" s="201"/>
    </row>
    <row r="451" spans="1:13" s="141" customFormat="1" x14ac:dyDescent="0.2">
      <c r="A451" s="172">
        <v>116</v>
      </c>
      <c r="B451" s="173" t="s">
        <v>733</v>
      </c>
      <c r="C451" s="174"/>
      <c r="D451" s="175" t="s">
        <v>107</v>
      </c>
      <c r="E451" s="175"/>
      <c r="F451" s="175"/>
      <c r="G451" s="175"/>
      <c r="H451" s="175"/>
      <c r="I451" s="176" t="s">
        <v>734</v>
      </c>
      <c r="J451" s="177" t="s">
        <v>274</v>
      </c>
      <c r="K451" s="222">
        <f>6300*60%</f>
        <v>3780</v>
      </c>
      <c r="L451" s="179" t="s">
        <v>111</v>
      </c>
      <c r="M451" s="180" t="s">
        <v>735</v>
      </c>
    </row>
    <row r="452" spans="1:13" s="141" customFormat="1" x14ac:dyDescent="0.2">
      <c r="A452" s="182"/>
      <c r="B452" s="183"/>
      <c r="C452" s="184"/>
      <c r="D452" s="185"/>
      <c r="E452" s="185"/>
      <c r="F452" s="185"/>
      <c r="G452" s="185"/>
      <c r="H452" s="185"/>
      <c r="I452" s="192" t="s">
        <v>736</v>
      </c>
      <c r="J452" s="223" t="s">
        <v>274</v>
      </c>
      <c r="K452" s="210">
        <f t="shared" ref="K452:K459" si="11">6300*5%</f>
        <v>315</v>
      </c>
      <c r="L452" s="189"/>
      <c r="M452" s="190"/>
    </row>
    <row r="453" spans="1:13" s="141" customFormat="1" x14ac:dyDescent="0.2">
      <c r="A453" s="182"/>
      <c r="B453" s="183"/>
      <c r="C453" s="184"/>
      <c r="D453" s="185"/>
      <c r="E453" s="185"/>
      <c r="F453" s="185"/>
      <c r="G453" s="185"/>
      <c r="H453" s="185"/>
      <c r="I453" s="176" t="s">
        <v>737</v>
      </c>
      <c r="J453" s="223" t="s">
        <v>709</v>
      </c>
      <c r="K453" s="217">
        <f t="shared" si="11"/>
        <v>315</v>
      </c>
      <c r="L453" s="189"/>
      <c r="M453" s="190"/>
    </row>
    <row r="454" spans="1:13" s="141" customFormat="1" x14ac:dyDescent="0.2">
      <c r="A454" s="182"/>
      <c r="B454" s="183"/>
      <c r="C454" s="184"/>
      <c r="D454" s="185"/>
      <c r="E454" s="185"/>
      <c r="F454" s="185"/>
      <c r="G454" s="185"/>
      <c r="H454" s="185"/>
      <c r="I454" s="192" t="s">
        <v>738</v>
      </c>
      <c r="J454" s="223" t="s">
        <v>274</v>
      </c>
      <c r="K454" s="217">
        <f t="shared" si="11"/>
        <v>315</v>
      </c>
      <c r="L454" s="189"/>
      <c r="M454" s="190"/>
    </row>
    <row r="455" spans="1:13" s="141" customFormat="1" x14ac:dyDescent="0.2">
      <c r="A455" s="182"/>
      <c r="B455" s="183"/>
      <c r="C455" s="184"/>
      <c r="D455" s="185"/>
      <c r="E455" s="185"/>
      <c r="F455" s="185"/>
      <c r="G455" s="185"/>
      <c r="H455" s="185"/>
      <c r="I455" s="192" t="s">
        <v>739</v>
      </c>
      <c r="J455" s="315" t="s">
        <v>274</v>
      </c>
      <c r="K455" s="217">
        <f t="shared" si="11"/>
        <v>315</v>
      </c>
      <c r="L455" s="189"/>
      <c r="M455" s="190"/>
    </row>
    <row r="456" spans="1:13" s="141" customFormat="1" x14ac:dyDescent="0.2">
      <c r="A456" s="182"/>
      <c r="B456" s="183"/>
      <c r="C456" s="184"/>
      <c r="D456" s="185"/>
      <c r="E456" s="185"/>
      <c r="F456" s="185"/>
      <c r="G456" s="185"/>
      <c r="H456" s="185"/>
      <c r="I456" s="192" t="s">
        <v>740</v>
      </c>
      <c r="J456" s="177" t="s">
        <v>274</v>
      </c>
      <c r="K456" s="240">
        <f t="shared" si="11"/>
        <v>315</v>
      </c>
      <c r="L456" s="189"/>
      <c r="M456" s="190"/>
    </row>
    <row r="457" spans="1:13" s="141" customFormat="1" x14ac:dyDescent="0.2">
      <c r="A457" s="182"/>
      <c r="B457" s="183"/>
      <c r="C457" s="184"/>
      <c r="D457" s="185"/>
      <c r="E457" s="185"/>
      <c r="F457" s="185"/>
      <c r="G457" s="185"/>
      <c r="H457" s="185"/>
      <c r="I457" s="176" t="s">
        <v>722</v>
      </c>
      <c r="J457" s="223" t="s">
        <v>274</v>
      </c>
      <c r="K457" s="210">
        <f t="shared" si="11"/>
        <v>315</v>
      </c>
      <c r="L457" s="189"/>
      <c r="M457" s="190"/>
    </row>
    <row r="458" spans="1:13" s="141" customFormat="1" x14ac:dyDescent="0.2">
      <c r="A458" s="182"/>
      <c r="B458" s="183"/>
      <c r="C458" s="184"/>
      <c r="D458" s="185"/>
      <c r="E458" s="185"/>
      <c r="F458" s="185"/>
      <c r="G458" s="185"/>
      <c r="H458" s="185"/>
      <c r="I458" s="192" t="s">
        <v>741</v>
      </c>
      <c r="J458" s="223" t="s">
        <v>709</v>
      </c>
      <c r="K458" s="213">
        <f t="shared" si="11"/>
        <v>315</v>
      </c>
      <c r="L458" s="189"/>
      <c r="M458" s="190"/>
    </row>
    <row r="459" spans="1:13" s="141" customFormat="1" x14ac:dyDescent="0.2">
      <c r="A459" s="182"/>
      <c r="B459" s="183"/>
      <c r="C459" s="184"/>
      <c r="D459" s="185"/>
      <c r="E459" s="185"/>
      <c r="F459" s="185"/>
      <c r="G459" s="185"/>
      <c r="H459" s="185"/>
      <c r="I459" s="192" t="s">
        <v>742</v>
      </c>
      <c r="J459" s="223" t="s">
        <v>274</v>
      </c>
      <c r="K459" s="210">
        <f t="shared" si="11"/>
        <v>315</v>
      </c>
      <c r="L459" s="189"/>
      <c r="M459" s="190"/>
    </row>
    <row r="460" spans="1:13" s="141" customFormat="1" x14ac:dyDescent="0.2">
      <c r="A460" s="193"/>
      <c r="B460" s="194"/>
      <c r="C460" s="195"/>
      <c r="D460" s="196"/>
      <c r="E460" s="196"/>
      <c r="F460" s="196"/>
      <c r="G460" s="196"/>
      <c r="H460" s="196"/>
      <c r="I460" s="197"/>
      <c r="J460" s="226"/>
      <c r="K460" s="227">
        <f>SUM(K451:K459)</f>
        <v>6300</v>
      </c>
      <c r="L460" s="200"/>
      <c r="M460" s="201"/>
    </row>
    <row r="461" spans="1:13" s="141" customFormat="1" x14ac:dyDescent="0.2">
      <c r="A461" s="172">
        <v>117</v>
      </c>
      <c r="B461" s="173" t="s">
        <v>743</v>
      </c>
      <c r="C461" s="174"/>
      <c r="D461" s="175" t="s">
        <v>107</v>
      </c>
      <c r="E461" s="175"/>
      <c r="F461" s="175"/>
      <c r="G461" s="175"/>
      <c r="H461" s="175"/>
      <c r="I461" s="176" t="s">
        <v>744</v>
      </c>
      <c r="J461" s="208" t="s">
        <v>274</v>
      </c>
      <c r="K461" s="209">
        <f>6300*15%</f>
        <v>945</v>
      </c>
      <c r="L461" s="179" t="s">
        <v>111</v>
      </c>
      <c r="M461" s="180" t="s">
        <v>745</v>
      </c>
    </row>
    <row r="462" spans="1:13" s="141" customFormat="1" x14ac:dyDescent="0.2">
      <c r="A462" s="182"/>
      <c r="B462" s="183"/>
      <c r="C462" s="184"/>
      <c r="D462" s="185"/>
      <c r="E462" s="185"/>
      <c r="F462" s="185"/>
      <c r="G462" s="185"/>
      <c r="H462" s="185"/>
      <c r="I462" s="186" t="s">
        <v>746</v>
      </c>
      <c r="J462" s="177" t="s">
        <v>274</v>
      </c>
      <c r="K462" s="210">
        <f>6300*55%</f>
        <v>3465.0000000000005</v>
      </c>
      <c r="L462" s="189"/>
      <c r="M462" s="190"/>
    </row>
    <row r="463" spans="1:13" s="141" customFormat="1" x14ac:dyDescent="0.2">
      <c r="A463" s="182"/>
      <c r="B463" s="183"/>
      <c r="C463" s="184"/>
      <c r="D463" s="185"/>
      <c r="E463" s="185"/>
      <c r="F463" s="185"/>
      <c r="G463" s="185"/>
      <c r="H463" s="185"/>
      <c r="I463" s="192" t="s">
        <v>747</v>
      </c>
      <c r="J463" s="223" t="s">
        <v>274</v>
      </c>
      <c r="K463" s="217">
        <f t="shared" ref="K463:K468" si="12">6300*5%</f>
        <v>315</v>
      </c>
      <c r="L463" s="189"/>
      <c r="M463" s="190"/>
    </row>
    <row r="464" spans="1:13" s="141" customFormat="1" x14ac:dyDescent="0.2">
      <c r="A464" s="182"/>
      <c r="B464" s="183"/>
      <c r="C464" s="184"/>
      <c r="D464" s="185"/>
      <c r="E464" s="185"/>
      <c r="F464" s="185"/>
      <c r="G464" s="185"/>
      <c r="H464" s="185"/>
      <c r="I464" s="176" t="s">
        <v>748</v>
      </c>
      <c r="J464" s="177" t="s">
        <v>274</v>
      </c>
      <c r="K464" s="211">
        <f t="shared" si="12"/>
        <v>315</v>
      </c>
      <c r="L464" s="189"/>
      <c r="M464" s="190"/>
    </row>
    <row r="465" spans="1:13" s="141" customFormat="1" x14ac:dyDescent="0.2">
      <c r="A465" s="182"/>
      <c r="B465" s="183"/>
      <c r="C465" s="184"/>
      <c r="D465" s="185"/>
      <c r="E465" s="185"/>
      <c r="F465" s="185"/>
      <c r="G465" s="185"/>
      <c r="H465" s="185"/>
      <c r="I465" s="186" t="s">
        <v>749</v>
      </c>
      <c r="J465" s="212" t="s">
        <v>274</v>
      </c>
      <c r="K465" s="213">
        <f t="shared" si="12"/>
        <v>315</v>
      </c>
      <c r="L465" s="189"/>
      <c r="M465" s="190"/>
    </row>
    <row r="466" spans="1:13" s="141" customFormat="1" x14ac:dyDescent="0.2">
      <c r="A466" s="182"/>
      <c r="B466" s="183"/>
      <c r="C466" s="184"/>
      <c r="D466" s="185"/>
      <c r="E466" s="185"/>
      <c r="F466" s="185"/>
      <c r="G466" s="185"/>
      <c r="H466" s="185"/>
      <c r="I466" s="192" t="s">
        <v>750</v>
      </c>
      <c r="J466" s="223" t="s">
        <v>274</v>
      </c>
      <c r="K466" s="213">
        <f t="shared" si="12"/>
        <v>315</v>
      </c>
      <c r="L466" s="189"/>
      <c r="M466" s="190"/>
    </row>
    <row r="467" spans="1:13" s="141" customFormat="1" x14ac:dyDescent="0.2">
      <c r="A467" s="182"/>
      <c r="B467" s="183"/>
      <c r="C467" s="184"/>
      <c r="D467" s="185"/>
      <c r="E467" s="185"/>
      <c r="F467" s="185"/>
      <c r="G467" s="185"/>
      <c r="H467" s="185"/>
      <c r="I467" s="192" t="s">
        <v>751</v>
      </c>
      <c r="J467" s="212" t="s">
        <v>274</v>
      </c>
      <c r="K467" s="213">
        <f t="shared" si="12"/>
        <v>315</v>
      </c>
      <c r="L467" s="189"/>
      <c r="M467" s="190"/>
    </row>
    <row r="468" spans="1:13" s="141" customFormat="1" x14ac:dyDescent="0.2">
      <c r="A468" s="182"/>
      <c r="B468" s="183"/>
      <c r="C468" s="184"/>
      <c r="D468" s="185"/>
      <c r="E468" s="185"/>
      <c r="F468" s="185"/>
      <c r="G468" s="185"/>
      <c r="H468" s="185"/>
      <c r="I468" s="192" t="s">
        <v>752</v>
      </c>
      <c r="J468" s="223" t="s">
        <v>274</v>
      </c>
      <c r="K468" s="210">
        <f t="shared" si="12"/>
        <v>315</v>
      </c>
      <c r="L468" s="189"/>
      <c r="M468" s="190"/>
    </row>
    <row r="469" spans="1:13" s="141" customFormat="1" x14ac:dyDescent="0.2">
      <c r="A469" s="193"/>
      <c r="B469" s="194"/>
      <c r="C469" s="195"/>
      <c r="D469" s="196"/>
      <c r="E469" s="196"/>
      <c r="F469" s="196"/>
      <c r="G469" s="196"/>
      <c r="H469" s="196"/>
      <c r="I469" s="197"/>
      <c r="J469" s="214"/>
      <c r="K469" s="218">
        <f>SUM(K461:K468)</f>
        <v>6300</v>
      </c>
      <c r="L469" s="200"/>
      <c r="M469" s="201"/>
    </row>
    <row r="470" spans="1:13" s="141" customFormat="1" ht="103.5" customHeight="1" x14ac:dyDescent="0.2">
      <c r="A470" s="316">
        <v>118</v>
      </c>
      <c r="B470" s="173" t="s">
        <v>753</v>
      </c>
      <c r="C470" s="174"/>
      <c r="D470" s="321" t="s">
        <v>107</v>
      </c>
      <c r="E470" s="321"/>
      <c r="F470" s="321"/>
      <c r="G470" s="321"/>
      <c r="H470" s="321"/>
      <c r="I470" s="289" t="s">
        <v>754</v>
      </c>
      <c r="J470" s="312" t="s">
        <v>274</v>
      </c>
      <c r="K470" s="216">
        <f>6300*100%</f>
        <v>6300</v>
      </c>
      <c r="L470" s="323" t="s">
        <v>111</v>
      </c>
      <c r="M470" s="272" t="s">
        <v>755</v>
      </c>
    </row>
    <row r="471" spans="1:13" s="141" customFormat="1" ht="68.25" customHeight="1" x14ac:dyDescent="0.2">
      <c r="A471" s="316">
        <v>119</v>
      </c>
      <c r="B471" s="173" t="s">
        <v>756</v>
      </c>
      <c r="C471" s="174"/>
      <c r="D471" s="321" t="s">
        <v>107</v>
      </c>
      <c r="E471" s="321"/>
      <c r="F471" s="321"/>
      <c r="G471" s="321"/>
      <c r="H471" s="321"/>
      <c r="I471" s="289" t="s">
        <v>754</v>
      </c>
      <c r="J471" s="177" t="s">
        <v>274</v>
      </c>
      <c r="K471" s="216">
        <f>6300*100%</f>
        <v>6300</v>
      </c>
      <c r="L471" s="323" t="s">
        <v>111</v>
      </c>
      <c r="M471" s="272" t="s">
        <v>757</v>
      </c>
    </row>
    <row r="472" spans="1:13" s="141" customFormat="1" x14ac:dyDescent="0.2">
      <c r="A472" s="172">
        <v>120</v>
      </c>
      <c r="B472" s="173" t="s">
        <v>758</v>
      </c>
      <c r="C472" s="174"/>
      <c r="D472" s="175" t="s">
        <v>107</v>
      </c>
      <c r="E472" s="175"/>
      <c r="F472" s="175"/>
      <c r="G472" s="175"/>
      <c r="H472" s="175"/>
      <c r="I472" s="176" t="s">
        <v>759</v>
      </c>
      <c r="J472" s="208" t="s">
        <v>274</v>
      </c>
      <c r="K472" s="216">
        <f>6300*80%</f>
        <v>5040</v>
      </c>
      <c r="L472" s="174" t="s">
        <v>111</v>
      </c>
      <c r="M472" s="180" t="s">
        <v>760</v>
      </c>
    </row>
    <row r="473" spans="1:13" s="141" customFormat="1" x14ac:dyDescent="0.2">
      <c r="A473" s="182"/>
      <c r="B473" s="183"/>
      <c r="C473" s="184"/>
      <c r="D473" s="185"/>
      <c r="E473" s="185"/>
      <c r="F473" s="185"/>
      <c r="G473" s="185"/>
      <c r="H473" s="185"/>
      <c r="I473" s="186" t="s">
        <v>761</v>
      </c>
      <c r="J473" s="315" t="s">
        <v>274</v>
      </c>
      <c r="K473" s="220">
        <f>6300*5%</f>
        <v>315</v>
      </c>
      <c r="L473" s="184"/>
      <c r="M473" s="190"/>
    </row>
    <row r="474" spans="1:13" s="141" customFormat="1" x14ac:dyDescent="0.2">
      <c r="A474" s="182"/>
      <c r="B474" s="183"/>
      <c r="C474" s="184"/>
      <c r="D474" s="185"/>
      <c r="E474" s="185"/>
      <c r="F474" s="185"/>
      <c r="G474" s="185"/>
      <c r="H474" s="185"/>
      <c r="I474" s="186" t="s">
        <v>762</v>
      </c>
      <c r="J474" s="177" t="s">
        <v>274</v>
      </c>
      <c r="K474" s="210">
        <f>6300*5%</f>
        <v>315</v>
      </c>
      <c r="L474" s="184"/>
      <c r="M474" s="190"/>
    </row>
    <row r="475" spans="1:13" s="141" customFormat="1" x14ac:dyDescent="0.2">
      <c r="A475" s="182"/>
      <c r="B475" s="183"/>
      <c r="C475" s="184"/>
      <c r="D475" s="185"/>
      <c r="E475" s="185"/>
      <c r="F475" s="185"/>
      <c r="G475" s="185"/>
      <c r="H475" s="185"/>
      <c r="I475" s="192" t="s">
        <v>736</v>
      </c>
      <c r="J475" s="223" t="s">
        <v>274</v>
      </c>
      <c r="K475" s="232">
        <f>6300*5%</f>
        <v>315</v>
      </c>
      <c r="L475" s="184"/>
      <c r="M475" s="190"/>
    </row>
    <row r="476" spans="1:13" s="141" customFormat="1" x14ac:dyDescent="0.2">
      <c r="A476" s="182"/>
      <c r="B476" s="183"/>
      <c r="C476" s="184"/>
      <c r="D476" s="185"/>
      <c r="E476" s="185"/>
      <c r="F476" s="185"/>
      <c r="G476" s="185"/>
      <c r="H476" s="185"/>
      <c r="I476" s="176" t="s">
        <v>737</v>
      </c>
      <c r="J476" s="223" t="s">
        <v>709</v>
      </c>
      <c r="K476" s="220">
        <f>6300*5%</f>
        <v>315</v>
      </c>
      <c r="L476" s="184"/>
      <c r="M476" s="190"/>
    </row>
    <row r="477" spans="1:13" s="141" customFormat="1" x14ac:dyDescent="0.2">
      <c r="A477" s="193"/>
      <c r="B477" s="194"/>
      <c r="C477" s="195"/>
      <c r="D477" s="196"/>
      <c r="E477" s="196"/>
      <c r="F477" s="196"/>
      <c r="G477" s="196"/>
      <c r="H477" s="196"/>
      <c r="I477" s="206"/>
      <c r="J477" s="226"/>
      <c r="K477" s="215">
        <f>SUM(K472:K476)</f>
        <v>6300</v>
      </c>
      <c r="L477" s="195"/>
      <c r="M477" s="201"/>
    </row>
    <row r="478" spans="1:13" s="141" customFormat="1" x14ac:dyDescent="0.2">
      <c r="A478" s="172">
        <v>121</v>
      </c>
      <c r="B478" s="173" t="s">
        <v>763</v>
      </c>
      <c r="C478" s="174"/>
      <c r="D478" s="175" t="s">
        <v>107</v>
      </c>
      <c r="E478" s="175"/>
      <c r="F478" s="175"/>
      <c r="G478" s="175"/>
      <c r="H478" s="175"/>
      <c r="I478" s="176" t="s">
        <v>764</v>
      </c>
      <c r="J478" s="177" t="s">
        <v>274</v>
      </c>
      <c r="K478" s="222">
        <f>6300*60%</f>
        <v>3780</v>
      </c>
      <c r="L478" s="179" t="s">
        <v>111</v>
      </c>
      <c r="M478" s="180" t="s">
        <v>765</v>
      </c>
    </row>
    <row r="479" spans="1:13" s="141" customFormat="1" x14ac:dyDescent="0.2">
      <c r="A479" s="182"/>
      <c r="B479" s="183"/>
      <c r="C479" s="184"/>
      <c r="D479" s="185"/>
      <c r="E479" s="185"/>
      <c r="F479" s="185"/>
      <c r="G479" s="185"/>
      <c r="H479" s="185"/>
      <c r="I479" s="192" t="s">
        <v>766</v>
      </c>
      <c r="J479" s="212" t="s">
        <v>274</v>
      </c>
      <c r="K479" s="210">
        <f>6300*10%</f>
        <v>630</v>
      </c>
      <c r="L479" s="189"/>
      <c r="M479" s="190"/>
    </row>
    <row r="480" spans="1:13" s="141" customFormat="1" x14ac:dyDescent="0.2">
      <c r="A480" s="182"/>
      <c r="B480" s="183"/>
      <c r="C480" s="184"/>
      <c r="D480" s="185"/>
      <c r="E480" s="185"/>
      <c r="F480" s="185"/>
      <c r="G480" s="185"/>
      <c r="H480" s="185"/>
      <c r="I480" s="176" t="s">
        <v>767</v>
      </c>
      <c r="J480" s="223" t="s">
        <v>274</v>
      </c>
      <c r="K480" s="213">
        <f>6300*10%</f>
        <v>630</v>
      </c>
      <c r="L480" s="189"/>
      <c r="M480" s="190"/>
    </row>
    <row r="481" spans="1:14" s="141" customFormat="1" x14ac:dyDescent="0.2">
      <c r="A481" s="182"/>
      <c r="B481" s="183"/>
      <c r="C481" s="184"/>
      <c r="D481" s="185"/>
      <c r="E481" s="185"/>
      <c r="F481" s="185"/>
      <c r="G481" s="185"/>
      <c r="H481" s="185"/>
      <c r="I481" s="192" t="s">
        <v>768</v>
      </c>
      <c r="J481" s="177" t="s">
        <v>274</v>
      </c>
      <c r="K481" s="240">
        <f>6300*10%</f>
        <v>630</v>
      </c>
      <c r="L481" s="189"/>
      <c r="M481" s="190"/>
    </row>
    <row r="482" spans="1:14" s="141" customFormat="1" x14ac:dyDescent="0.2">
      <c r="A482" s="182"/>
      <c r="B482" s="183"/>
      <c r="C482" s="184"/>
      <c r="D482" s="185"/>
      <c r="E482" s="185"/>
      <c r="F482" s="185"/>
      <c r="G482" s="185"/>
      <c r="H482" s="185"/>
      <c r="I482" s="176" t="s">
        <v>769</v>
      </c>
      <c r="J482" s="212" t="s">
        <v>711</v>
      </c>
      <c r="K482" s="213">
        <f>6300*10%</f>
        <v>630</v>
      </c>
      <c r="L482" s="189"/>
      <c r="M482" s="190"/>
    </row>
    <row r="483" spans="1:14" s="141" customFormat="1" x14ac:dyDescent="0.2">
      <c r="A483" s="193"/>
      <c r="B483" s="194"/>
      <c r="C483" s="195"/>
      <c r="D483" s="196"/>
      <c r="E483" s="196"/>
      <c r="F483" s="196"/>
      <c r="G483" s="196"/>
      <c r="H483" s="196"/>
      <c r="I483" s="206"/>
      <c r="J483" s="214"/>
      <c r="K483" s="215">
        <f>SUM(K478:K482)</f>
        <v>6300</v>
      </c>
      <c r="L483" s="200"/>
      <c r="M483" s="201"/>
    </row>
    <row r="484" spans="1:14" s="141" customFormat="1" x14ac:dyDescent="0.2">
      <c r="A484" s="172">
        <v>122</v>
      </c>
      <c r="B484" s="173" t="s">
        <v>770</v>
      </c>
      <c r="C484" s="174"/>
      <c r="D484" s="175" t="s">
        <v>107</v>
      </c>
      <c r="E484" s="175"/>
      <c r="F484" s="175"/>
      <c r="G484" s="175"/>
      <c r="H484" s="175"/>
      <c r="I484" s="228" t="s">
        <v>771</v>
      </c>
      <c r="J484" s="177" t="s">
        <v>274</v>
      </c>
      <c r="K484" s="216">
        <f>6300*90%</f>
        <v>5670</v>
      </c>
      <c r="L484" s="174" t="s">
        <v>111</v>
      </c>
      <c r="M484" s="180" t="s">
        <v>772</v>
      </c>
    </row>
    <row r="485" spans="1:14" s="141" customFormat="1" x14ac:dyDescent="0.2">
      <c r="A485" s="182"/>
      <c r="B485" s="183"/>
      <c r="C485" s="184"/>
      <c r="D485" s="185"/>
      <c r="E485" s="185"/>
      <c r="F485" s="185"/>
      <c r="G485" s="185"/>
      <c r="H485" s="185"/>
      <c r="I485" s="176" t="s">
        <v>773</v>
      </c>
      <c r="J485" s="212" t="s">
        <v>274</v>
      </c>
      <c r="K485" s="220">
        <f>6300*10%</f>
        <v>630</v>
      </c>
      <c r="L485" s="184"/>
      <c r="M485" s="190"/>
    </row>
    <row r="486" spans="1:14" s="141" customFormat="1" x14ac:dyDescent="0.2">
      <c r="A486" s="193"/>
      <c r="B486" s="194"/>
      <c r="C486" s="195"/>
      <c r="D486" s="196"/>
      <c r="E486" s="196"/>
      <c r="F486" s="196"/>
      <c r="G486" s="196"/>
      <c r="H486" s="196"/>
      <c r="I486" s="206"/>
      <c r="J486" s="214"/>
      <c r="K486" s="215">
        <f>SUM(K484:K485)</f>
        <v>6300</v>
      </c>
      <c r="L486" s="195"/>
      <c r="M486" s="201"/>
    </row>
    <row r="487" spans="1:14" s="141" customFormat="1" x14ac:dyDescent="0.2">
      <c r="A487" s="172">
        <v>123</v>
      </c>
      <c r="B487" s="173" t="s">
        <v>774</v>
      </c>
      <c r="C487" s="174"/>
      <c r="D487" s="175" t="s">
        <v>107</v>
      </c>
      <c r="E487" s="175"/>
      <c r="F487" s="175"/>
      <c r="G487" s="175"/>
      <c r="H487" s="175"/>
      <c r="I487" s="176" t="s">
        <v>775</v>
      </c>
      <c r="J487" s="208" t="s">
        <v>274</v>
      </c>
      <c r="K487" s="209">
        <f>6300*70%</f>
        <v>4410</v>
      </c>
      <c r="L487" s="179" t="s">
        <v>111</v>
      </c>
      <c r="M487" s="180" t="s">
        <v>776</v>
      </c>
    </row>
    <row r="488" spans="1:14" s="141" customFormat="1" x14ac:dyDescent="0.2">
      <c r="A488" s="182"/>
      <c r="B488" s="183"/>
      <c r="C488" s="184"/>
      <c r="D488" s="185"/>
      <c r="E488" s="185"/>
      <c r="F488" s="185"/>
      <c r="G488" s="185"/>
      <c r="H488" s="185"/>
      <c r="I488" s="186" t="s">
        <v>773</v>
      </c>
      <c r="J488" s="177" t="s">
        <v>274</v>
      </c>
      <c r="K488" s="210">
        <f>6300*10%</f>
        <v>630</v>
      </c>
      <c r="L488" s="189"/>
      <c r="M488" s="190"/>
    </row>
    <row r="489" spans="1:14" s="141" customFormat="1" x14ac:dyDescent="0.2">
      <c r="A489" s="182"/>
      <c r="B489" s="183"/>
      <c r="C489" s="184"/>
      <c r="D489" s="185"/>
      <c r="E489" s="185"/>
      <c r="F489" s="185"/>
      <c r="G489" s="185"/>
      <c r="H489" s="185"/>
      <c r="I489" s="192" t="s">
        <v>777</v>
      </c>
      <c r="J489" s="223" t="s">
        <v>709</v>
      </c>
      <c r="K489" s="217">
        <f>6300*10%</f>
        <v>630</v>
      </c>
      <c r="L489" s="189"/>
      <c r="M489" s="190"/>
    </row>
    <row r="490" spans="1:14" s="141" customFormat="1" x14ac:dyDescent="0.2">
      <c r="A490" s="182"/>
      <c r="B490" s="183"/>
      <c r="C490" s="184"/>
      <c r="D490" s="185"/>
      <c r="E490" s="185"/>
      <c r="F490" s="185"/>
      <c r="G490" s="185"/>
      <c r="H490" s="185"/>
      <c r="I490" s="176" t="s">
        <v>778</v>
      </c>
      <c r="J490" s="223" t="s">
        <v>274</v>
      </c>
      <c r="K490" s="217">
        <f>6300*10%</f>
        <v>630</v>
      </c>
      <c r="L490" s="189"/>
      <c r="M490" s="190"/>
    </row>
    <row r="491" spans="1:14" s="141" customFormat="1" x14ac:dyDescent="0.2">
      <c r="A491" s="193"/>
      <c r="B491" s="194"/>
      <c r="C491" s="195"/>
      <c r="D491" s="196"/>
      <c r="E491" s="196"/>
      <c r="F491" s="196"/>
      <c r="G491" s="196"/>
      <c r="H491" s="196"/>
      <c r="I491" s="206"/>
      <c r="J491" s="214"/>
      <c r="K491" s="218">
        <f>SUM(K487:K490)</f>
        <v>6300</v>
      </c>
      <c r="L491" s="200"/>
      <c r="M491" s="201"/>
    </row>
    <row r="492" spans="1:14" s="141" customFormat="1" x14ac:dyDescent="0.2">
      <c r="A492" s="172">
        <v>124</v>
      </c>
      <c r="B492" s="173" t="s">
        <v>779</v>
      </c>
      <c r="C492" s="174"/>
      <c r="D492" s="175" t="s">
        <v>163</v>
      </c>
      <c r="E492" s="175"/>
      <c r="F492" s="175"/>
      <c r="G492" s="175"/>
      <c r="H492" s="175"/>
      <c r="I492" s="228" t="s">
        <v>780</v>
      </c>
      <c r="J492" s="208" t="s">
        <v>274</v>
      </c>
      <c r="K492" s="216">
        <f>100000*50%</f>
        <v>50000</v>
      </c>
      <c r="L492" s="179" t="s">
        <v>166</v>
      </c>
      <c r="M492" s="180" t="s">
        <v>781</v>
      </c>
      <c r="N492" s="181"/>
    </row>
    <row r="493" spans="1:14" s="141" customFormat="1" x14ac:dyDescent="0.2">
      <c r="A493" s="182"/>
      <c r="B493" s="183"/>
      <c r="C493" s="184"/>
      <c r="D493" s="185"/>
      <c r="E493" s="185"/>
      <c r="F493" s="185"/>
      <c r="G493" s="185"/>
      <c r="H493" s="185"/>
      <c r="I493" s="192" t="s">
        <v>782</v>
      </c>
      <c r="J493" s="177" t="s">
        <v>711</v>
      </c>
      <c r="K493" s="240">
        <f>100000*10%</f>
        <v>10000</v>
      </c>
      <c r="L493" s="189"/>
      <c r="M493" s="190"/>
    </row>
    <row r="494" spans="1:14" s="141" customFormat="1" x14ac:dyDescent="0.2">
      <c r="A494" s="182"/>
      <c r="B494" s="183"/>
      <c r="C494" s="184"/>
      <c r="D494" s="185"/>
      <c r="E494" s="185"/>
      <c r="F494" s="185"/>
      <c r="G494" s="185"/>
      <c r="H494" s="185"/>
      <c r="I494" s="176" t="s">
        <v>783</v>
      </c>
      <c r="J494" s="223" t="s">
        <v>711</v>
      </c>
      <c r="K494" s="210">
        <f>100000*10%</f>
        <v>10000</v>
      </c>
      <c r="L494" s="189"/>
      <c r="M494" s="190"/>
    </row>
    <row r="495" spans="1:14" s="141" customFormat="1" x14ac:dyDescent="0.2">
      <c r="A495" s="182"/>
      <c r="B495" s="183"/>
      <c r="C495" s="184"/>
      <c r="D495" s="185"/>
      <c r="E495" s="185"/>
      <c r="F495" s="185"/>
      <c r="G495" s="185"/>
      <c r="H495" s="185"/>
      <c r="I495" s="186" t="s">
        <v>784</v>
      </c>
      <c r="J495" s="177" t="s">
        <v>711</v>
      </c>
      <c r="K495" s="211">
        <f>100000*10%</f>
        <v>10000</v>
      </c>
      <c r="L495" s="189"/>
      <c r="M495" s="190"/>
    </row>
    <row r="496" spans="1:14" s="141" customFormat="1" x14ac:dyDescent="0.2">
      <c r="A496" s="182"/>
      <c r="B496" s="183"/>
      <c r="C496" s="184"/>
      <c r="D496" s="185"/>
      <c r="E496" s="185"/>
      <c r="F496" s="185"/>
      <c r="G496" s="185"/>
      <c r="H496" s="185"/>
      <c r="I496" s="186" t="s">
        <v>785</v>
      </c>
      <c r="J496" s="223" t="s">
        <v>711</v>
      </c>
      <c r="K496" s="217">
        <f>100000*10%</f>
        <v>10000</v>
      </c>
      <c r="L496" s="189"/>
      <c r="M496" s="190"/>
    </row>
    <row r="497" spans="1:14" s="141" customFormat="1" x14ac:dyDescent="0.2">
      <c r="A497" s="182"/>
      <c r="B497" s="183"/>
      <c r="C497" s="184"/>
      <c r="D497" s="185"/>
      <c r="E497" s="185"/>
      <c r="F497" s="185"/>
      <c r="G497" s="185"/>
      <c r="H497" s="185"/>
      <c r="I497" s="192" t="s">
        <v>786</v>
      </c>
      <c r="J497" s="177" t="s">
        <v>572</v>
      </c>
      <c r="K497" s="211">
        <f>100000*5%</f>
        <v>5000</v>
      </c>
      <c r="L497" s="189"/>
      <c r="M497" s="190"/>
      <c r="N497" s="181"/>
    </row>
    <row r="498" spans="1:14" s="141" customFormat="1" x14ac:dyDescent="0.2">
      <c r="A498" s="182"/>
      <c r="B498" s="183"/>
      <c r="C498" s="184"/>
      <c r="D498" s="185"/>
      <c r="E498" s="185"/>
      <c r="F498" s="185"/>
      <c r="G498" s="185"/>
      <c r="H498" s="185"/>
      <c r="I498" s="192" t="s">
        <v>787</v>
      </c>
      <c r="J498" s="223" t="s">
        <v>572</v>
      </c>
      <c r="K498" s="213">
        <f>100000*5%</f>
        <v>5000</v>
      </c>
      <c r="L498" s="189"/>
      <c r="M498" s="190"/>
    </row>
    <row r="499" spans="1:14" s="141" customFormat="1" x14ac:dyDescent="0.2">
      <c r="A499" s="193"/>
      <c r="B499" s="194"/>
      <c r="C499" s="195"/>
      <c r="D499" s="196"/>
      <c r="E499" s="196"/>
      <c r="F499" s="196"/>
      <c r="G499" s="196"/>
      <c r="H499" s="196"/>
      <c r="I499" s="197"/>
      <c r="J499" s="214"/>
      <c r="K499" s="215">
        <f>SUM(K492:K498)</f>
        <v>100000</v>
      </c>
      <c r="L499" s="200"/>
      <c r="M499" s="201"/>
    </row>
    <row r="500" spans="1:14" s="141" customFormat="1" x14ac:dyDescent="0.2">
      <c r="A500" s="172">
        <v>125</v>
      </c>
      <c r="B500" s="173" t="s">
        <v>788</v>
      </c>
      <c r="C500" s="174"/>
      <c r="D500" s="175" t="s">
        <v>163</v>
      </c>
      <c r="E500" s="175"/>
      <c r="F500" s="175"/>
      <c r="G500" s="175"/>
      <c r="H500" s="175"/>
      <c r="I500" s="228" t="s">
        <v>789</v>
      </c>
      <c r="J500" s="177" t="s">
        <v>790</v>
      </c>
      <c r="K500" s="222">
        <f>154000*80%</f>
        <v>123200</v>
      </c>
      <c r="L500" s="179" t="s">
        <v>166</v>
      </c>
      <c r="M500" s="180" t="s">
        <v>791</v>
      </c>
    </row>
    <row r="501" spans="1:14" s="141" customFormat="1" x14ac:dyDescent="0.2">
      <c r="A501" s="182"/>
      <c r="B501" s="183"/>
      <c r="C501" s="184"/>
      <c r="D501" s="185"/>
      <c r="E501" s="185"/>
      <c r="F501" s="185"/>
      <c r="G501" s="185"/>
      <c r="H501" s="185"/>
      <c r="I501" s="176" t="s">
        <v>792</v>
      </c>
      <c r="J501" s="223" t="s">
        <v>365</v>
      </c>
      <c r="K501" s="213">
        <f>154000*5%</f>
        <v>7700</v>
      </c>
      <c r="L501" s="189"/>
      <c r="M501" s="190"/>
    </row>
    <row r="502" spans="1:14" s="141" customFormat="1" x14ac:dyDescent="0.2">
      <c r="A502" s="182"/>
      <c r="B502" s="183"/>
      <c r="C502" s="184"/>
      <c r="D502" s="185"/>
      <c r="E502" s="185"/>
      <c r="F502" s="185"/>
      <c r="G502" s="185"/>
      <c r="H502" s="185"/>
      <c r="I502" s="192" t="s">
        <v>793</v>
      </c>
      <c r="J502" s="177" t="s">
        <v>365</v>
      </c>
      <c r="K502" s="210">
        <f>154000*5%</f>
        <v>7700</v>
      </c>
      <c r="L502" s="189"/>
      <c r="M502" s="190"/>
    </row>
    <row r="503" spans="1:14" s="141" customFormat="1" x14ac:dyDescent="0.2">
      <c r="A503" s="182"/>
      <c r="B503" s="183"/>
      <c r="C503" s="184"/>
      <c r="D503" s="185"/>
      <c r="E503" s="185"/>
      <c r="F503" s="185"/>
      <c r="G503" s="185"/>
      <c r="H503" s="185"/>
      <c r="I503" s="192" t="s">
        <v>794</v>
      </c>
      <c r="J503" s="223" t="s">
        <v>365</v>
      </c>
      <c r="K503" s="213">
        <f>154000*5%</f>
        <v>7700</v>
      </c>
      <c r="L503" s="189"/>
      <c r="M503" s="190"/>
    </row>
    <row r="504" spans="1:14" s="141" customFormat="1" x14ac:dyDescent="0.2">
      <c r="A504" s="182"/>
      <c r="B504" s="183"/>
      <c r="C504" s="184"/>
      <c r="D504" s="185"/>
      <c r="E504" s="185"/>
      <c r="F504" s="185"/>
      <c r="G504" s="185"/>
      <c r="H504" s="185"/>
      <c r="I504" s="176" t="s">
        <v>795</v>
      </c>
      <c r="J504" s="223" t="s">
        <v>790</v>
      </c>
      <c r="K504" s="210">
        <f>154000*5%</f>
        <v>7700</v>
      </c>
      <c r="L504" s="189"/>
      <c r="M504" s="190"/>
    </row>
    <row r="505" spans="1:14" s="141" customFormat="1" x14ac:dyDescent="0.2">
      <c r="A505" s="193"/>
      <c r="B505" s="194"/>
      <c r="C505" s="195"/>
      <c r="D505" s="196"/>
      <c r="E505" s="196"/>
      <c r="F505" s="196"/>
      <c r="G505" s="196"/>
      <c r="H505" s="196"/>
      <c r="I505" s="206"/>
      <c r="J505" s="226"/>
      <c r="K505" s="227">
        <f>SUM(K500:K504)</f>
        <v>154000</v>
      </c>
      <c r="L505" s="200"/>
      <c r="M505" s="201"/>
    </row>
    <row r="506" spans="1:14" s="141" customFormat="1" ht="21.75" customHeight="1" x14ac:dyDescent="0.2">
      <c r="A506" s="172">
        <v>126</v>
      </c>
      <c r="B506" s="173" t="s">
        <v>796</v>
      </c>
      <c r="C506" s="174"/>
      <c r="D506" s="175" t="s">
        <v>25</v>
      </c>
      <c r="E506" s="175"/>
      <c r="F506" s="175"/>
      <c r="G506" s="175" t="s">
        <v>797</v>
      </c>
      <c r="H506" s="175" t="s">
        <v>361</v>
      </c>
      <c r="I506" s="354" t="s">
        <v>798</v>
      </c>
      <c r="J506" s="202" t="s">
        <v>790</v>
      </c>
      <c r="K506" s="285">
        <f>2068000*80%</f>
        <v>1654400</v>
      </c>
      <c r="L506" s="180" t="s">
        <v>799</v>
      </c>
      <c r="M506" s="180" t="s">
        <v>800</v>
      </c>
    </row>
    <row r="507" spans="1:14" s="141" customFormat="1" x14ac:dyDescent="0.2">
      <c r="A507" s="182"/>
      <c r="B507" s="183"/>
      <c r="C507" s="184"/>
      <c r="D507" s="185"/>
      <c r="E507" s="185"/>
      <c r="F507" s="185"/>
      <c r="G507" s="185"/>
      <c r="H507" s="185"/>
      <c r="I507" s="355" t="s">
        <v>801</v>
      </c>
      <c r="J507" s="187" t="s">
        <v>367</v>
      </c>
      <c r="K507" s="285">
        <f>K509*10%</f>
        <v>206800</v>
      </c>
      <c r="L507" s="190"/>
      <c r="M507" s="190"/>
      <c r="N507" s="181"/>
    </row>
    <row r="508" spans="1:14" s="141" customFormat="1" x14ac:dyDescent="0.2">
      <c r="A508" s="182"/>
      <c r="B508" s="183"/>
      <c r="C508" s="184"/>
      <c r="D508" s="185"/>
      <c r="E508" s="185"/>
      <c r="F508" s="185"/>
      <c r="G508" s="185"/>
      <c r="H508" s="185"/>
      <c r="I508" s="356" t="s">
        <v>802</v>
      </c>
      <c r="J508" s="177" t="s">
        <v>367</v>
      </c>
      <c r="K508" s="285">
        <f>K509*10%</f>
        <v>206800</v>
      </c>
      <c r="L508" s="190"/>
      <c r="M508" s="190"/>
    </row>
    <row r="509" spans="1:14" s="141" customFormat="1" ht="25.5" customHeight="1" x14ac:dyDescent="0.2">
      <c r="A509" s="193"/>
      <c r="B509" s="194"/>
      <c r="C509" s="195"/>
      <c r="D509" s="196"/>
      <c r="E509" s="196"/>
      <c r="F509" s="196"/>
      <c r="G509" s="196"/>
      <c r="H509" s="196"/>
      <c r="I509" s="357"/>
      <c r="J509" s="198"/>
      <c r="K509" s="285">
        <v>2068000</v>
      </c>
      <c r="L509" s="201"/>
      <c r="M509" s="201"/>
    </row>
    <row r="510" spans="1:14" s="141" customFormat="1" ht="25.5" customHeight="1" x14ac:dyDescent="0.2">
      <c r="A510" s="358">
        <v>127</v>
      </c>
      <c r="B510" s="173" t="s">
        <v>803</v>
      </c>
      <c r="C510" s="174"/>
      <c r="D510" s="263" t="s">
        <v>107</v>
      </c>
      <c r="E510" s="175"/>
      <c r="F510" s="175"/>
      <c r="G510" s="175"/>
      <c r="H510" s="175"/>
      <c r="I510" s="228" t="s">
        <v>804</v>
      </c>
      <c r="J510" s="177" t="s">
        <v>274</v>
      </c>
      <c r="K510" s="222">
        <f>6300*60%</f>
        <v>3780</v>
      </c>
      <c r="L510" s="179" t="s">
        <v>111</v>
      </c>
      <c r="M510" s="180" t="s">
        <v>805</v>
      </c>
    </row>
    <row r="511" spans="1:14" s="141" customFormat="1" ht="25.5" customHeight="1" x14ac:dyDescent="0.2">
      <c r="A511" s="358"/>
      <c r="B511" s="183"/>
      <c r="C511" s="184"/>
      <c r="D511" s="255"/>
      <c r="E511" s="185"/>
      <c r="F511" s="185"/>
      <c r="G511" s="185"/>
      <c r="H511" s="185"/>
      <c r="I511" s="176" t="s">
        <v>806</v>
      </c>
      <c r="J511" s="223" t="s">
        <v>274</v>
      </c>
      <c r="K511" s="210">
        <f>6300*10%</f>
        <v>630</v>
      </c>
      <c r="L511" s="189"/>
      <c r="M511" s="190"/>
    </row>
    <row r="512" spans="1:14" s="141" customFormat="1" ht="25.5" customHeight="1" x14ac:dyDescent="0.2">
      <c r="A512" s="358"/>
      <c r="B512" s="183"/>
      <c r="C512" s="184"/>
      <c r="D512" s="255"/>
      <c r="E512" s="185"/>
      <c r="F512" s="185"/>
      <c r="G512" s="185"/>
      <c r="H512" s="185"/>
      <c r="I512" s="192" t="s">
        <v>767</v>
      </c>
      <c r="J512" s="223" t="s">
        <v>274</v>
      </c>
      <c r="K512" s="217">
        <f>6300*10%</f>
        <v>630</v>
      </c>
      <c r="L512" s="189"/>
      <c r="M512" s="190"/>
    </row>
    <row r="513" spans="1:14" s="141" customFormat="1" ht="25.5" customHeight="1" x14ac:dyDescent="0.2">
      <c r="A513" s="358"/>
      <c r="B513" s="183"/>
      <c r="C513" s="184"/>
      <c r="D513" s="255"/>
      <c r="E513" s="185"/>
      <c r="F513" s="185"/>
      <c r="G513" s="185"/>
      <c r="H513" s="185"/>
      <c r="I513" s="192" t="s">
        <v>807</v>
      </c>
      <c r="J513" s="223" t="s">
        <v>274</v>
      </c>
      <c r="K513" s="217">
        <f>6300*10%</f>
        <v>630</v>
      </c>
      <c r="L513" s="189"/>
      <c r="M513" s="190"/>
    </row>
    <row r="514" spans="1:14" s="141" customFormat="1" ht="25.5" customHeight="1" x14ac:dyDescent="0.2">
      <c r="A514" s="358"/>
      <c r="B514" s="183"/>
      <c r="C514" s="184"/>
      <c r="D514" s="255"/>
      <c r="E514" s="185"/>
      <c r="F514" s="185"/>
      <c r="G514" s="185"/>
      <c r="H514" s="185"/>
      <c r="I514" s="192" t="s">
        <v>808</v>
      </c>
      <c r="J514" s="315" t="s">
        <v>274</v>
      </c>
      <c r="K514" s="217">
        <f>6300*10%</f>
        <v>630</v>
      </c>
      <c r="L514" s="189"/>
      <c r="M514" s="190"/>
    </row>
    <row r="515" spans="1:14" s="141" customFormat="1" ht="25.5" customHeight="1" x14ac:dyDescent="0.2">
      <c r="A515" s="358"/>
      <c r="B515" s="194"/>
      <c r="C515" s="195"/>
      <c r="D515" s="256"/>
      <c r="E515" s="196"/>
      <c r="F515" s="196"/>
      <c r="G515" s="196"/>
      <c r="H515" s="196"/>
      <c r="I515" s="197"/>
      <c r="J515" s="226"/>
      <c r="K515" s="227">
        <f>SUM(K510:K514)</f>
        <v>6300</v>
      </c>
      <c r="L515" s="200"/>
      <c r="M515" s="201"/>
    </row>
    <row r="516" spans="1:14" s="141" customFormat="1" ht="25.5" customHeight="1" x14ac:dyDescent="0.2">
      <c r="A516" s="358">
        <v>128</v>
      </c>
      <c r="B516" s="173" t="s">
        <v>809</v>
      </c>
      <c r="C516" s="174"/>
      <c r="D516" s="263" t="s">
        <v>107</v>
      </c>
      <c r="E516" s="175"/>
      <c r="F516" s="175"/>
      <c r="G516" s="175"/>
      <c r="H516" s="175"/>
      <c r="I516" s="228" t="s">
        <v>810</v>
      </c>
      <c r="J516" s="208" t="s">
        <v>274</v>
      </c>
      <c r="K516" s="216">
        <f>10500*80%</f>
        <v>8400</v>
      </c>
      <c r="L516" s="179" t="s">
        <v>111</v>
      </c>
      <c r="M516" s="180" t="s">
        <v>811</v>
      </c>
    </row>
    <row r="517" spans="1:14" s="141" customFormat="1" ht="25.5" customHeight="1" x14ac:dyDescent="0.2">
      <c r="A517" s="358"/>
      <c r="B517" s="183"/>
      <c r="C517" s="184"/>
      <c r="D517" s="255"/>
      <c r="E517" s="185"/>
      <c r="F517" s="185"/>
      <c r="G517" s="185"/>
      <c r="H517" s="185"/>
      <c r="I517" s="192" t="s">
        <v>812</v>
      </c>
      <c r="J517" s="177" t="s">
        <v>592</v>
      </c>
      <c r="K517" s="211">
        <f>10500*20%</f>
        <v>2100</v>
      </c>
      <c r="L517" s="189"/>
      <c r="M517" s="190"/>
    </row>
    <row r="518" spans="1:14" s="141" customFormat="1" ht="25.5" customHeight="1" x14ac:dyDescent="0.2">
      <c r="A518" s="358"/>
      <c r="B518" s="194"/>
      <c r="C518" s="195"/>
      <c r="D518" s="256"/>
      <c r="E518" s="196"/>
      <c r="F518" s="196"/>
      <c r="G518" s="196"/>
      <c r="H518" s="196"/>
      <c r="I518" s="197"/>
      <c r="J518" s="214"/>
      <c r="K518" s="218">
        <f>SUM(K516:K517)</f>
        <v>10500</v>
      </c>
      <c r="L518" s="200"/>
      <c r="M518" s="201"/>
    </row>
    <row r="519" spans="1:14" s="141" customFormat="1" ht="25.5" customHeight="1" x14ac:dyDescent="0.2">
      <c r="A519" s="358">
        <v>129</v>
      </c>
      <c r="B519" s="173" t="s">
        <v>813</v>
      </c>
      <c r="C519" s="174"/>
      <c r="D519" s="263" t="s">
        <v>107</v>
      </c>
      <c r="E519" s="175"/>
      <c r="F519" s="175"/>
      <c r="G519" s="175"/>
      <c r="H519" s="175"/>
      <c r="I519" s="176" t="s">
        <v>814</v>
      </c>
      <c r="J519" s="208" t="s">
        <v>274</v>
      </c>
      <c r="K519" s="216">
        <f>18000*10%</f>
        <v>1800</v>
      </c>
      <c r="L519" s="179" t="s">
        <v>111</v>
      </c>
      <c r="M519" s="180" t="s">
        <v>815</v>
      </c>
    </row>
    <row r="520" spans="1:14" s="141" customFormat="1" ht="25.5" customHeight="1" x14ac:dyDescent="0.2">
      <c r="A520" s="358"/>
      <c r="B520" s="183"/>
      <c r="C520" s="184"/>
      <c r="D520" s="255"/>
      <c r="E520" s="185"/>
      <c r="F520" s="185"/>
      <c r="G520" s="185"/>
      <c r="H520" s="185"/>
      <c r="I520" s="192" t="s">
        <v>816</v>
      </c>
      <c r="J520" s="315" t="s">
        <v>274</v>
      </c>
      <c r="K520" s="213">
        <f>18000*10%</f>
        <v>1800</v>
      </c>
      <c r="L520" s="189"/>
      <c r="M520" s="190"/>
    </row>
    <row r="521" spans="1:14" s="141" customFormat="1" ht="25.5" customHeight="1" x14ac:dyDescent="0.2">
      <c r="A521" s="358"/>
      <c r="B521" s="183"/>
      <c r="C521" s="184"/>
      <c r="D521" s="255"/>
      <c r="E521" s="185"/>
      <c r="F521" s="185"/>
      <c r="G521" s="185"/>
      <c r="H521" s="185"/>
      <c r="I521" s="176" t="s">
        <v>817</v>
      </c>
      <c r="J521" s="177" t="s">
        <v>818</v>
      </c>
      <c r="K521" s="240">
        <f>18000*10%</f>
        <v>1800</v>
      </c>
      <c r="L521" s="189"/>
      <c r="M521" s="190"/>
      <c r="N521" s="181"/>
    </row>
    <row r="522" spans="1:14" s="141" customFormat="1" ht="25.5" customHeight="1" x14ac:dyDescent="0.2">
      <c r="A522" s="358"/>
      <c r="B522" s="183"/>
      <c r="C522" s="184"/>
      <c r="D522" s="255"/>
      <c r="E522" s="185"/>
      <c r="F522" s="185"/>
      <c r="G522" s="185"/>
      <c r="H522" s="185"/>
      <c r="I522" s="192" t="s">
        <v>819</v>
      </c>
      <c r="J522" s="223" t="s">
        <v>818</v>
      </c>
      <c r="K522" s="210">
        <f>18000*10%</f>
        <v>1800</v>
      </c>
      <c r="L522" s="189"/>
      <c r="M522" s="190"/>
    </row>
    <row r="523" spans="1:14" s="141" customFormat="1" ht="25.5" customHeight="1" x14ac:dyDescent="0.2">
      <c r="A523" s="358"/>
      <c r="B523" s="183"/>
      <c r="C523" s="184"/>
      <c r="D523" s="255"/>
      <c r="E523" s="185"/>
      <c r="F523" s="185"/>
      <c r="G523" s="185"/>
      <c r="H523" s="185"/>
      <c r="I523" s="176" t="s">
        <v>820</v>
      </c>
      <c r="J523" s="177" t="s">
        <v>274</v>
      </c>
      <c r="K523" s="211">
        <f>18000*50%</f>
        <v>9000</v>
      </c>
      <c r="L523" s="189"/>
      <c r="M523" s="190"/>
    </row>
    <row r="524" spans="1:14" s="141" customFormat="1" ht="25.5" customHeight="1" x14ac:dyDescent="0.2">
      <c r="A524" s="358"/>
      <c r="B524" s="183"/>
      <c r="C524" s="184"/>
      <c r="D524" s="255"/>
      <c r="E524" s="185"/>
      <c r="F524" s="185"/>
      <c r="G524" s="185"/>
      <c r="H524" s="185"/>
      <c r="I524" s="186" t="s">
        <v>821</v>
      </c>
      <c r="J524" s="223" t="s">
        <v>818</v>
      </c>
      <c r="K524" s="217">
        <f>18000*10%</f>
        <v>1800</v>
      </c>
      <c r="L524" s="189"/>
      <c r="M524" s="190"/>
    </row>
    <row r="525" spans="1:14" s="141" customFormat="1" ht="25.5" customHeight="1" x14ac:dyDescent="0.2">
      <c r="A525" s="358"/>
      <c r="B525" s="194"/>
      <c r="C525" s="195"/>
      <c r="D525" s="256"/>
      <c r="E525" s="196"/>
      <c r="F525" s="196"/>
      <c r="G525" s="196"/>
      <c r="H525" s="196"/>
      <c r="I525" s="206"/>
      <c r="J525" s="226"/>
      <c r="K525" s="227">
        <f>SUM(K519:K524)</f>
        <v>18000</v>
      </c>
      <c r="L525" s="200"/>
      <c r="M525" s="201"/>
    </row>
    <row r="526" spans="1:14" s="141" customFormat="1" x14ac:dyDescent="0.2">
      <c r="A526" s="263">
        <v>130</v>
      </c>
      <c r="B526" s="359" t="s">
        <v>822</v>
      </c>
      <c r="C526" s="360"/>
      <c r="D526" s="175" t="s">
        <v>25</v>
      </c>
      <c r="E526" s="175"/>
      <c r="F526" s="175"/>
      <c r="G526" s="175" t="s">
        <v>823</v>
      </c>
      <c r="H526" s="175" t="s">
        <v>361</v>
      </c>
      <c r="I526" s="361" t="s">
        <v>824</v>
      </c>
      <c r="J526" s="361" t="s">
        <v>367</v>
      </c>
      <c r="K526" s="276">
        <f>86450000*70%</f>
        <v>60514999.999999993</v>
      </c>
      <c r="L526" s="338" t="s">
        <v>823</v>
      </c>
      <c r="M526" s="180" t="s">
        <v>825</v>
      </c>
    </row>
    <row r="527" spans="1:14" s="141" customFormat="1" x14ac:dyDescent="0.2">
      <c r="A527" s="255"/>
      <c r="B527" s="362"/>
      <c r="C527" s="363"/>
      <c r="D527" s="185"/>
      <c r="E527" s="185"/>
      <c r="F527" s="185"/>
      <c r="G527" s="185"/>
      <c r="H527" s="185"/>
      <c r="I527" s="364" t="s">
        <v>826</v>
      </c>
      <c r="J527" s="364" t="s">
        <v>196</v>
      </c>
      <c r="K527" s="225">
        <f>86450000*30%</f>
        <v>25935000</v>
      </c>
      <c r="L527" s="365"/>
      <c r="M527" s="190"/>
      <c r="N527" s="181"/>
    </row>
    <row r="528" spans="1:14" s="141" customFormat="1" x14ac:dyDescent="0.2">
      <c r="A528" s="255"/>
      <c r="B528" s="362"/>
      <c r="C528" s="363"/>
      <c r="D528" s="185"/>
      <c r="E528" s="185"/>
      <c r="F528" s="185"/>
      <c r="G528" s="185"/>
      <c r="H528" s="185"/>
      <c r="I528" s="357"/>
      <c r="J528" s="357"/>
      <c r="K528" s="261">
        <f>SUM(K526:K527)</f>
        <v>86450000</v>
      </c>
      <c r="L528" s="365"/>
      <c r="M528" s="190"/>
    </row>
    <row r="529" spans="1:13" s="141" customFormat="1" x14ac:dyDescent="0.2">
      <c r="A529" s="172">
        <v>131</v>
      </c>
      <c r="B529" s="173" t="s">
        <v>827</v>
      </c>
      <c r="C529" s="174"/>
      <c r="D529" s="175" t="s">
        <v>107</v>
      </c>
      <c r="E529" s="175"/>
      <c r="F529" s="175"/>
      <c r="G529" s="175"/>
      <c r="H529" s="175"/>
      <c r="I529" s="176" t="s">
        <v>828</v>
      </c>
      <c r="J529" s="177" t="s">
        <v>829</v>
      </c>
      <c r="K529" s="216">
        <f>7500*25%</f>
        <v>1875</v>
      </c>
      <c r="L529" s="179" t="s">
        <v>111</v>
      </c>
      <c r="M529" s="180" t="s">
        <v>830</v>
      </c>
    </row>
    <row r="530" spans="1:13" s="141" customFormat="1" x14ac:dyDescent="0.2">
      <c r="A530" s="182"/>
      <c r="B530" s="183"/>
      <c r="C530" s="184"/>
      <c r="D530" s="185"/>
      <c r="E530" s="185"/>
      <c r="F530" s="185"/>
      <c r="G530" s="185"/>
      <c r="H530" s="185"/>
      <c r="I530" s="192" t="s">
        <v>831</v>
      </c>
      <c r="J530" s="223" t="s">
        <v>829</v>
      </c>
      <c r="K530" s="217">
        <f>7500*25%</f>
        <v>1875</v>
      </c>
      <c r="L530" s="189"/>
      <c r="M530" s="190"/>
    </row>
    <row r="531" spans="1:13" s="141" customFormat="1" x14ac:dyDescent="0.2">
      <c r="A531" s="182"/>
      <c r="B531" s="183"/>
      <c r="C531" s="184"/>
      <c r="D531" s="185"/>
      <c r="E531" s="185"/>
      <c r="F531" s="185"/>
      <c r="G531" s="185"/>
      <c r="H531" s="185"/>
      <c r="I531" s="192" t="s">
        <v>832</v>
      </c>
      <c r="J531" s="177" t="s">
        <v>592</v>
      </c>
      <c r="K531" s="211">
        <f>7500*25%</f>
        <v>1875</v>
      </c>
      <c r="L531" s="189"/>
      <c r="M531" s="190"/>
    </row>
    <row r="532" spans="1:13" s="141" customFormat="1" x14ac:dyDescent="0.2">
      <c r="A532" s="182"/>
      <c r="B532" s="183"/>
      <c r="C532" s="184"/>
      <c r="D532" s="185"/>
      <c r="E532" s="185"/>
      <c r="F532" s="185"/>
      <c r="G532" s="185"/>
      <c r="H532" s="185"/>
      <c r="I532" s="176" t="s">
        <v>833</v>
      </c>
      <c r="J532" s="223" t="s">
        <v>592</v>
      </c>
      <c r="K532" s="213">
        <f>7500*15%</f>
        <v>1125</v>
      </c>
      <c r="L532" s="189"/>
      <c r="M532" s="190"/>
    </row>
    <row r="533" spans="1:13" s="141" customFormat="1" x14ac:dyDescent="0.2">
      <c r="A533" s="182"/>
      <c r="B533" s="183"/>
      <c r="C533" s="184"/>
      <c r="D533" s="185"/>
      <c r="E533" s="185"/>
      <c r="F533" s="185"/>
      <c r="G533" s="185"/>
      <c r="H533" s="185"/>
      <c r="I533" s="192" t="s">
        <v>834</v>
      </c>
      <c r="J533" s="223" t="s">
        <v>592</v>
      </c>
      <c r="K533" s="210">
        <f>7500*10%</f>
        <v>750</v>
      </c>
      <c r="L533" s="189"/>
      <c r="M533" s="190"/>
    </row>
    <row r="534" spans="1:13" s="141" customFormat="1" x14ac:dyDescent="0.2">
      <c r="A534" s="193"/>
      <c r="B534" s="194"/>
      <c r="C534" s="195"/>
      <c r="D534" s="196"/>
      <c r="E534" s="196"/>
      <c r="F534" s="196"/>
      <c r="G534" s="196"/>
      <c r="H534" s="196"/>
      <c r="I534" s="197"/>
      <c r="J534" s="226"/>
      <c r="K534" s="227">
        <f>SUM(K529:K533)</f>
        <v>7500</v>
      </c>
      <c r="L534" s="200"/>
      <c r="M534" s="201"/>
    </row>
    <row r="535" spans="1:13" s="141" customFormat="1" x14ac:dyDescent="0.2">
      <c r="A535" s="172">
        <v>132</v>
      </c>
      <c r="B535" s="173" t="s">
        <v>835</v>
      </c>
      <c r="C535" s="174"/>
      <c r="D535" s="175" t="s">
        <v>107</v>
      </c>
      <c r="E535" s="175"/>
      <c r="F535" s="175"/>
      <c r="G535" s="175"/>
      <c r="H535" s="175"/>
      <c r="I535" s="228" t="s">
        <v>836</v>
      </c>
      <c r="J535" s="177" t="s">
        <v>829</v>
      </c>
      <c r="K535" s="216">
        <f>6000*50%</f>
        <v>3000</v>
      </c>
      <c r="L535" s="179" t="s">
        <v>111</v>
      </c>
      <c r="M535" s="180" t="s">
        <v>837</v>
      </c>
    </row>
    <row r="536" spans="1:13" s="141" customFormat="1" x14ac:dyDescent="0.2">
      <c r="A536" s="182"/>
      <c r="B536" s="183"/>
      <c r="C536" s="184"/>
      <c r="D536" s="185"/>
      <c r="E536" s="185"/>
      <c r="F536" s="185"/>
      <c r="G536" s="185"/>
      <c r="H536" s="185"/>
      <c r="I536" s="176" t="s">
        <v>838</v>
      </c>
      <c r="J536" s="223" t="s">
        <v>829</v>
      </c>
      <c r="K536" s="217">
        <f>6000*5%</f>
        <v>300</v>
      </c>
      <c r="L536" s="189"/>
      <c r="M536" s="190"/>
    </row>
    <row r="537" spans="1:13" s="141" customFormat="1" x14ac:dyDescent="0.2">
      <c r="A537" s="182"/>
      <c r="B537" s="183"/>
      <c r="C537" s="184"/>
      <c r="D537" s="185"/>
      <c r="E537" s="185"/>
      <c r="F537" s="185"/>
      <c r="G537" s="185"/>
      <c r="H537" s="185"/>
      <c r="I537" s="192" t="s">
        <v>655</v>
      </c>
      <c r="J537" s="223" t="s">
        <v>829</v>
      </c>
      <c r="K537" s="217">
        <f>6000*15%</f>
        <v>900</v>
      </c>
      <c r="L537" s="189"/>
      <c r="M537" s="190"/>
    </row>
    <row r="538" spans="1:13" s="141" customFormat="1" x14ac:dyDescent="0.2">
      <c r="A538" s="182"/>
      <c r="B538" s="183"/>
      <c r="C538" s="184"/>
      <c r="D538" s="185"/>
      <c r="E538" s="185"/>
      <c r="F538" s="185"/>
      <c r="G538" s="185"/>
      <c r="H538" s="185"/>
      <c r="I538" s="192" t="s">
        <v>839</v>
      </c>
      <c r="J538" s="177" t="s">
        <v>829</v>
      </c>
      <c r="K538" s="211">
        <f>6000*5%</f>
        <v>300</v>
      </c>
      <c r="L538" s="189"/>
      <c r="M538" s="190"/>
    </row>
    <row r="539" spans="1:13" s="141" customFormat="1" x14ac:dyDescent="0.2">
      <c r="A539" s="182"/>
      <c r="B539" s="183"/>
      <c r="C539" s="184"/>
      <c r="D539" s="185"/>
      <c r="E539" s="185"/>
      <c r="F539" s="185"/>
      <c r="G539" s="185"/>
      <c r="H539" s="185"/>
      <c r="I539" s="192" t="s">
        <v>840</v>
      </c>
      <c r="J539" s="223" t="s">
        <v>829</v>
      </c>
      <c r="K539" s="213">
        <f>6000*5%</f>
        <v>300</v>
      </c>
      <c r="L539" s="189"/>
      <c r="M539" s="190"/>
    </row>
    <row r="540" spans="1:13" s="141" customFormat="1" x14ac:dyDescent="0.2">
      <c r="A540" s="182"/>
      <c r="B540" s="183"/>
      <c r="C540" s="184"/>
      <c r="D540" s="185"/>
      <c r="E540" s="185"/>
      <c r="F540" s="185"/>
      <c r="G540" s="185"/>
      <c r="H540" s="185"/>
      <c r="I540" s="192" t="s">
        <v>841</v>
      </c>
      <c r="J540" s="177" t="s">
        <v>829</v>
      </c>
      <c r="K540" s="210">
        <f>6000*15%</f>
        <v>900</v>
      </c>
      <c r="L540" s="189"/>
      <c r="M540" s="190"/>
    </row>
    <row r="541" spans="1:13" s="141" customFormat="1" x14ac:dyDescent="0.2">
      <c r="A541" s="182"/>
      <c r="B541" s="183"/>
      <c r="C541" s="184"/>
      <c r="D541" s="185"/>
      <c r="E541" s="185"/>
      <c r="F541" s="185"/>
      <c r="G541" s="185"/>
      <c r="H541" s="185"/>
      <c r="I541" s="192" t="s">
        <v>842</v>
      </c>
      <c r="J541" s="223" t="s">
        <v>829</v>
      </c>
      <c r="K541" s="213">
        <f>6000*5%</f>
        <v>300</v>
      </c>
      <c r="L541" s="189"/>
      <c r="M541" s="190"/>
    </row>
    <row r="542" spans="1:13" s="141" customFormat="1" x14ac:dyDescent="0.2">
      <c r="A542" s="193"/>
      <c r="B542" s="194"/>
      <c r="C542" s="195"/>
      <c r="D542" s="196"/>
      <c r="E542" s="196"/>
      <c r="F542" s="196"/>
      <c r="G542" s="196"/>
      <c r="H542" s="196"/>
      <c r="I542" s="197"/>
      <c r="J542" s="214"/>
      <c r="K542" s="215">
        <f>SUM(K535:K541)</f>
        <v>6000</v>
      </c>
      <c r="L542" s="200"/>
      <c r="M542" s="201"/>
    </row>
    <row r="543" spans="1:13" s="141" customFormat="1" x14ac:dyDescent="0.2">
      <c r="A543" s="172">
        <v>133</v>
      </c>
      <c r="B543" s="173" t="s">
        <v>843</v>
      </c>
      <c r="C543" s="174"/>
      <c r="D543" s="175" t="s">
        <v>107</v>
      </c>
      <c r="E543" s="175"/>
      <c r="F543" s="175"/>
      <c r="G543" s="175"/>
      <c r="H543" s="175"/>
      <c r="I543" s="228" t="s">
        <v>844</v>
      </c>
      <c r="J543" s="208" t="s">
        <v>829</v>
      </c>
      <c r="K543" s="216">
        <f>7000*50%</f>
        <v>3500</v>
      </c>
      <c r="L543" s="179" t="s">
        <v>111</v>
      </c>
      <c r="M543" s="180" t="s">
        <v>845</v>
      </c>
    </row>
    <row r="544" spans="1:13" s="141" customFormat="1" x14ac:dyDescent="0.2">
      <c r="A544" s="182"/>
      <c r="B544" s="183"/>
      <c r="C544" s="184"/>
      <c r="D544" s="185"/>
      <c r="E544" s="185"/>
      <c r="F544" s="185"/>
      <c r="G544" s="185"/>
      <c r="H544" s="185"/>
      <c r="I544" s="176" t="s">
        <v>846</v>
      </c>
      <c r="J544" s="177" t="s">
        <v>829</v>
      </c>
      <c r="K544" s="240">
        <f>7000*19%</f>
        <v>1330</v>
      </c>
      <c r="L544" s="189"/>
      <c r="M544" s="190"/>
    </row>
    <row r="545" spans="1:13" s="141" customFormat="1" x14ac:dyDescent="0.2">
      <c r="A545" s="182"/>
      <c r="B545" s="183"/>
      <c r="C545" s="184"/>
      <c r="D545" s="185"/>
      <c r="E545" s="185"/>
      <c r="F545" s="185"/>
      <c r="G545" s="185"/>
      <c r="H545" s="185"/>
      <c r="I545" s="186" t="s">
        <v>842</v>
      </c>
      <c r="J545" s="223" t="s">
        <v>829</v>
      </c>
      <c r="K545" s="217">
        <f>7000*5%</f>
        <v>350</v>
      </c>
      <c r="L545" s="189"/>
      <c r="M545" s="190"/>
    </row>
    <row r="546" spans="1:13" s="141" customFormat="1" x14ac:dyDescent="0.2">
      <c r="A546" s="182"/>
      <c r="B546" s="183"/>
      <c r="C546" s="184"/>
      <c r="D546" s="185"/>
      <c r="E546" s="185"/>
      <c r="F546" s="185"/>
      <c r="G546" s="185"/>
      <c r="H546" s="185"/>
      <c r="I546" s="186" t="s">
        <v>847</v>
      </c>
      <c r="J546" s="177" t="s">
        <v>378</v>
      </c>
      <c r="K546" s="240">
        <f>7000*3%</f>
        <v>210</v>
      </c>
      <c r="L546" s="189"/>
      <c r="M546" s="190"/>
    </row>
    <row r="547" spans="1:13" s="141" customFormat="1" x14ac:dyDescent="0.2">
      <c r="A547" s="182"/>
      <c r="B547" s="183"/>
      <c r="C547" s="184"/>
      <c r="D547" s="185"/>
      <c r="E547" s="185"/>
      <c r="F547" s="185"/>
      <c r="G547" s="185"/>
      <c r="H547" s="185"/>
      <c r="I547" s="186" t="s">
        <v>838</v>
      </c>
      <c r="J547" s="223" t="s">
        <v>829</v>
      </c>
      <c r="K547" s="213">
        <f>7000*5%</f>
        <v>350</v>
      </c>
      <c r="L547" s="189"/>
      <c r="M547" s="190"/>
    </row>
    <row r="548" spans="1:13" s="141" customFormat="1" x14ac:dyDescent="0.2">
      <c r="A548" s="182"/>
      <c r="B548" s="183"/>
      <c r="C548" s="184"/>
      <c r="D548" s="185"/>
      <c r="E548" s="185"/>
      <c r="F548" s="185"/>
      <c r="G548" s="185"/>
      <c r="H548" s="185"/>
      <c r="I548" s="192" t="s">
        <v>848</v>
      </c>
      <c r="J548" s="223" t="s">
        <v>829</v>
      </c>
      <c r="K548" s="213">
        <f>7000*5%</f>
        <v>350</v>
      </c>
      <c r="L548" s="189"/>
      <c r="M548" s="190"/>
    </row>
    <row r="549" spans="1:13" s="141" customFormat="1" x14ac:dyDescent="0.2">
      <c r="A549" s="182"/>
      <c r="B549" s="183"/>
      <c r="C549" s="184"/>
      <c r="D549" s="185"/>
      <c r="E549" s="185"/>
      <c r="F549" s="185"/>
      <c r="G549" s="185"/>
      <c r="H549" s="185"/>
      <c r="I549" s="176" t="s">
        <v>840</v>
      </c>
      <c r="J549" s="223" t="s">
        <v>829</v>
      </c>
      <c r="K549" s="210">
        <f>7000*5%</f>
        <v>350</v>
      </c>
      <c r="L549" s="189"/>
      <c r="M549" s="190"/>
    </row>
    <row r="550" spans="1:13" s="141" customFormat="1" x14ac:dyDescent="0.2">
      <c r="A550" s="182"/>
      <c r="B550" s="183"/>
      <c r="C550" s="184"/>
      <c r="D550" s="185"/>
      <c r="E550" s="185"/>
      <c r="F550" s="185"/>
      <c r="G550" s="185"/>
      <c r="H550" s="185"/>
      <c r="I550" s="192" t="s">
        <v>839</v>
      </c>
      <c r="J550" s="177" t="s">
        <v>829</v>
      </c>
      <c r="K550" s="240">
        <f>7000*5%</f>
        <v>350</v>
      </c>
      <c r="L550" s="189"/>
      <c r="M550" s="190"/>
    </row>
    <row r="551" spans="1:13" s="141" customFormat="1" x14ac:dyDescent="0.2">
      <c r="A551" s="182"/>
      <c r="B551" s="183"/>
      <c r="C551" s="184"/>
      <c r="D551" s="185"/>
      <c r="E551" s="185"/>
      <c r="F551" s="185"/>
      <c r="G551" s="185"/>
      <c r="H551" s="185"/>
      <c r="I551" s="192" t="s">
        <v>849</v>
      </c>
      <c r="J551" s="223" t="s">
        <v>829</v>
      </c>
      <c r="K551" s="213">
        <f>7000*3%</f>
        <v>210</v>
      </c>
      <c r="L551" s="189"/>
      <c r="M551" s="190"/>
    </row>
    <row r="552" spans="1:13" s="141" customFormat="1" x14ac:dyDescent="0.2">
      <c r="A552" s="193"/>
      <c r="B552" s="194"/>
      <c r="C552" s="195"/>
      <c r="D552" s="196"/>
      <c r="E552" s="196"/>
      <c r="F552" s="196"/>
      <c r="G552" s="196"/>
      <c r="H552" s="196"/>
      <c r="I552" s="197"/>
      <c r="J552" s="214"/>
      <c r="K552" s="215">
        <f>SUM(K543:K551)</f>
        <v>7000</v>
      </c>
      <c r="L552" s="200"/>
      <c r="M552" s="201"/>
    </row>
    <row r="553" spans="1:13" s="141" customFormat="1" x14ac:dyDescent="0.2">
      <c r="A553" s="172">
        <v>134</v>
      </c>
      <c r="B553" s="173" t="s">
        <v>850</v>
      </c>
      <c r="C553" s="174"/>
      <c r="D553" s="175" t="s">
        <v>107</v>
      </c>
      <c r="E553" s="175"/>
      <c r="F553" s="175"/>
      <c r="G553" s="175"/>
      <c r="H553" s="175"/>
      <c r="I553" s="228" t="s">
        <v>851</v>
      </c>
      <c r="J553" s="177" t="s">
        <v>829</v>
      </c>
      <c r="K553" s="216">
        <f>7000*50%</f>
        <v>3500</v>
      </c>
      <c r="L553" s="174" t="s">
        <v>111</v>
      </c>
      <c r="M553" s="180" t="s">
        <v>852</v>
      </c>
    </row>
    <row r="554" spans="1:13" s="141" customFormat="1" x14ac:dyDescent="0.2">
      <c r="A554" s="182"/>
      <c r="B554" s="183"/>
      <c r="C554" s="184"/>
      <c r="D554" s="185"/>
      <c r="E554" s="185"/>
      <c r="F554" s="185"/>
      <c r="G554" s="185"/>
      <c r="H554" s="185"/>
      <c r="I554" s="176" t="s">
        <v>853</v>
      </c>
      <c r="J554" s="223" t="s">
        <v>829</v>
      </c>
      <c r="K554" s="220">
        <f>7000*25%</f>
        <v>1750</v>
      </c>
      <c r="L554" s="184"/>
      <c r="M554" s="190"/>
    </row>
    <row r="555" spans="1:13" s="141" customFormat="1" x14ac:dyDescent="0.2">
      <c r="A555" s="182"/>
      <c r="B555" s="183"/>
      <c r="C555" s="184"/>
      <c r="D555" s="185"/>
      <c r="E555" s="185"/>
      <c r="F555" s="185"/>
      <c r="G555" s="185"/>
      <c r="H555" s="185"/>
      <c r="I555" s="192" t="s">
        <v>839</v>
      </c>
      <c r="J555" s="177" t="s">
        <v>829</v>
      </c>
      <c r="K555" s="261">
        <f>7000*5%</f>
        <v>350</v>
      </c>
      <c r="L555" s="184"/>
      <c r="M555" s="190"/>
    </row>
    <row r="556" spans="1:13" s="141" customFormat="1" x14ac:dyDescent="0.2">
      <c r="A556" s="182"/>
      <c r="B556" s="183"/>
      <c r="C556" s="184"/>
      <c r="D556" s="185"/>
      <c r="E556" s="185"/>
      <c r="F556" s="185"/>
      <c r="G556" s="185"/>
      <c r="H556" s="185"/>
      <c r="I556" s="192" t="s">
        <v>854</v>
      </c>
      <c r="J556" s="223" t="s">
        <v>829</v>
      </c>
      <c r="K556" s="232">
        <f>7000*10%</f>
        <v>700</v>
      </c>
      <c r="L556" s="184"/>
      <c r="M556" s="190"/>
    </row>
    <row r="557" spans="1:13" s="141" customFormat="1" x14ac:dyDescent="0.2">
      <c r="A557" s="182"/>
      <c r="B557" s="183"/>
      <c r="C557" s="184"/>
      <c r="D557" s="185"/>
      <c r="E557" s="185"/>
      <c r="F557" s="185"/>
      <c r="G557" s="185"/>
      <c r="H557" s="185"/>
      <c r="I557" s="176" t="s">
        <v>855</v>
      </c>
      <c r="J557" s="223" t="s">
        <v>829</v>
      </c>
      <c r="K557" s="232">
        <f>7000*2%</f>
        <v>140</v>
      </c>
      <c r="L557" s="184"/>
      <c r="M557" s="190"/>
    </row>
    <row r="558" spans="1:13" s="141" customFormat="1" x14ac:dyDescent="0.2">
      <c r="A558" s="182"/>
      <c r="B558" s="183"/>
      <c r="C558" s="184"/>
      <c r="D558" s="185"/>
      <c r="E558" s="185"/>
      <c r="F558" s="185"/>
      <c r="G558" s="185"/>
      <c r="H558" s="185"/>
      <c r="I558" s="186" t="s">
        <v>856</v>
      </c>
      <c r="J558" s="223" t="s">
        <v>829</v>
      </c>
      <c r="K558" s="220">
        <f>7000*2%</f>
        <v>140</v>
      </c>
      <c r="L558" s="184"/>
      <c r="M558" s="190"/>
    </row>
    <row r="559" spans="1:13" s="141" customFormat="1" x14ac:dyDescent="0.2">
      <c r="A559" s="182"/>
      <c r="B559" s="183"/>
      <c r="C559" s="184"/>
      <c r="D559" s="185"/>
      <c r="E559" s="185"/>
      <c r="F559" s="185"/>
      <c r="G559" s="185"/>
      <c r="H559" s="185"/>
      <c r="I559" s="192" t="s">
        <v>857</v>
      </c>
      <c r="J559" s="223" t="s">
        <v>829</v>
      </c>
      <c r="K559" s="220">
        <f>7000*2%</f>
        <v>140</v>
      </c>
      <c r="L559" s="184"/>
      <c r="M559" s="190"/>
    </row>
    <row r="560" spans="1:13" s="141" customFormat="1" x14ac:dyDescent="0.2">
      <c r="A560" s="182"/>
      <c r="B560" s="183"/>
      <c r="C560" s="184"/>
      <c r="D560" s="185"/>
      <c r="E560" s="185"/>
      <c r="F560" s="185"/>
      <c r="G560" s="185"/>
      <c r="H560" s="185"/>
      <c r="I560" s="192" t="s">
        <v>858</v>
      </c>
      <c r="J560" s="223" t="s">
        <v>829</v>
      </c>
      <c r="K560" s="220">
        <f>7000*2%</f>
        <v>140</v>
      </c>
      <c r="L560" s="184"/>
      <c r="M560" s="190"/>
    </row>
    <row r="561" spans="1:13" s="141" customFormat="1" x14ac:dyDescent="0.2">
      <c r="A561" s="182"/>
      <c r="B561" s="183"/>
      <c r="C561" s="184"/>
      <c r="D561" s="185"/>
      <c r="E561" s="185"/>
      <c r="F561" s="185"/>
      <c r="G561" s="185"/>
      <c r="H561" s="185"/>
      <c r="I561" s="176" t="s">
        <v>859</v>
      </c>
      <c r="J561" s="223" t="s">
        <v>829</v>
      </c>
      <c r="K561" s="210">
        <f>7000*2%</f>
        <v>140</v>
      </c>
      <c r="L561" s="184"/>
      <c r="M561" s="190"/>
    </row>
    <row r="562" spans="1:13" s="141" customFormat="1" x14ac:dyDescent="0.2">
      <c r="A562" s="193"/>
      <c r="B562" s="194"/>
      <c r="C562" s="195"/>
      <c r="D562" s="196"/>
      <c r="E562" s="196"/>
      <c r="F562" s="196"/>
      <c r="G562" s="196"/>
      <c r="H562" s="196"/>
      <c r="I562" s="206"/>
      <c r="J562" s="214"/>
      <c r="K562" s="221">
        <f>SUM(K553:K561)</f>
        <v>7000</v>
      </c>
      <c r="L562" s="195"/>
      <c r="M562" s="201"/>
    </row>
    <row r="563" spans="1:13" s="141" customFormat="1" x14ac:dyDescent="0.2">
      <c r="A563" s="172">
        <v>135</v>
      </c>
      <c r="B563" s="173" t="s">
        <v>860</v>
      </c>
      <c r="C563" s="174"/>
      <c r="D563" s="175" t="s">
        <v>107</v>
      </c>
      <c r="E563" s="175"/>
      <c r="F563" s="175"/>
      <c r="G563" s="175"/>
      <c r="H563" s="175"/>
      <c r="I563" s="176" t="s">
        <v>861</v>
      </c>
      <c r="J563" s="208" t="s">
        <v>829</v>
      </c>
      <c r="K563" s="216">
        <f>7000*90%</f>
        <v>6300</v>
      </c>
      <c r="L563" s="179" t="s">
        <v>111</v>
      </c>
      <c r="M563" s="180" t="s">
        <v>862</v>
      </c>
    </row>
    <row r="564" spans="1:13" s="141" customFormat="1" x14ac:dyDescent="0.2">
      <c r="A564" s="182"/>
      <c r="B564" s="183"/>
      <c r="C564" s="184"/>
      <c r="D564" s="185"/>
      <c r="E564" s="185"/>
      <c r="F564" s="185"/>
      <c r="G564" s="185"/>
      <c r="H564" s="185"/>
      <c r="I564" s="192" t="s">
        <v>863</v>
      </c>
      <c r="J564" s="223" t="s">
        <v>829</v>
      </c>
      <c r="K564" s="217">
        <f>7000*10%</f>
        <v>700</v>
      </c>
      <c r="L564" s="189"/>
      <c r="M564" s="190"/>
    </row>
    <row r="565" spans="1:13" s="141" customFormat="1" x14ac:dyDescent="0.2">
      <c r="A565" s="193"/>
      <c r="B565" s="194"/>
      <c r="C565" s="195"/>
      <c r="D565" s="196"/>
      <c r="E565" s="196"/>
      <c r="F565" s="196"/>
      <c r="G565" s="196"/>
      <c r="H565" s="196"/>
      <c r="I565" s="197"/>
      <c r="J565" s="226"/>
      <c r="K565" s="227">
        <f>SUM(K563:K564)</f>
        <v>7000</v>
      </c>
      <c r="L565" s="200"/>
      <c r="M565" s="201"/>
    </row>
    <row r="566" spans="1:13" s="141" customFormat="1" x14ac:dyDescent="0.2">
      <c r="A566" s="172">
        <v>136</v>
      </c>
      <c r="B566" s="173" t="s">
        <v>864</v>
      </c>
      <c r="C566" s="174"/>
      <c r="D566" s="175" t="s">
        <v>107</v>
      </c>
      <c r="E566" s="175"/>
      <c r="F566" s="175"/>
      <c r="G566" s="175"/>
      <c r="H566" s="175"/>
      <c r="I566" s="228" t="s">
        <v>865</v>
      </c>
      <c r="J566" s="177" t="s">
        <v>829</v>
      </c>
      <c r="K566" s="219">
        <f>6000*100%</f>
        <v>6000</v>
      </c>
      <c r="L566" s="180" t="s">
        <v>111</v>
      </c>
      <c r="M566" s="180" t="s">
        <v>866</v>
      </c>
    </row>
    <row r="567" spans="1:13" s="141" customFormat="1" x14ac:dyDescent="0.2">
      <c r="A567" s="193"/>
      <c r="B567" s="194"/>
      <c r="C567" s="195"/>
      <c r="D567" s="196"/>
      <c r="E567" s="196"/>
      <c r="F567" s="196"/>
      <c r="G567" s="196"/>
      <c r="H567" s="196"/>
      <c r="I567" s="197"/>
      <c r="J567" s="198"/>
      <c r="K567" s="366">
        <f>SUM(K566)</f>
        <v>6000</v>
      </c>
      <c r="L567" s="201"/>
      <c r="M567" s="201"/>
    </row>
    <row r="568" spans="1:13" s="141" customFormat="1" x14ac:dyDescent="0.2">
      <c r="A568" s="172">
        <v>137</v>
      </c>
      <c r="B568" s="173" t="s">
        <v>867</v>
      </c>
      <c r="C568" s="174"/>
      <c r="D568" s="175" t="s">
        <v>107</v>
      </c>
      <c r="E568" s="175"/>
      <c r="F568" s="175"/>
      <c r="G568" s="175"/>
      <c r="H568" s="175"/>
      <c r="I568" s="176" t="s">
        <v>868</v>
      </c>
      <c r="J568" s="272" t="s">
        <v>829</v>
      </c>
      <c r="K568" s="367">
        <f>7000*80%</f>
        <v>5600</v>
      </c>
      <c r="L568" s="180" t="s">
        <v>111</v>
      </c>
      <c r="M568" s="180" t="s">
        <v>869</v>
      </c>
    </row>
    <row r="569" spans="1:13" s="141" customFormat="1" x14ac:dyDescent="0.2">
      <c r="A569" s="182"/>
      <c r="B569" s="183"/>
      <c r="C569" s="184"/>
      <c r="D569" s="185"/>
      <c r="E569" s="185"/>
      <c r="F569" s="185"/>
      <c r="G569" s="185"/>
      <c r="H569" s="185"/>
      <c r="I569" s="186" t="s">
        <v>870</v>
      </c>
      <c r="J569" s="187" t="s">
        <v>475</v>
      </c>
      <c r="K569" s="204">
        <f>7000*10%</f>
        <v>700</v>
      </c>
      <c r="L569" s="190"/>
      <c r="M569" s="190"/>
    </row>
    <row r="570" spans="1:13" s="141" customFormat="1" x14ac:dyDescent="0.2">
      <c r="A570" s="182"/>
      <c r="B570" s="183"/>
      <c r="C570" s="184"/>
      <c r="D570" s="185"/>
      <c r="E570" s="185"/>
      <c r="F570" s="185"/>
      <c r="G570" s="185"/>
      <c r="H570" s="185"/>
      <c r="I570" s="192" t="s">
        <v>871</v>
      </c>
      <c r="J570" s="177" t="s">
        <v>829</v>
      </c>
      <c r="K570" s="204">
        <f>7000*10%</f>
        <v>700</v>
      </c>
      <c r="L570" s="190"/>
      <c r="M570" s="190"/>
    </row>
    <row r="571" spans="1:13" s="141" customFormat="1" x14ac:dyDescent="0.2">
      <c r="A571" s="193"/>
      <c r="B571" s="194"/>
      <c r="C571" s="195"/>
      <c r="D571" s="196"/>
      <c r="E571" s="196"/>
      <c r="F571" s="196"/>
      <c r="G571" s="196"/>
      <c r="H571" s="196"/>
      <c r="I571" s="197"/>
      <c r="J571" s="198"/>
      <c r="K571" s="207">
        <f>SUM(K568:K570)</f>
        <v>7000</v>
      </c>
      <c r="L571" s="201"/>
      <c r="M571" s="201"/>
    </row>
    <row r="572" spans="1:13" s="141" customFormat="1" x14ac:dyDescent="0.2">
      <c r="A572" s="172">
        <v>138</v>
      </c>
      <c r="B572" s="173" t="s">
        <v>872</v>
      </c>
      <c r="C572" s="174"/>
      <c r="D572" s="175" t="s">
        <v>107</v>
      </c>
      <c r="E572" s="175"/>
      <c r="F572" s="175"/>
      <c r="G572" s="175"/>
      <c r="H572" s="175"/>
      <c r="I572" s="176" t="s">
        <v>873</v>
      </c>
      <c r="J572" s="202" t="s">
        <v>829</v>
      </c>
      <c r="K572" s="368">
        <f>8000*85%</f>
        <v>6800</v>
      </c>
      <c r="L572" s="179" t="s">
        <v>111</v>
      </c>
      <c r="M572" s="180" t="s">
        <v>874</v>
      </c>
    </row>
    <row r="573" spans="1:13" s="141" customFormat="1" x14ac:dyDescent="0.2">
      <c r="A573" s="182"/>
      <c r="B573" s="183"/>
      <c r="C573" s="184"/>
      <c r="D573" s="185"/>
      <c r="E573" s="185"/>
      <c r="F573" s="185"/>
      <c r="G573" s="185"/>
      <c r="H573" s="185"/>
      <c r="I573" s="192" t="s">
        <v>875</v>
      </c>
      <c r="J573" s="177" t="s">
        <v>829</v>
      </c>
      <c r="K573" s="369">
        <f>8000*5%</f>
        <v>400</v>
      </c>
      <c r="L573" s="189"/>
      <c r="M573" s="190"/>
    </row>
    <row r="574" spans="1:13" s="141" customFormat="1" x14ac:dyDescent="0.2">
      <c r="A574" s="182"/>
      <c r="B574" s="183"/>
      <c r="C574" s="184"/>
      <c r="D574" s="185"/>
      <c r="E574" s="185"/>
      <c r="F574" s="185"/>
      <c r="G574" s="185"/>
      <c r="H574" s="185"/>
      <c r="I574" s="176" t="s">
        <v>876</v>
      </c>
      <c r="J574" s="187" t="s">
        <v>829</v>
      </c>
      <c r="K574" s="205">
        <f>8000*5%</f>
        <v>400</v>
      </c>
      <c r="L574" s="189"/>
      <c r="M574" s="190"/>
    </row>
    <row r="575" spans="1:13" s="141" customFormat="1" x14ac:dyDescent="0.2">
      <c r="A575" s="182"/>
      <c r="B575" s="183"/>
      <c r="C575" s="184"/>
      <c r="D575" s="185"/>
      <c r="E575" s="185"/>
      <c r="F575" s="185"/>
      <c r="G575" s="185"/>
      <c r="H575" s="185"/>
      <c r="I575" s="192" t="s">
        <v>877</v>
      </c>
      <c r="J575" s="187" t="s">
        <v>829</v>
      </c>
      <c r="K575" s="188">
        <f>8000*5%</f>
        <v>400</v>
      </c>
      <c r="L575" s="189"/>
      <c r="M575" s="190"/>
    </row>
    <row r="576" spans="1:13" s="141" customFormat="1" x14ac:dyDescent="0.2">
      <c r="A576" s="193"/>
      <c r="B576" s="194"/>
      <c r="C576" s="195"/>
      <c r="D576" s="196"/>
      <c r="E576" s="196"/>
      <c r="F576" s="196"/>
      <c r="G576" s="196"/>
      <c r="H576" s="196"/>
      <c r="I576" s="197"/>
      <c r="J576" s="226"/>
      <c r="K576" s="199">
        <f>SUM(K572:K575)</f>
        <v>8000</v>
      </c>
      <c r="L576" s="200"/>
      <c r="M576" s="201"/>
    </row>
    <row r="577" spans="1:14" s="141" customFormat="1" x14ac:dyDescent="0.2">
      <c r="A577" s="172">
        <v>139</v>
      </c>
      <c r="B577" s="173" t="s">
        <v>878</v>
      </c>
      <c r="C577" s="174"/>
      <c r="D577" s="175" t="s">
        <v>163</v>
      </c>
      <c r="E577" s="175"/>
      <c r="F577" s="175"/>
      <c r="G577" s="175"/>
      <c r="H577" s="175"/>
      <c r="I577" s="176" t="s">
        <v>879</v>
      </c>
      <c r="J577" s="177" t="s">
        <v>829</v>
      </c>
      <c r="K577" s="178">
        <f>530000*85%</f>
        <v>450500</v>
      </c>
      <c r="L577" s="179" t="s">
        <v>166</v>
      </c>
      <c r="M577" s="180" t="s">
        <v>880</v>
      </c>
    </row>
    <row r="578" spans="1:14" s="141" customFormat="1" x14ac:dyDescent="0.2">
      <c r="A578" s="182"/>
      <c r="B578" s="183"/>
      <c r="C578" s="184"/>
      <c r="D578" s="185"/>
      <c r="E578" s="185"/>
      <c r="F578" s="185"/>
      <c r="G578" s="185"/>
      <c r="H578" s="185"/>
      <c r="I578" s="192" t="s">
        <v>881</v>
      </c>
      <c r="J578" s="187" t="s">
        <v>829</v>
      </c>
      <c r="K578" s="188">
        <f>530000*5%</f>
        <v>26500</v>
      </c>
      <c r="L578" s="189"/>
      <c r="M578" s="190"/>
    </row>
    <row r="579" spans="1:14" s="141" customFormat="1" x14ac:dyDescent="0.2">
      <c r="A579" s="182"/>
      <c r="B579" s="183"/>
      <c r="C579" s="184"/>
      <c r="D579" s="185"/>
      <c r="E579" s="185"/>
      <c r="F579" s="185"/>
      <c r="G579" s="185"/>
      <c r="H579" s="185"/>
      <c r="I579" s="192" t="s">
        <v>882</v>
      </c>
      <c r="J579" s="187" t="s">
        <v>829</v>
      </c>
      <c r="K579" s="188">
        <f>530000*5%</f>
        <v>26500</v>
      </c>
      <c r="L579" s="189"/>
      <c r="M579" s="190"/>
    </row>
    <row r="580" spans="1:14" s="141" customFormat="1" x14ac:dyDescent="0.2">
      <c r="A580" s="182"/>
      <c r="B580" s="183"/>
      <c r="C580" s="184"/>
      <c r="D580" s="185"/>
      <c r="E580" s="185"/>
      <c r="F580" s="185"/>
      <c r="G580" s="185"/>
      <c r="H580" s="185"/>
      <c r="I580" s="192" t="s">
        <v>883</v>
      </c>
      <c r="J580" s="259" t="s">
        <v>829</v>
      </c>
      <c r="K580" s="188">
        <f>530000*5%</f>
        <v>26500</v>
      </c>
      <c r="L580" s="189"/>
      <c r="M580" s="190"/>
    </row>
    <row r="581" spans="1:14" s="141" customFormat="1" x14ac:dyDescent="0.2">
      <c r="A581" s="193"/>
      <c r="B581" s="194"/>
      <c r="C581" s="195"/>
      <c r="D581" s="196"/>
      <c r="E581" s="196"/>
      <c r="F581" s="196"/>
      <c r="G581" s="196"/>
      <c r="H581" s="196"/>
      <c r="I581" s="197"/>
      <c r="J581" s="226"/>
      <c r="K581" s="199">
        <f>SUM(K577:K580)</f>
        <v>530000</v>
      </c>
      <c r="L581" s="200"/>
      <c r="M581" s="201"/>
    </row>
    <row r="582" spans="1:14" s="141" customFormat="1" x14ac:dyDescent="0.2">
      <c r="A582" s="172">
        <v>140</v>
      </c>
      <c r="B582" s="173" t="s">
        <v>884</v>
      </c>
      <c r="C582" s="174"/>
      <c r="D582" s="175" t="s">
        <v>163</v>
      </c>
      <c r="E582" s="175"/>
      <c r="F582" s="175"/>
      <c r="G582" s="175"/>
      <c r="H582" s="175"/>
      <c r="I582" s="176" t="s">
        <v>885</v>
      </c>
      <c r="J582" s="177" t="s">
        <v>829</v>
      </c>
      <c r="K582" s="178">
        <f>530000*60%</f>
        <v>318000</v>
      </c>
      <c r="L582" s="174" t="s">
        <v>166</v>
      </c>
      <c r="M582" s="180" t="s">
        <v>886</v>
      </c>
    </row>
    <row r="583" spans="1:14" s="141" customFormat="1" x14ac:dyDescent="0.2">
      <c r="A583" s="182"/>
      <c r="B583" s="183"/>
      <c r="C583" s="184"/>
      <c r="D583" s="185"/>
      <c r="E583" s="185"/>
      <c r="F583" s="185"/>
      <c r="G583" s="185"/>
      <c r="H583" s="185"/>
      <c r="I583" s="186" t="s">
        <v>887</v>
      </c>
      <c r="J583" s="187" t="s">
        <v>657</v>
      </c>
      <c r="K583" s="203">
        <f>530000*8%</f>
        <v>42400</v>
      </c>
      <c r="L583" s="184"/>
      <c r="M583" s="190"/>
    </row>
    <row r="584" spans="1:14" s="141" customFormat="1" x14ac:dyDescent="0.2">
      <c r="A584" s="182"/>
      <c r="B584" s="183"/>
      <c r="C584" s="184"/>
      <c r="D584" s="185"/>
      <c r="E584" s="185"/>
      <c r="F584" s="185"/>
      <c r="G584" s="185"/>
      <c r="H584" s="185"/>
      <c r="I584" s="186" t="s">
        <v>888</v>
      </c>
      <c r="J584" s="187" t="s">
        <v>829</v>
      </c>
      <c r="K584" s="204">
        <f t="shared" ref="K584:K591" si="13">530000*4%</f>
        <v>21200</v>
      </c>
      <c r="L584" s="184"/>
      <c r="M584" s="190"/>
    </row>
    <row r="585" spans="1:14" s="141" customFormat="1" x14ac:dyDescent="0.2">
      <c r="A585" s="182"/>
      <c r="B585" s="183"/>
      <c r="C585" s="184"/>
      <c r="D585" s="185"/>
      <c r="E585" s="185"/>
      <c r="F585" s="185"/>
      <c r="G585" s="185"/>
      <c r="H585" s="185"/>
      <c r="I585" s="186" t="s">
        <v>889</v>
      </c>
      <c r="J585" s="187" t="s">
        <v>829</v>
      </c>
      <c r="K585" s="205">
        <f t="shared" si="13"/>
        <v>21200</v>
      </c>
      <c r="L585" s="184"/>
      <c r="M585" s="190"/>
    </row>
    <row r="586" spans="1:14" s="141" customFormat="1" x14ac:dyDescent="0.2">
      <c r="A586" s="182"/>
      <c r="B586" s="183"/>
      <c r="C586" s="184"/>
      <c r="D586" s="185"/>
      <c r="E586" s="185"/>
      <c r="F586" s="185"/>
      <c r="G586" s="185"/>
      <c r="H586" s="185"/>
      <c r="I586" s="192" t="s">
        <v>890</v>
      </c>
      <c r="J586" s="177" t="s">
        <v>378</v>
      </c>
      <c r="K586" s="203">
        <f t="shared" si="13"/>
        <v>21200</v>
      </c>
      <c r="L586" s="184"/>
      <c r="M586" s="190"/>
      <c r="N586" s="181"/>
    </row>
    <row r="587" spans="1:14" s="141" customFormat="1" x14ac:dyDescent="0.2">
      <c r="A587" s="182"/>
      <c r="B587" s="183"/>
      <c r="C587" s="184"/>
      <c r="D587" s="185"/>
      <c r="E587" s="185"/>
      <c r="F587" s="185"/>
      <c r="G587" s="185"/>
      <c r="H587" s="185"/>
      <c r="I587" s="192" t="s">
        <v>891</v>
      </c>
      <c r="J587" s="187" t="s">
        <v>829</v>
      </c>
      <c r="K587" s="203">
        <f t="shared" si="13"/>
        <v>21200</v>
      </c>
      <c r="L587" s="184"/>
      <c r="M587" s="190"/>
    </row>
    <row r="588" spans="1:14" s="141" customFormat="1" x14ac:dyDescent="0.2">
      <c r="A588" s="182"/>
      <c r="B588" s="183"/>
      <c r="C588" s="184"/>
      <c r="D588" s="185"/>
      <c r="E588" s="185"/>
      <c r="F588" s="185"/>
      <c r="G588" s="185"/>
      <c r="H588" s="185"/>
      <c r="I588" s="176" t="s">
        <v>892</v>
      </c>
      <c r="J588" s="187" t="s">
        <v>829</v>
      </c>
      <c r="K588" s="204">
        <f t="shared" si="13"/>
        <v>21200</v>
      </c>
      <c r="L588" s="184"/>
      <c r="M588" s="190"/>
    </row>
    <row r="589" spans="1:14" s="141" customFormat="1" x14ac:dyDescent="0.2">
      <c r="A589" s="182"/>
      <c r="B589" s="183"/>
      <c r="C589" s="184"/>
      <c r="D589" s="185"/>
      <c r="E589" s="185"/>
      <c r="F589" s="185"/>
      <c r="G589" s="185"/>
      <c r="H589" s="185"/>
      <c r="I589" s="186" t="s">
        <v>893</v>
      </c>
      <c r="J589" s="177" t="s">
        <v>829</v>
      </c>
      <c r="K589" s="205">
        <f t="shared" si="13"/>
        <v>21200</v>
      </c>
      <c r="L589" s="184"/>
      <c r="M589" s="190"/>
    </row>
    <row r="590" spans="1:14" s="141" customFormat="1" x14ac:dyDescent="0.2">
      <c r="A590" s="182"/>
      <c r="B590" s="183"/>
      <c r="C590" s="184"/>
      <c r="D590" s="185"/>
      <c r="E590" s="185"/>
      <c r="F590" s="185"/>
      <c r="G590" s="185"/>
      <c r="H590" s="185"/>
      <c r="I590" s="186" t="s">
        <v>894</v>
      </c>
      <c r="J590" s="187" t="s">
        <v>829</v>
      </c>
      <c r="K590" s="203">
        <f t="shared" si="13"/>
        <v>21200</v>
      </c>
      <c r="L590" s="184"/>
      <c r="M590" s="190"/>
    </row>
    <row r="591" spans="1:14" s="141" customFormat="1" x14ac:dyDescent="0.2">
      <c r="A591" s="182"/>
      <c r="B591" s="183"/>
      <c r="C591" s="184"/>
      <c r="D591" s="185"/>
      <c r="E591" s="185"/>
      <c r="F591" s="185"/>
      <c r="G591" s="185"/>
      <c r="H591" s="185"/>
      <c r="I591" s="192" t="s">
        <v>895</v>
      </c>
      <c r="J591" s="191" t="s">
        <v>415</v>
      </c>
      <c r="K591" s="203">
        <f t="shared" si="13"/>
        <v>21200</v>
      </c>
      <c r="L591" s="184"/>
      <c r="M591" s="190"/>
    </row>
    <row r="592" spans="1:14" s="141" customFormat="1" x14ac:dyDescent="0.2">
      <c r="A592" s="193"/>
      <c r="B592" s="194"/>
      <c r="C592" s="195"/>
      <c r="D592" s="196"/>
      <c r="E592" s="196"/>
      <c r="F592" s="196"/>
      <c r="G592" s="196"/>
      <c r="H592" s="196"/>
      <c r="I592" s="197"/>
      <c r="J592" s="198"/>
      <c r="K592" s="207">
        <f>SUM(K582:K591)</f>
        <v>530000</v>
      </c>
      <c r="L592" s="195"/>
      <c r="M592" s="201"/>
    </row>
    <row r="593" spans="1:14" s="141" customFormat="1" ht="64.5" customHeight="1" x14ac:dyDescent="0.2">
      <c r="A593" s="316">
        <v>141</v>
      </c>
      <c r="B593" s="173" t="s">
        <v>896</v>
      </c>
      <c r="C593" s="174"/>
      <c r="D593" s="321" t="s">
        <v>163</v>
      </c>
      <c r="E593" s="321"/>
      <c r="F593" s="321"/>
      <c r="G593" s="321"/>
      <c r="H593" s="321"/>
      <c r="I593" s="289" t="s">
        <v>897</v>
      </c>
      <c r="J593" s="177" t="s">
        <v>829</v>
      </c>
      <c r="K593" s="368">
        <f>530000*100%</f>
        <v>530000</v>
      </c>
      <c r="L593" s="323" t="s">
        <v>166</v>
      </c>
      <c r="M593" s="272" t="s">
        <v>898</v>
      </c>
    </row>
    <row r="594" spans="1:14" s="141" customFormat="1" ht="23.25" customHeight="1" x14ac:dyDescent="0.2">
      <c r="A594" s="172">
        <v>142</v>
      </c>
      <c r="B594" s="173" t="s">
        <v>899</v>
      </c>
      <c r="C594" s="174"/>
      <c r="D594" s="175" t="s">
        <v>163</v>
      </c>
      <c r="E594" s="175"/>
      <c r="F594" s="175"/>
      <c r="G594" s="175"/>
      <c r="H594" s="175"/>
      <c r="I594" s="176" t="s">
        <v>885</v>
      </c>
      <c r="J594" s="202" t="s">
        <v>829</v>
      </c>
      <c r="K594" s="178">
        <f>530000*60%</f>
        <v>318000</v>
      </c>
      <c r="L594" s="179" t="s">
        <v>166</v>
      </c>
      <c r="M594" s="180" t="s">
        <v>900</v>
      </c>
    </row>
    <row r="595" spans="1:14" s="141" customFormat="1" x14ac:dyDescent="0.2">
      <c r="A595" s="182"/>
      <c r="B595" s="183"/>
      <c r="C595" s="184"/>
      <c r="D595" s="185"/>
      <c r="E595" s="185"/>
      <c r="F595" s="185"/>
      <c r="G595" s="185"/>
      <c r="H595" s="185"/>
      <c r="I595" s="186" t="s">
        <v>901</v>
      </c>
      <c r="J595" s="187" t="s">
        <v>829</v>
      </c>
      <c r="K595" s="188">
        <f>530000*5%</f>
        <v>26500</v>
      </c>
      <c r="L595" s="189"/>
      <c r="M595" s="190"/>
    </row>
    <row r="596" spans="1:14" s="141" customFormat="1" x14ac:dyDescent="0.2">
      <c r="A596" s="182"/>
      <c r="B596" s="183"/>
      <c r="C596" s="184"/>
      <c r="D596" s="185"/>
      <c r="E596" s="185"/>
      <c r="F596" s="185"/>
      <c r="G596" s="185"/>
      <c r="H596" s="185"/>
      <c r="I596" s="186" t="s">
        <v>666</v>
      </c>
      <c r="J596" s="177" t="s">
        <v>829</v>
      </c>
      <c r="K596" s="369">
        <f>530000*5%</f>
        <v>26500</v>
      </c>
      <c r="L596" s="189"/>
      <c r="M596" s="190"/>
    </row>
    <row r="597" spans="1:14" s="141" customFormat="1" x14ac:dyDescent="0.2">
      <c r="A597" s="182"/>
      <c r="B597" s="183"/>
      <c r="C597" s="184"/>
      <c r="D597" s="185"/>
      <c r="E597" s="185"/>
      <c r="F597" s="185"/>
      <c r="G597" s="185"/>
      <c r="H597" s="185"/>
      <c r="I597" s="186" t="s">
        <v>902</v>
      </c>
      <c r="J597" s="187" t="s">
        <v>378</v>
      </c>
      <c r="K597" s="205">
        <f>530000*5%</f>
        <v>26500</v>
      </c>
      <c r="L597" s="189"/>
      <c r="M597" s="190"/>
      <c r="N597" s="181"/>
    </row>
    <row r="598" spans="1:14" s="141" customFormat="1" x14ac:dyDescent="0.2">
      <c r="A598" s="182"/>
      <c r="B598" s="183"/>
      <c r="C598" s="184"/>
      <c r="D598" s="185"/>
      <c r="E598" s="185"/>
      <c r="F598" s="185"/>
      <c r="G598" s="185"/>
      <c r="H598" s="185"/>
      <c r="I598" s="186" t="s">
        <v>903</v>
      </c>
      <c r="J598" s="259" t="s">
        <v>829</v>
      </c>
      <c r="K598" s="369">
        <f>530000*5%</f>
        <v>26500</v>
      </c>
      <c r="L598" s="189"/>
      <c r="M598" s="190"/>
    </row>
    <row r="599" spans="1:14" s="141" customFormat="1" x14ac:dyDescent="0.2">
      <c r="A599" s="182"/>
      <c r="B599" s="183"/>
      <c r="C599" s="184"/>
      <c r="D599" s="185"/>
      <c r="E599" s="185"/>
      <c r="F599" s="185"/>
      <c r="G599" s="185"/>
      <c r="H599" s="185"/>
      <c r="I599" s="192" t="s">
        <v>892</v>
      </c>
      <c r="J599" s="177" t="s">
        <v>829</v>
      </c>
      <c r="K599" s="188">
        <f>530000*4%</f>
        <v>21200</v>
      </c>
      <c r="L599" s="189"/>
      <c r="M599" s="190"/>
    </row>
    <row r="600" spans="1:14" s="141" customFormat="1" x14ac:dyDescent="0.2">
      <c r="A600" s="182"/>
      <c r="B600" s="183"/>
      <c r="C600" s="184"/>
      <c r="D600" s="185"/>
      <c r="E600" s="185"/>
      <c r="F600" s="185"/>
      <c r="G600" s="185"/>
      <c r="H600" s="185"/>
      <c r="I600" s="176" t="s">
        <v>893</v>
      </c>
      <c r="J600" s="187" t="s">
        <v>829</v>
      </c>
      <c r="K600" s="369">
        <f>530000*4%</f>
        <v>21200</v>
      </c>
      <c r="L600" s="189"/>
      <c r="M600" s="190"/>
    </row>
    <row r="601" spans="1:14" s="141" customFormat="1" x14ac:dyDescent="0.2">
      <c r="A601" s="182"/>
      <c r="B601" s="183"/>
      <c r="C601" s="184"/>
      <c r="D601" s="185"/>
      <c r="E601" s="185"/>
      <c r="F601" s="185"/>
      <c r="G601" s="185"/>
      <c r="H601" s="185"/>
      <c r="I601" s="192" t="s">
        <v>894</v>
      </c>
      <c r="J601" s="187" t="s">
        <v>829</v>
      </c>
      <c r="K601" s="369">
        <f>530000*4%</f>
        <v>21200</v>
      </c>
      <c r="L601" s="189"/>
      <c r="M601" s="190"/>
    </row>
    <row r="602" spans="1:14" s="141" customFormat="1" x14ac:dyDescent="0.2">
      <c r="A602" s="182"/>
      <c r="B602" s="183"/>
      <c r="C602" s="184"/>
      <c r="D602" s="185"/>
      <c r="E602" s="185"/>
      <c r="F602" s="185"/>
      <c r="G602" s="185"/>
      <c r="H602" s="185"/>
      <c r="I602" s="186" t="s">
        <v>895</v>
      </c>
      <c r="J602" s="177" t="s">
        <v>415</v>
      </c>
      <c r="K602" s="188">
        <f>530000*4%</f>
        <v>21200</v>
      </c>
      <c r="L602" s="189"/>
      <c r="M602" s="190"/>
    </row>
    <row r="603" spans="1:14" s="141" customFormat="1" x14ac:dyDescent="0.2">
      <c r="A603" s="182"/>
      <c r="B603" s="183"/>
      <c r="C603" s="184"/>
      <c r="D603" s="185"/>
      <c r="E603" s="185"/>
      <c r="F603" s="185"/>
      <c r="G603" s="185"/>
      <c r="H603" s="185"/>
      <c r="I603" s="186" t="s">
        <v>904</v>
      </c>
      <c r="J603" s="187" t="s">
        <v>905</v>
      </c>
      <c r="K603" s="369">
        <f>530000*4%</f>
        <v>21200</v>
      </c>
      <c r="L603" s="189"/>
      <c r="M603" s="190"/>
    </row>
    <row r="604" spans="1:14" s="141" customFormat="1" x14ac:dyDescent="0.2">
      <c r="A604" s="193"/>
      <c r="B604" s="194"/>
      <c r="C604" s="195"/>
      <c r="D604" s="196"/>
      <c r="E604" s="196"/>
      <c r="F604" s="196"/>
      <c r="G604" s="196"/>
      <c r="H604" s="196"/>
      <c r="I604" s="206"/>
      <c r="J604" s="226"/>
      <c r="K604" s="199">
        <f>SUM(K594:K603)</f>
        <v>530000</v>
      </c>
      <c r="L604" s="200"/>
      <c r="M604" s="201"/>
    </row>
    <row r="605" spans="1:14" s="141" customFormat="1" x14ac:dyDescent="0.2">
      <c r="A605" s="172">
        <v>143</v>
      </c>
      <c r="B605" s="173" t="s">
        <v>906</v>
      </c>
      <c r="C605" s="174"/>
      <c r="D605" s="175" t="s">
        <v>163</v>
      </c>
      <c r="E605" s="175"/>
      <c r="F605" s="175"/>
      <c r="G605" s="175"/>
      <c r="H605" s="175"/>
      <c r="I605" s="176" t="s">
        <v>907</v>
      </c>
      <c r="J605" s="202" t="s">
        <v>829</v>
      </c>
      <c r="K605" s="178">
        <f>450000*60%</f>
        <v>270000</v>
      </c>
      <c r="L605" s="179" t="s">
        <v>166</v>
      </c>
      <c r="M605" s="180" t="s">
        <v>908</v>
      </c>
    </row>
    <row r="606" spans="1:14" s="141" customFormat="1" x14ac:dyDescent="0.2">
      <c r="A606" s="182"/>
      <c r="B606" s="183"/>
      <c r="C606" s="184"/>
      <c r="D606" s="185"/>
      <c r="E606" s="185"/>
      <c r="F606" s="185"/>
      <c r="G606" s="185"/>
      <c r="H606" s="185"/>
      <c r="I606" s="186" t="s">
        <v>909</v>
      </c>
      <c r="J606" s="177" t="s">
        <v>657</v>
      </c>
      <c r="K606" s="188">
        <f>450000*20%</f>
        <v>90000</v>
      </c>
      <c r="L606" s="189"/>
      <c r="M606" s="190"/>
    </row>
    <row r="607" spans="1:14" s="141" customFormat="1" x14ac:dyDescent="0.2">
      <c r="A607" s="182"/>
      <c r="B607" s="183"/>
      <c r="C607" s="184"/>
      <c r="D607" s="185"/>
      <c r="E607" s="185"/>
      <c r="F607" s="185"/>
      <c r="G607" s="185"/>
      <c r="H607" s="185"/>
      <c r="I607" s="186" t="s">
        <v>910</v>
      </c>
      <c r="J607" s="187" t="s">
        <v>829</v>
      </c>
      <c r="K607" s="188">
        <f>450000*10%</f>
        <v>45000</v>
      </c>
      <c r="L607" s="189"/>
      <c r="M607" s="190"/>
    </row>
    <row r="608" spans="1:14" s="141" customFormat="1" x14ac:dyDescent="0.2">
      <c r="A608" s="182"/>
      <c r="B608" s="183"/>
      <c r="C608" s="184"/>
      <c r="D608" s="185"/>
      <c r="E608" s="185"/>
      <c r="F608" s="185"/>
      <c r="G608" s="185"/>
      <c r="H608" s="185"/>
      <c r="I608" s="192" t="s">
        <v>911</v>
      </c>
      <c r="J608" s="187" t="s">
        <v>224</v>
      </c>
      <c r="K608" s="188">
        <f>450000*5%</f>
        <v>22500</v>
      </c>
      <c r="L608" s="189"/>
      <c r="M608" s="190"/>
    </row>
    <row r="609" spans="1:13" s="141" customFormat="1" x14ac:dyDescent="0.2">
      <c r="A609" s="182"/>
      <c r="B609" s="183"/>
      <c r="C609" s="184"/>
      <c r="D609" s="185"/>
      <c r="E609" s="185"/>
      <c r="F609" s="185"/>
      <c r="G609" s="185"/>
      <c r="H609" s="185"/>
      <c r="I609" s="176" t="s">
        <v>912</v>
      </c>
      <c r="J609" s="187" t="s">
        <v>657</v>
      </c>
      <c r="K609" s="188">
        <f>450000*5%</f>
        <v>22500</v>
      </c>
      <c r="L609" s="189"/>
      <c r="M609" s="190"/>
    </row>
    <row r="610" spans="1:13" s="141" customFormat="1" x14ac:dyDescent="0.2">
      <c r="A610" s="193"/>
      <c r="B610" s="194"/>
      <c r="C610" s="195"/>
      <c r="D610" s="196"/>
      <c r="E610" s="196"/>
      <c r="F610" s="196"/>
      <c r="G610" s="196"/>
      <c r="H610" s="196"/>
      <c r="I610" s="206"/>
      <c r="J610" s="226"/>
      <c r="K610" s="199">
        <f>SUM(K605:K609)</f>
        <v>450000</v>
      </c>
      <c r="L610" s="200"/>
      <c r="M610" s="201"/>
    </row>
    <row r="611" spans="1:13" s="141" customFormat="1" x14ac:dyDescent="0.2">
      <c r="A611" s="172">
        <v>144</v>
      </c>
      <c r="B611" s="173" t="s">
        <v>913</v>
      </c>
      <c r="C611" s="174"/>
      <c r="D611" s="175" t="s">
        <v>163</v>
      </c>
      <c r="E611" s="175"/>
      <c r="F611" s="175"/>
      <c r="G611" s="175"/>
      <c r="H611" s="175"/>
      <c r="I611" s="176" t="s">
        <v>914</v>
      </c>
      <c r="J611" s="202" t="s">
        <v>829</v>
      </c>
      <c r="K611" s="178">
        <f>30000*35%</f>
        <v>10500</v>
      </c>
      <c r="L611" s="179" t="s">
        <v>166</v>
      </c>
      <c r="M611" s="180" t="s">
        <v>915</v>
      </c>
    </row>
    <row r="612" spans="1:13" s="141" customFormat="1" x14ac:dyDescent="0.2">
      <c r="A612" s="182"/>
      <c r="B612" s="183"/>
      <c r="C612" s="184"/>
      <c r="D612" s="185"/>
      <c r="E612" s="185"/>
      <c r="F612" s="185"/>
      <c r="G612" s="185"/>
      <c r="H612" s="185"/>
      <c r="I612" s="186" t="s">
        <v>916</v>
      </c>
      <c r="J612" s="177" t="s">
        <v>829</v>
      </c>
      <c r="K612" s="369">
        <f>30000*30%</f>
        <v>9000</v>
      </c>
      <c r="L612" s="189"/>
      <c r="M612" s="190"/>
    </row>
    <row r="613" spans="1:13" s="141" customFormat="1" x14ac:dyDescent="0.2">
      <c r="A613" s="182"/>
      <c r="B613" s="183"/>
      <c r="C613" s="184"/>
      <c r="D613" s="185"/>
      <c r="E613" s="185"/>
      <c r="F613" s="185"/>
      <c r="G613" s="185"/>
      <c r="H613" s="185"/>
      <c r="I613" s="186" t="s">
        <v>917</v>
      </c>
      <c r="J613" s="191" t="s">
        <v>657</v>
      </c>
      <c r="K613" s="369">
        <f>30000*30%</f>
        <v>9000</v>
      </c>
      <c r="L613" s="189"/>
      <c r="M613" s="190"/>
    </row>
    <row r="614" spans="1:13" s="141" customFormat="1" x14ac:dyDescent="0.2">
      <c r="A614" s="182"/>
      <c r="B614" s="183"/>
      <c r="C614" s="184"/>
      <c r="D614" s="185"/>
      <c r="E614" s="185"/>
      <c r="F614" s="185"/>
      <c r="G614" s="185"/>
      <c r="H614" s="185"/>
      <c r="I614" s="186" t="s">
        <v>912</v>
      </c>
      <c r="J614" s="191" t="s">
        <v>657</v>
      </c>
      <c r="K614" s="205">
        <f>30000*5%</f>
        <v>1500</v>
      </c>
      <c r="L614" s="189"/>
      <c r="M614" s="190"/>
    </row>
    <row r="615" spans="1:13" s="141" customFormat="1" x14ac:dyDescent="0.2">
      <c r="A615" s="193"/>
      <c r="B615" s="194"/>
      <c r="C615" s="195"/>
      <c r="D615" s="196"/>
      <c r="E615" s="196"/>
      <c r="F615" s="196"/>
      <c r="G615" s="196"/>
      <c r="H615" s="196"/>
      <c r="I615" s="206"/>
      <c r="J615" s="198"/>
      <c r="K615" s="199">
        <f>SUM(K611:K614)</f>
        <v>30000</v>
      </c>
      <c r="L615" s="200"/>
      <c r="M615" s="201"/>
    </row>
    <row r="616" spans="1:13" s="141" customFormat="1" x14ac:dyDescent="0.2">
      <c r="A616" s="172">
        <v>145</v>
      </c>
      <c r="B616" s="173" t="s">
        <v>918</v>
      </c>
      <c r="C616" s="174"/>
      <c r="D616" s="175" t="s">
        <v>163</v>
      </c>
      <c r="E616" s="175"/>
      <c r="F616" s="175"/>
      <c r="G616" s="175"/>
      <c r="H616" s="175"/>
      <c r="I616" s="228" t="s">
        <v>919</v>
      </c>
      <c r="J616" s="177" t="s">
        <v>829</v>
      </c>
      <c r="K616" s="178">
        <f>390000*55%</f>
        <v>214500.00000000003</v>
      </c>
      <c r="L616" s="179" t="s">
        <v>166</v>
      </c>
      <c r="M616" s="180" t="s">
        <v>920</v>
      </c>
    </row>
    <row r="617" spans="1:13" s="141" customFormat="1" x14ac:dyDescent="0.2">
      <c r="A617" s="182"/>
      <c r="B617" s="183"/>
      <c r="C617" s="184"/>
      <c r="D617" s="185"/>
      <c r="E617" s="185"/>
      <c r="F617" s="185"/>
      <c r="G617" s="185"/>
      <c r="H617" s="185"/>
      <c r="I617" s="192" t="s">
        <v>921</v>
      </c>
      <c r="J617" s="187" t="s">
        <v>829</v>
      </c>
      <c r="K617" s="369">
        <f>390000*20%</f>
        <v>78000</v>
      </c>
      <c r="L617" s="189"/>
      <c r="M617" s="190"/>
    </row>
    <row r="618" spans="1:13" s="141" customFormat="1" x14ac:dyDescent="0.2">
      <c r="A618" s="182"/>
      <c r="B618" s="183"/>
      <c r="C618" s="184"/>
      <c r="D618" s="185"/>
      <c r="E618" s="185"/>
      <c r="F618" s="185"/>
      <c r="G618" s="185"/>
      <c r="H618" s="185"/>
      <c r="I618" s="176" t="s">
        <v>909</v>
      </c>
      <c r="J618" s="187" t="s">
        <v>657</v>
      </c>
      <c r="K618" s="369">
        <f>390000*20%</f>
        <v>78000</v>
      </c>
      <c r="L618" s="189"/>
      <c r="M618" s="190"/>
    </row>
    <row r="619" spans="1:13" s="141" customFormat="1" x14ac:dyDescent="0.2">
      <c r="A619" s="182"/>
      <c r="B619" s="183"/>
      <c r="C619" s="184"/>
      <c r="D619" s="185"/>
      <c r="E619" s="185"/>
      <c r="F619" s="185"/>
      <c r="G619" s="185"/>
      <c r="H619" s="185"/>
      <c r="I619" s="192" t="s">
        <v>912</v>
      </c>
      <c r="J619" s="187" t="s">
        <v>657</v>
      </c>
      <c r="K619" s="369">
        <f>390000*5%</f>
        <v>19500</v>
      </c>
      <c r="L619" s="189"/>
      <c r="M619" s="190"/>
    </row>
    <row r="620" spans="1:13" s="141" customFormat="1" x14ac:dyDescent="0.2">
      <c r="A620" s="193"/>
      <c r="B620" s="194"/>
      <c r="C620" s="195"/>
      <c r="D620" s="196"/>
      <c r="E620" s="196"/>
      <c r="F620" s="196"/>
      <c r="G620" s="196"/>
      <c r="H620" s="196"/>
      <c r="I620" s="197"/>
      <c r="J620" s="198"/>
      <c r="K620" s="370">
        <f>SUM(K616:K619)</f>
        <v>390000</v>
      </c>
      <c r="L620" s="200"/>
      <c r="M620" s="201"/>
    </row>
    <row r="621" spans="1:13" s="141" customFormat="1" x14ac:dyDescent="0.2">
      <c r="A621" s="172">
        <v>146</v>
      </c>
      <c r="B621" s="173" t="s">
        <v>922</v>
      </c>
      <c r="C621" s="174"/>
      <c r="D621" s="175" t="s">
        <v>163</v>
      </c>
      <c r="E621" s="175"/>
      <c r="F621" s="175"/>
      <c r="G621" s="175"/>
      <c r="H621" s="175"/>
      <c r="I621" s="228" t="s">
        <v>923</v>
      </c>
      <c r="J621" s="202" t="s">
        <v>829</v>
      </c>
      <c r="K621" s="368">
        <f>350150*50%</f>
        <v>175075</v>
      </c>
      <c r="L621" s="179" t="s">
        <v>166</v>
      </c>
      <c r="M621" s="180" t="s">
        <v>924</v>
      </c>
    </row>
    <row r="622" spans="1:13" s="141" customFormat="1" x14ac:dyDescent="0.2">
      <c r="A622" s="182"/>
      <c r="B622" s="183"/>
      <c r="C622" s="184"/>
      <c r="D622" s="185"/>
      <c r="E622" s="185"/>
      <c r="F622" s="185"/>
      <c r="G622" s="185"/>
      <c r="H622" s="185"/>
      <c r="I622" s="192" t="s">
        <v>925</v>
      </c>
      <c r="J622" s="259" t="s">
        <v>829</v>
      </c>
      <c r="K622" s="205">
        <f>350150*25%</f>
        <v>87537.5</v>
      </c>
      <c r="L622" s="189"/>
      <c r="M622" s="190"/>
    </row>
    <row r="623" spans="1:13" s="141" customFormat="1" x14ac:dyDescent="0.2">
      <c r="A623" s="182"/>
      <c r="B623" s="183"/>
      <c r="C623" s="184"/>
      <c r="D623" s="185"/>
      <c r="E623" s="185"/>
      <c r="F623" s="185"/>
      <c r="G623" s="185"/>
      <c r="H623" s="185"/>
      <c r="I623" s="176" t="s">
        <v>909</v>
      </c>
      <c r="J623" s="187" t="s">
        <v>657</v>
      </c>
      <c r="K623" s="369">
        <f>350150*20%</f>
        <v>70030</v>
      </c>
      <c r="L623" s="189"/>
      <c r="M623" s="190"/>
    </row>
    <row r="624" spans="1:13" s="141" customFormat="1" x14ac:dyDescent="0.2">
      <c r="A624" s="182"/>
      <c r="B624" s="183"/>
      <c r="C624" s="184"/>
      <c r="D624" s="185"/>
      <c r="E624" s="185"/>
      <c r="F624" s="185"/>
      <c r="G624" s="185"/>
      <c r="H624" s="185"/>
      <c r="I624" s="192" t="s">
        <v>912</v>
      </c>
      <c r="J624" s="187" t="s">
        <v>657</v>
      </c>
      <c r="K624" s="205">
        <f>350150*5%</f>
        <v>17507.5</v>
      </c>
      <c r="L624" s="189"/>
      <c r="M624" s="190"/>
    </row>
    <row r="625" spans="1:13" s="141" customFormat="1" x14ac:dyDescent="0.2">
      <c r="A625" s="193"/>
      <c r="B625" s="194"/>
      <c r="C625" s="195"/>
      <c r="D625" s="196"/>
      <c r="E625" s="196"/>
      <c r="F625" s="196"/>
      <c r="G625" s="196"/>
      <c r="H625" s="196"/>
      <c r="I625" s="206"/>
      <c r="J625" s="226"/>
      <c r="K625" s="199">
        <f>SUM(K621:K624)</f>
        <v>350150</v>
      </c>
      <c r="L625" s="200"/>
      <c r="M625" s="201"/>
    </row>
    <row r="626" spans="1:13" s="141" customFormat="1" x14ac:dyDescent="0.2">
      <c r="A626" s="172">
        <v>147</v>
      </c>
      <c r="B626" s="173" t="s">
        <v>926</v>
      </c>
      <c r="C626" s="174"/>
      <c r="D626" s="175" t="s">
        <v>163</v>
      </c>
      <c r="E626" s="175"/>
      <c r="F626" s="175"/>
      <c r="G626" s="175"/>
      <c r="H626" s="175"/>
      <c r="I626" s="176" t="s">
        <v>927</v>
      </c>
      <c r="J626" s="202" t="s">
        <v>829</v>
      </c>
      <c r="K626" s="178">
        <f>110000*90%</f>
        <v>99000</v>
      </c>
      <c r="L626" s="179" t="s">
        <v>166</v>
      </c>
      <c r="M626" s="180" t="s">
        <v>928</v>
      </c>
    </row>
    <row r="627" spans="1:13" s="141" customFormat="1" x14ac:dyDescent="0.2">
      <c r="A627" s="182"/>
      <c r="B627" s="183"/>
      <c r="C627" s="184"/>
      <c r="D627" s="185"/>
      <c r="E627" s="185"/>
      <c r="F627" s="185"/>
      <c r="G627" s="185"/>
      <c r="H627" s="185"/>
      <c r="I627" s="192" t="s">
        <v>929</v>
      </c>
      <c r="J627" s="187" t="s">
        <v>829</v>
      </c>
      <c r="K627" s="369">
        <f>110000*10%</f>
        <v>11000</v>
      </c>
      <c r="L627" s="189"/>
      <c r="M627" s="190"/>
    </row>
    <row r="628" spans="1:13" s="141" customFormat="1" x14ac:dyDescent="0.2">
      <c r="A628" s="193"/>
      <c r="B628" s="194"/>
      <c r="C628" s="195"/>
      <c r="D628" s="196"/>
      <c r="E628" s="196"/>
      <c r="F628" s="196"/>
      <c r="G628" s="196"/>
      <c r="H628" s="196"/>
      <c r="I628" s="197"/>
      <c r="J628" s="226"/>
      <c r="K628" s="370">
        <f>SUM(K626:K627)</f>
        <v>110000</v>
      </c>
      <c r="L628" s="200"/>
      <c r="M628" s="201"/>
    </row>
    <row r="629" spans="1:13" s="141" customFormat="1" x14ac:dyDescent="0.2">
      <c r="A629" s="172">
        <v>148</v>
      </c>
      <c r="B629" s="173" t="s">
        <v>930</v>
      </c>
      <c r="C629" s="174"/>
      <c r="D629" s="175" t="s">
        <v>163</v>
      </c>
      <c r="E629" s="175"/>
      <c r="F629" s="175"/>
      <c r="G629" s="175"/>
      <c r="H629" s="175"/>
      <c r="I629" s="228" t="s">
        <v>931</v>
      </c>
      <c r="J629" s="177" t="s">
        <v>829</v>
      </c>
      <c r="K629" s="368">
        <f>190000*55%</f>
        <v>104500.00000000001</v>
      </c>
      <c r="L629" s="179" t="s">
        <v>166</v>
      </c>
      <c r="M629" s="180" t="s">
        <v>932</v>
      </c>
    </row>
    <row r="630" spans="1:13" s="141" customFormat="1" x14ac:dyDescent="0.2">
      <c r="A630" s="182"/>
      <c r="B630" s="183"/>
      <c r="C630" s="184"/>
      <c r="D630" s="185"/>
      <c r="E630" s="185"/>
      <c r="F630" s="185"/>
      <c r="G630" s="185"/>
      <c r="H630" s="185"/>
      <c r="I630" s="192" t="s">
        <v>933</v>
      </c>
      <c r="J630" s="191" t="s">
        <v>829</v>
      </c>
      <c r="K630" s="369">
        <f>190000*15%</f>
        <v>28500</v>
      </c>
      <c r="L630" s="189"/>
      <c r="M630" s="190"/>
    </row>
    <row r="631" spans="1:13" s="141" customFormat="1" x14ac:dyDescent="0.2">
      <c r="A631" s="182"/>
      <c r="B631" s="183"/>
      <c r="C631" s="184"/>
      <c r="D631" s="185"/>
      <c r="E631" s="185"/>
      <c r="F631" s="185"/>
      <c r="G631" s="185"/>
      <c r="H631" s="185"/>
      <c r="I631" s="176" t="s">
        <v>934</v>
      </c>
      <c r="J631" s="187" t="s">
        <v>829</v>
      </c>
      <c r="K631" s="369">
        <f>190000*15%</f>
        <v>28500</v>
      </c>
      <c r="L631" s="189"/>
      <c r="M631" s="190"/>
    </row>
    <row r="632" spans="1:13" s="141" customFormat="1" x14ac:dyDescent="0.2">
      <c r="A632" s="182"/>
      <c r="B632" s="183"/>
      <c r="C632" s="184"/>
      <c r="D632" s="185"/>
      <c r="E632" s="185"/>
      <c r="F632" s="185"/>
      <c r="G632" s="185"/>
      <c r="H632" s="185"/>
      <c r="I632" s="186" t="s">
        <v>935</v>
      </c>
      <c r="J632" s="187" t="s">
        <v>829</v>
      </c>
      <c r="K632" s="205">
        <f>190000*15%</f>
        <v>28500</v>
      </c>
      <c r="L632" s="189"/>
      <c r="M632" s="190"/>
    </row>
    <row r="633" spans="1:13" s="141" customFormat="1" x14ac:dyDescent="0.2">
      <c r="A633" s="193"/>
      <c r="B633" s="194"/>
      <c r="C633" s="195"/>
      <c r="D633" s="196"/>
      <c r="E633" s="196"/>
      <c r="F633" s="196"/>
      <c r="G633" s="196"/>
      <c r="H633" s="196"/>
      <c r="I633" s="206"/>
      <c r="J633" s="198"/>
      <c r="K633" s="199">
        <f>SUM(K629:K632)</f>
        <v>190000</v>
      </c>
      <c r="L633" s="200"/>
      <c r="M633" s="201"/>
    </row>
    <row r="634" spans="1:13" s="141" customFormat="1" x14ac:dyDescent="0.2">
      <c r="A634" s="172">
        <v>149</v>
      </c>
      <c r="B634" s="173" t="s">
        <v>936</v>
      </c>
      <c r="C634" s="174"/>
      <c r="D634" s="175" t="s">
        <v>163</v>
      </c>
      <c r="E634" s="175"/>
      <c r="F634" s="175"/>
      <c r="G634" s="175"/>
      <c r="H634" s="175"/>
      <c r="I634" s="176" t="s">
        <v>937</v>
      </c>
      <c r="J634" s="177" t="s">
        <v>829</v>
      </c>
      <c r="K634" s="178">
        <f>190000*40%</f>
        <v>76000</v>
      </c>
      <c r="L634" s="179" t="s">
        <v>166</v>
      </c>
      <c r="M634" s="180" t="s">
        <v>938</v>
      </c>
    </row>
    <row r="635" spans="1:13" s="141" customFormat="1" x14ac:dyDescent="0.2">
      <c r="A635" s="182"/>
      <c r="B635" s="183"/>
      <c r="C635" s="184"/>
      <c r="D635" s="185"/>
      <c r="E635" s="185"/>
      <c r="F635" s="185"/>
      <c r="G635" s="185"/>
      <c r="H635" s="185"/>
      <c r="I635" s="192" t="s">
        <v>939</v>
      </c>
      <c r="J635" s="191" t="s">
        <v>829</v>
      </c>
      <c r="K635" s="188">
        <f>190000*30%</f>
        <v>57000</v>
      </c>
      <c r="L635" s="189"/>
      <c r="M635" s="190"/>
    </row>
    <row r="636" spans="1:13" s="141" customFormat="1" x14ac:dyDescent="0.2">
      <c r="A636" s="182"/>
      <c r="B636" s="183"/>
      <c r="C636" s="184"/>
      <c r="D636" s="185"/>
      <c r="E636" s="185"/>
      <c r="F636" s="185"/>
      <c r="G636" s="185"/>
      <c r="H636" s="185"/>
      <c r="I636" s="186" t="s">
        <v>940</v>
      </c>
      <c r="J636" s="187" t="s">
        <v>829</v>
      </c>
      <c r="K636" s="188">
        <f>190000*10%</f>
        <v>19000</v>
      </c>
      <c r="L636" s="189"/>
      <c r="M636" s="190"/>
    </row>
    <row r="637" spans="1:13" s="141" customFormat="1" x14ac:dyDescent="0.2">
      <c r="A637" s="182"/>
      <c r="B637" s="183"/>
      <c r="C637" s="184"/>
      <c r="D637" s="185"/>
      <c r="E637" s="185"/>
      <c r="F637" s="185"/>
      <c r="G637" s="185"/>
      <c r="H637" s="185"/>
      <c r="I637" s="186" t="s">
        <v>941</v>
      </c>
      <c r="J637" s="177" t="s">
        <v>829</v>
      </c>
      <c r="K637" s="369">
        <f>190000*10%</f>
        <v>19000</v>
      </c>
      <c r="L637" s="189"/>
      <c r="M637" s="190"/>
    </row>
    <row r="638" spans="1:13" s="141" customFormat="1" x14ac:dyDescent="0.2">
      <c r="A638" s="182"/>
      <c r="B638" s="183"/>
      <c r="C638" s="184"/>
      <c r="D638" s="185"/>
      <c r="E638" s="185"/>
      <c r="F638" s="185"/>
      <c r="G638" s="185"/>
      <c r="H638" s="185"/>
      <c r="I638" s="192" t="s">
        <v>942</v>
      </c>
      <c r="J638" s="187" t="s">
        <v>829</v>
      </c>
      <c r="K638" s="205">
        <f>190000*10%</f>
        <v>19000</v>
      </c>
      <c r="L638" s="189"/>
      <c r="M638" s="190"/>
    </row>
    <row r="639" spans="1:13" s="141" customFormat="1" x14ac:dyDescent="0.2">
      <c r="A639" s="193"/>
      <c r="B639" s="194"/>
      <c r="C639" s="195"/>
      <c r="D639" s="196"/>
      <c r="E639" s="196"/>
      <c r="F639" s="196"/>
      <c r="G639" s="196"/>
      <c r="H639" s="196"/>
      <c r="I639" s="197"/>
      <c r="J639" s="226"/>
      <c r="K639" s="199">
        <f>SUM(K634:K638)</f>
        <v>190000</v>
      </c>
      <c r="L639" s="200"/>
      <c r="M639" s="201"/>
    </row>
    <row r="640" spans="1:13" s="141" customFormat="1" x14ac:dyDescent="0.2">
      <c r="A640" s="172">
        <v>150</v>
      </c>
      <c r="B640" s="173" t="s">
        <v>943</v>
      </c>
      <c r="C640" s="174"/>
      <c r="D640" s="175" t="s">
        <v>163</v>
      </c>
      <c r="E640" s="175"/>
      <c r="F640" s="175"/>
      <c r="G640" s="175"/>
      <c r="H640" s="175"/>
      <c r="I640" s="228" t="s">
        <v>944</v>
      </c>
      <c r="J640" s="177" t="s">
        <v>829</v>
      </c>
      <c r="K640" s="178">
        <f>115585*40%</f>
        <v>46234</v>
      </c>
      <c r="L640" s="179" t="s">
        <v>166</v>
      </c>
      <c r="M640" s="180" t="s">
        <v>945</v>
      </c>
    </row>
    <row r="641" spans="1:14" s="141" customFormat="1" x14ac:dyDescent="0.2">
      <c r="A641" s="182"/>
      <c r="B641" s="183"/>
      <c r="C641" s="184"/>
      <c r="D641" s="185"/>
      <c r="E641" s="185"/>
      <c r="F641" s="185"/>
      <c r="G641" s="185"/>
      <c r="H641" s="185"/>
      <c r="I641" s="176" t="s">
        <v>946</v>
      </c>
      <c r="J641" s="187" t="s">
        <v>947</v>
      </c>
      <c r="K641" s="188">
        <f>115585*40%</f>
        <v>46234</v>
      </c>
      <c r="L641" s="189"/>
      <c r="M641" s="190"/>
      <c r="N641" s="181"/>
    </row>
    <row r="642" spans="1:14" s="141" customFormat="1" x14ac:dyDescent="0.2">
      <c r="A642" s="182"/>
      <c r="B642" s="183"/>
      <c r="C642" s="184"/>
      <c r="D642" s="185"/>
      <c r="E642" s="185"/>
      <c r="F642" s="185"/>
      <c r="G642" s="185"/>
      <c r="H642" s="185"/>
      <c r="I642" s="186" t="s">
        <v>948</v>
      </c>
      <c r="J642" s="177" t="s">
        <v>829</v>
      </c>
      <c r="K642" s="369">
        <f>115585*10%</f>
        <v>11558.5</v>
      </c>
      <c r="L642" s="189"/>
      <c r="M642" s="190"/>
    </row>
    <row r="643" spans="1:14" s="141" customFormat="1" x14ac:dyDescent="0.2">
      <c r="A643" s="182"/>
      <c r="B643" s="183"/>
      <c r="C643" s="184"/>
      <c r="D643" s="185"/>
      <c r="E643" s="185"/>
      <c r="F643" s="185"/>
      <c r="G643" s="185"/>
      <c r="H643" s="185"/>
      <c r="I643" s="186" t="s">
        <v>949</v>
      </c>
      <c r="J643" s="187" t="s">
        <v>829</v>
      </c>
      <c r="K643" s="205">
        <f>115585*10%</f>
        <v>11558.5</v>
      </c>
      <c r="L643" s="189"/>
      <c r="M643" s="190"/>
    </row>
    <row r="644" spans="1:14" s="141" customFormat="1" x14ac:dyDescent="0.2">
      <c r="A644" s="193"/>
      <c r="B644" s="194"/>
      <c r="C644" s="195"/>
      <c r="D644" s="196"/>
      <c r="E644" s="196"/>
      <c r="F644" s="196"/>
      <c r="G644" s="196"/>
      <c r="H644" s="196"/>
      <c r="I644" s="206"/>
      <c r="J644" s="198"/>
      <c r="K644" s="199">
        <f>SUM(K640:K643)</f>
        <v>115585</v>
      </c>
      <c r="L644" s="200"/>
      <c r="M644" s="201"/>
    </row>
    <row r="645" spans="1:14" s="141" customFormat="1" x14ac:dyDescent="0.2">
      <c r="A645" s="172">
        <v>151</v>
      </c>
      <c r="B645" s="173" t="s">
        <v>950</v>
      </c>
      <c r="C645" s="174"/>
      <c r="D645" s="175" t="s">
        <v>163</v>
      </c>
      <c r="E645" s="175"/>
      <c r="F645" s="175"/>
      <c r="G645" s="175"/>
      <c r="H645" s="175"/>
      <c r="I645" s="176" t="s">
        <v>951</v>
      </c>
      <c r="J645" s="177" t="s">
        <v>829</v>
      </c>
      <c r="K645" s="368">
        <f>258549*95%</f>
        <v>245621.55</v>
      </c>
      <c r="L645" s="179" t="s">
        <v>166</v>
      </c>
      <c r="M645" s="180" t="s">
        <v>952</v>
      </c>
    </row>
    <row r="646" spans="1:14" s="141" customFormat="1" x14ac:dyDescent="0.2">
      <c r="A646" s="182"/>
      <c r="B646" s="183"/>
      <c r="C646" s="184"/>
      <c r="D646" s="185"/>
      <c r="E646" s="185"/>
      <c r="F646" s="185"/>
      <c r="G646" s="185"/>
      <c r="H646" s="185"/>
      <c r="I646" s="186" t="s">
        <v>953</v>
      </c>
      <c r="J646" s="187" t="s">
        <v>829</v>
      </c>
      <c r="K646" s="205">
        <f>258549*5%</f>
        <v>12927.45</v>
      </c>
      <c r="L646" s="189"/>
      <c r="M646" s="190"/>
    </row>
    <row r="647" spans="1:14" s="141" customFormat="1" x14ac:dyDescent="0.2">
      <c r="A647" s="193"/>
      <c r="B647" s="194"/>
      <c r="C647" s="195"/>
      <c r="D647" s="196"/>
      <c r="E647" s="196"/>
      <c r="F647" s="196"/>
      <c r="G647" s="196"/>
      <c r="H647" s="196"/>
      <c r="I647" s="206"/>
      <c r="J647" s="226"/>
      <c r="K647" s="199">
        <f>SUM(K645:K646)</f>
        <v>258549</v>
      </c>
      <c r="L647" s="200"/>
      <c r="M647" s="201"/>
    </row>
    <row r="648" spans="1:14" s="141" customFormat="1" ht="66.75" customHeight="1" x14ac:dyDescent="0.2">
      <c r="A648" s="316">
        <v>152</v>
      </c>
      <c r="B648" s="173" t="s">
        <v>954</v>
      </c>
      <c r="C648" s="174"/>
      <c r="D648" s="321" t="s">
        <v>163</v>
      </c>
      <c r="E648" s="321"/>
      <c r="F648" s="321"/>
      <c r="G648" s="321"/>
      <c r="H648" s="321"/>
      <c r="I648" s="289" t="s">
        <v>955</v>
      </c>
      <c r="J648" s="202" t="s">
        <v>829</v>
      </c>
      <c r="K648" s="368">
        <f>12000*100%</f>
        <v>12000</v>
      </c>
      <c r="L648" s="323" t="s">
        <v>166</v>
      </c>
      <c r="M648" s="272" t="s">
        <v>956</v>
      </c>
    </row>
    <row r="649" spans="1:14" s="141" customFormat="1" x14ac:dyDescent="0.2">
      <c r="A649" s="172">
        <v>153</v>
      </c>
      <c r="B649" s="173" t="s">
        <v>957</v>
      </c>
      <c r="C649" s="174"/>
      <c r="D649" s="175" t="s">
        <v>163</v>
      </c>
      <c r="E649" s="175"/>
      <c r="F649" s="175"/>
      <c r="G649" s="175"/>
      <c r="H649" s="175"/>
      <c r="I649" s="176" t="s">
        <v>958</v>
      </c>
      <c r="J649" s="202" t="s">
        <v>829</v>
      </c>
      <c r="K649" s="178">
        <f>100000*35%</f>
        <v>35000</v>
      </c>
      <c r="L649" s="179" t="s">
        <v>166</v>
      </c>
      <c r="M649" s="180" t="s">
        <v>959</v>
      </c>
    </row>
    <row r="650" spans="1:14" s="141" customFormat="1" x14ac:dyDescent="0.2">
      <c r="A650" s="182"/>
      <c r="B650" s="183"/>
      <c r="C650" s="184"/>
      <c r="D650" s="185"/>
      <c r="E650" s="185"/>
      <c r="F650" s="185"/>
      <c r="G650" s="185"/>
      <c r="H650" s="185"/>
      <c r="I650" s="186" t="s">
        <v>960</v>
      </c>
      <c r="J650" s="259" t="s">
        <v>829</v>
      </c>
      <c r="K650" s="369">
        <f>100000*35%</f>
        <v>35000</v>
      </c>
      <c r="L650" s="189"/>
      <c r="M650" s="190"/>
    </row>
    <row r="651" spans="1:14" s="141" customFormat="1" x14ac:dyDescent="0.2">
      <c r="A651" s="182"/>
      <c r="B651" s="183"/>
      <c r="C651" s="184"/>
      <c r="D651" s="185"/>
      <c r="E651" s="185"/>
      <c r="F651" s="185"/>
      <c r="G651" s="185"/>
      <c r="H651" s="185"/>
      <c r="I651" s="186" t="s">
        <v>961</v>
      </c>
      <c r="J651" s="259" t="s">
        <v>829</v>
      </c>
      <c r="K651" s="205">
        <f>100000*10%</f>
        <v>10000</v>
      </c>
      <c r="L651" s="189"/>
      <c r="M651" s="190"/>
    </row>
    <row r="652" spans="1:14" s="141" customFormat="1" x14ac:dyDescent="0.2">
      <c r="A652" s="182"/>
      <c r="B652" s="183"/>
      <c r="C652" s="184"/>
      <c r="D652" s="185"/>
      <c r="E652" s="185"/>
      <c r="F652" s="185"/>
      <c r="G652" s="185"/>
      <c r="H652" s="185"/>
      <c r="I652" s="192" t="s">
        <v>962</v>
      </c>
      <c r="J652" s="259" t="s">
        <v>829</v>
      </c>
      <c r="K652" s="369">
        <f>100000*10%</f>
        <v>10000</v>
      </c>
      <c r="L652" s="189"/>
      <c r="M652" s="190"/>
    </row>
    <row r="653" spans="1:14" s="141" customFormat="1" x14ac:dyDescent="0.2">
      <c r="A653" s="182"/>
      <c r="B653" s="183"/>
      <c r="C653" s="184"/>
      <c r="D653" s="185"/>
      <c r="E653" s="185"/>
      <c r="F653" s="185"/>
      <c r="G653" s="185"/>
      <c r="H653" s="185"/>
      <c r="I653" s="192" t="s">
        <v>963</v>
      </c>
      <c r="J653" s="259" t="s">
        <v>829</v>
      </c>
      <c r="K653" s="369">
        <f>100000*10%</f>
        <v>10000</v>
      </c>
      <c r="L653" s="189"/>
      <c r="M653" s="190"/>
    </row>
    <row r="654" spans="1:14" s="141" customFormat="1" x14ac:dyDescent="0.2">
      <c r="A654" s="193"/>
      <c r="B654" s="194"/>
      <c r="C654" s="195"/>
      <c r="D654" s="196"/>
      <c r="E654" s="196"/>
      <c r="F654" s="196"/>
      <c r="G654" s="196"/>
      <c r="H654" s="196"/>
      <c r="I654" s="197"/>
      <c r="J654" s="226"/>
      <c r="K654" s="370">
        <f>SUM(K649:K653)</f>
        <v>100000</v>
      </c>
      <c r="L654" s="200"/>
      <c r="M654" s="201"/>
    </row>
    <row r="655" spans="1:14" s="141" customFormat="1" x14ac:dyDescent="0.2">
      <c r="A655" s="172">
        <v>154</v>
      </c>
      <c r="B655" s="173" t="s">
        <v>964</v>
      </c>
      <c r="C655" s="174"/>
      <c r="D655" s="175" t="s">
        <v>163</v>
      </c>
      <c r="E655" s="175"/>
      <c r="F655" s="175"/>
      <c r="G655" s="175"/>
      <c r="H655" s="175"/>
      <c r="I655" s="176" t="s">
        <v>965</v>
      </c>
      <c r="J655" s="177" t="s">
        <v>829</v>
      </c>
      <c r="K655" s="368">
        <f>100000*60%</f>
        <v>60000</v>
      </c>
      <c r="L655" s="179" t="s">
        <v>166</v>
      </c>
      <c r="M655" s="180" t="s">
        <v>966</v>
      </c>
    </row>
    <row r="656" spans="1:14" s="141" customFormat="1" x14ac:dyDescent="0.2">
      <c r="A656" s="182"/>
      <c r="B656" s="183"/>
      <c r="C656" s="184"/>
      <c r="D656" s="185"/>
      <c r="E656" s="185"/>
      <c r="F656" s="185"/>
      <c r="G656" s="185"/>
      <c r="H656" s="185"/>
      <c r="I656" s="192" t="s">
        <v>967</v>
      </c>
      <c r="J656" s="187" t="s">
        <v>829</v>
      </c>
      <c r="K656" s="369">
        <f>100000*20%</f>
        <v>20000</v>
      </c>
      <c r="L656" s="189"/>
      <c r="M656" s="190"/>
    </row>
    <row r="657" spans="1:13" s="141" customFormat="1" x14ac:dyDescent="0.2">
      <c r="A657" s="182"/>
      <c r="B657" s="183"/>
      <c r="C657" s="184"/>
      <c r="D657" s="185"/>
      <c r="E657" s="185"/>
      <c r="F657" s="185"/>
      <c r="G657" s="185"/>
      <c r="H657" s="185"/>
      <c r="I657" s="192" t="s">
        <v>962</v>
      </c>
      <c r="J657" s="259" t="s">
        <v>829</v>
      </c>
      <c r="K657" s="369">
        <f>100000*10%</f>
        <v>10000</v>
      </c>
      <c r="L657" s="189"/>
      <c r="M657" s="190"/>
    </row>
    <row r="658" spans="1:13" s="141" customFormat="1" x14ac:dyDescent="0.2">
      <c r="A658" s="182"/>
      <c r="B658" s="183"/>
      <c r="C658" s="184"/>
      <c r="D658" s="185"/>
      <c r="E658" s="185"/>
      <c r="F658" s="185"/>
      <c r="G658" s="185"/>
      <c r="H658" s="185"/>
      <c r="I658" s="176" t="s">
        <v>968</v>
      </c>
      <c r="J658" s="187" t="s">
        <v>829</v>
      </c>
      <c r="K658" s="369">
        <f>100000*10%</f>
        <v>10000</v>
      </c>
      <c r="L658" s="189"/>
      <c r="M658" s="190"/>
    </row>
    <row r="659" spans="1:13" s="141" customFormat="1" x14ac:dyDescent="0.2">
      <c r="A659" s="193"/>
      <c r="B659" s="194"/>
      <c r="C659" s="195"/>
      <c r="D659" s="196"/>
      <c r="E659" s="196"/>
      <c r="F659" s="196"/>
      <c r="G659" s="196"/>
      <c r="H659" s="196"/>
      <c r="I659" s="186"/>
      <c r="J659" s="177"/>
      <c r="K659" s="205">
        <f>SUM(K655:K658)</f>
        <v>100000</v>
      </c>
      <c r="L659" s="200"/>
      <c r="M659" s="201"/>
    </row>
    <row r="660" spans="1:13" s="141" customFormat="1" x14ac:dyDescent="0.2">
      <c r="A660" s="172">
        <v>155</v>
      </c>
      <c r="B660" s="173" t="s">
        <v>969</v>
      </c>
      <c r="C660" s="174"/>
      <c r="D660" s="175" t="s">
        <v>163</v>
      </c>
      <c r="E660" s="175"/>
      <c r="F660" s="175"/>
      <c r="G660" s="175"/>
      <c r="H660" s="175"/>
      <c r="I660" s="322" t="s">
        <v>967</v>
      </c>
      <c r="J660" s="202" t="s">
        <v>829</v>
      </c>
      <c r="K660" s="367">
        <f>100000*20%</f>
        <v>20000</v>
      </c>
      <c r="L660" s="174" t="s">
        <v>166</v>
      </c>
      <c r="M660" s="180" t="s">
        <v>970</v>
      </c>
    </row>
    <row r="661" spans="1:13" s="141" customFormat="1" x14ac:dyDescent="0.2">
      <c r="A661" s="182"/>
      <c r="B661" s="183"/>
      <c r="C661" s="184"/>
      <c r="D661" s="185"/>
      <c r="E661" s="185"/>
      <c r="F661" s="185"/>
      <c r="G661" s="185"/>
      <c r="H661" s="185"/>
      <c r="I661" s="192" t="s">
        <v>971</v>
      </c>
      <c r="J661" s="187" t="s">
        <v>829</v>
      </c>
      <c r="K661" s="204">
        <f>100000*20%</f>
        <v>20000</v>
      </c>
      <c r="L661" s="184"/>
      <c r="M661" s="190"/>
    </row>
    <row r="662" spans="1:13" s="141" customFormat="1" x14ac:dyDescent="0.2">
      <c r="A662" s="182"/>
      <c r="B662" s="183"/>
      <c r="C662" s="184"/>
      <c r="D662" s="185"/>
      <c r="E662" s="185"/>
      <c r="F662" s="185"/>
      <c r="G662" s="185"/>
      <c r="H662" s="185"/>
      <c r="I662" s="192" t="s">
        <v>366</v>
      </c>
      <c r="J662" s="177" t="s">
        <v>829</v>
      </c>
      <c r="K662" s="371">
        <f>100000*10%</f>
        <v>10000</v>
      </c>
      <c r="L662" s="184"/>
      <c r="M662" s="190"/>
    </row>
    <row r="663" spans="1:13" s="141" customFormat="1" x14ac:dyDescent="0.2">
      <c r="A663" s="182"/>
      <c r="B663" s="183"/>
      <c r="C663" s="184"/>
      <c r="D663" s="185"/>
      <c r="E663" s="185"/>
      <c r="F663" s="185"/>
      <c r="G663" s="185"/>
      <c r="H663" s="185"/>
      <c r="I663" s="283" t="s">
        <v>972</v>
      </c>
      <c r="J663" s="191" t="s">
        <v>829</v>
      </c>
      <c r="K663" s="203">
        <f>100000*10%</f>
        <v>10000</v>
      </c>
      <c r="L663" s="184"/>
      <c r="M663" s="190"/>
    </row>
    <row r="664" spans="1:13" s="141" customFormat="1" x14ac:dyDescent="0.2">
      <c r="A664" s="182"/>
      <c r="B664" s="183"/>
      <c r="C664" s="184"/>
      <c r="D664" s="185"/>
      <c r="E664" s="185"/>
      <c r="F664" s="185"/>
      <c r="G664" s="185"/>
      <c r="H664" s="185"/>
      <c r="I664" s="176" t="s">
        <v>973</v>
      </c>
      <c r="J664" s="191" t="s">
        <v>829</v>
      </c>
      <c r="K664" s="204">
        <f>100000*10%</f>
        <v>10000</v>
      </c>
      <c r="L664" s="184"/>
      <c r="M664" s="190"/>
    </row>
    <row r="665" spans="1:13" s="141" customFormat="1" x14ac:dyDescent="0.2">
      <c r="A665" s="182"/>
      <c r="B665" s="183"/>
      <c r="C665" s="184"/>
      <c r="D665" s="185"/>
      <c r="E665" s="185"/>
      <c r="F665" s="185"/>
      <c r="G665" s="185"/>
      <c r="H665" s="185"/>
      <c r="I665" s="192" t="s">
        <v>974</v>
      </c>
      <c r="J665" s="191" t="s">
        <v>829</v>
      </c>
      <c r="K665" s="204">
        <f>100000*30%</f>
        <v>30000</v>
      </c>
      <c r="L665" s="184"/>
      <c r="M665" s="190"/>
    </row>
    <row r="666" spans="1:13" s="141" customFormat="1" x14ac:dyDescent="0.2">
      <c r="A666" s="193"/>
      <c r="B666" s="194"/>
      <c r="C666" s="195"/>
      <c r="D666" s="196"/>
      <c r="E666" s="196"/>
      <c r="F666" s="196"/>
      <c r="G666" s="196"/>
      <c r="H666" s="196"/>
      <c r="I666" s="206"/>
      <c r="J666" s="198"/>
      <c r="K666" s="372">
        <f>SUM(K660:K665)</f>
        <v>100000</v>
      </c>
      <c r="L666" s="195"/>
      <c r="M666" s="201"/>
    </row>
    <row r="667" spans="1:13" s="141" customFormat="1" x14ac:dyDescent="0.2">
      <c r="A667" s="172">
        <v>156</v>
      </c>
      <c r="B667" s="173" t="s">
        <v>975</v>
      </c>
      <c r="C667" s="174"/>
      <c r="D667" s="175" t="s">
        <v>163</v>
      </c>
      <c r="E667" s="175"/>
      <c r="F667" s="175"/>
      <c r="G667" s="175"/>
      <c r="H667" s="258"/>
      <c r="I667" s="228" t="s">
        <v>976</v>
      </c>
      <c r="J667" s="202" t="s">
        <v>829</v>
      </c>
      <c r="K667" s="373">
        <f>K671*50%</f>
        <v>50000</v>
      </c>
      <c r="L667" s="174" t="s">
        <v>166</v>
      </c>
      <c r="M667" s="180" t="s">
        <v>977</v>
      </c>
    </row>
    <row r="668" spans="1:13" s="141" customFormat="1" x14ac:dyDescent="0.2">
      <c r="A668" s="182"/>
      <c r="B668" s="183"/>
      <c r="C668" s="184"/>
      <c r="D668" s="185"/>
      <c r="E668" s="185"/>
      <c r="F668" s="185"/>
      <c r="G668" s="185"/>
      <c r="H668" s="260"/>
      <c r="I668" s="192" t="s">
        <v>978</v>
      </c>
      <c r="J668" s="187" t="s">
        <v>829</v>
      </c>
      <c r="K668" s="204">
        <f>K671*30%</f>
        <v>30000</v>
      </c>
      <c r="L668" s="184"/>
      <c r="M668" s="190"/>
    </row>
    <row r="669" spans="1:13" s="141" customFormat="1" x14ac:dyDescent="0.2">
      <c r="A669" s="182"/>
      <c r="B669" s="183"/>
      <c r="C669" s="184"/>
      <c r="D669" s="185"/>
      <c r="E669" s="185"/>
      <c r="F669" s="185"/>
      <c r="G669" s="185"/>
      <c r="H669" s="260"/>
      <c r="I669" s="192" t="s">
        <v>979</v>
      </c>
      <c r="J669" s="187" t="s">
        <v>829</v>
      </c>
      <c r="K669" s="204">
        <f>K671*10%</f>
        <v>10000</v>
      </c>
      <c r="L669" s="184"/>
      <c r="M669" s="190"/>
    </row>
    <row r="670" spans="1:13" s="141" customFormat="1" x14ac:dyDescent="0.2">
      <c r="A670" s="182"/>
      <c r="B670" s="183"/>
      <c r="C670" s="184"/>
      <c r="D670" s="185"/>
      <c r="E670" s="185"/>
      <c r="F670" s="185"/>
      <c r="G670" s="185"/>
      <c r="H670" s="260"/>
      <c r="I670" s="192" t="s">
        <v>980</v>
      </c>
      <c r="J670" s="187" t="s">
        <v>829</v>
      </c>
      <c r="K670" s="204">
        <f>K671*10%</f>
        <v>10000</v>
      </c>
      <c r="L670" s="184"/>
      <c r="M670" s="190"/>
    </row>
    <row r="671" spans="1:13" s="141" customFormat="1" x14ac:dyDescent="0.2">
      <c r="A671" s="193"/>
      <c r="B671" s="194"/>
      <c r="C671" s="195"/>
      <c r="D671" s="196"/>
      <c r="E671" s="196"/>
      <c r="F671" s="196"/>
      <c r="G671" s="196"/>
      <c r="H671" s="262"/>
      <c r="I671" s="206"/>
      <c r="J671" s="198"/>
      <c r="K671" s="374">
        <v>100000</v>
      </c>
      <c r="L671" s="195"/>
      <c r="M671" s="201"/>
    </row>
    <row r="672" spans="1:13" s="141" customFormat="1" ht="21" customHeight="1" x14ac:dyDescent="0.2">
      <c r="A672" s="172">
        <v>157</v>
      </c>
      <c r="B672" s="173" t="s">
        <v>981</v>
      </c>
      <c r="C672" s="174"/>
      <c r="D672" s="175" t="s">
        <v>163</v>
      </c>
      <c r="E672" s="175"/>
      <c r="F672" s="175"/>
      <c r="G672" s="175"/>
      <c r="H672" s="175" t="s">
        <v>108</v>
      </c>
      <c r="I672" s="375" t="s">
        <v>982</v>
      </c>
      <c r="J672" s="202" t="s">
        <v>983</v>
      </c>
      <c r="K672" s="376">
        <f>K676*40%</f>
        <v>2000</v>
      </c>
      <c r="L672" s="174" t="s">
        <v>166</v>
      </c>
      <c r="M672" s="180" t="s">
        <v>984</v>
      </c>
    </row>
    <row r="673" spans="1:13" s="141" customFormat="1" ht="21" customHeight="1" x14ac:dyDescent="0.2">
      <c r="A673" s="182"/>
      <c r="B673" s="183"/>
      <c r="C673" s="184"/>
      <c r="D673" s="185"/>
      <c r="E673" s="185"/>
      <c r="F673" s="185"/>
      <c r="G673" s="185"/>
      <c r="H673" s="185"/>
      <c r="I673" s="377" t="s">
        <v>985</v>
      </c>
      <c r="J673" s="187" t="s">
        <v>983</v>
      </c>
      <c r="K673" s="204">
        <f>K676*20%</f>
        <v>1000</v>
      </c>
      <c r="L673" s="184"/>
      <c r="M673" s="190"/>
    </row>
    <row r="674" spans="1:13" s="141" customFormat="1" ht="21" customHeight="1" x14ac:dyDescent="0.2">
      <c r="A674" s="182"/>
      <c r="B674" s="183"/>
      <c r="C674" s="184"/>
      <c r="D674" s="185"/>
      <c r="E674" s="185"/>
      <c r="F674" s="185"/>
      <c r="G674" s="185"/>
      <c r="H674" s="185"/>
      <c r="I674" s="377" t="s">
        <v>986</v>
      </c>
      <c r="J674" s="187" t="s">
        <v>983</v>
      </c>
      <c r="K674" s="204">
        <f>K676*20%</f>
        <v>1000</v>
      </c>
      <c r="L674" s="184"/>
      <c r="M674" s="190"/>
    </row>
    <row r="675" spans="1:13" s="141" customFormat="1" ht="21" customHeight="1" x14ac:dyDescent="0.2">
      <c r="A675" s="182"/>
      <c r="B675" s="183"/>
      <c r="C675" s="184"/>
      <c r="D675" s="185"/>
      <c r="E675" s="185"/>
      <c r="F675" s="185"/>
      <c r="G675" s="185"/>
      <c r="H675" s="185"/>
      <c r="I675" s="377" t="s">
        <v>987</v>
      </c>
      <c r="J675" s="187" t="s">
        <v>829</v>
      </c>
      <c r="K675" s="204">
        <f>K676*20%</f>
        <v>1000</v>
      </c>
      <c r="L675" s="184"/>
      <c r="M675" s="190"/>
    </row>
    <row r="676" spans="1:13" s="141" customFormat="1" ht="21" customHeight="1" x14ac:dyDescent="0.2">
      <c r="A676" s="193"/>
      <c r="B676" s="194"/>
      <c r="C676" s="195"/>
      <c r="D676" s="196"/>
      <c r="E676" s="196"/>
      <c r="F676" s="196"/>
      <c r="G676" s="196"/>
      <c r="H676" s="196"/>
      <c r="I676" s="378"/>
      <c r="J676" s="198"/>
      <c r="K676" s="203">
        <v>5000</v>
      </c>
      <c r="L676" s="195"/>
      <c r="M676" s="201"/>
    </row>
    <row r="677" spans="1:13" s="141" customFormat="1" x14ac:dyDescent="0.2">
      <c r="A677" s="172">
        <v>158</v>
      </c>
      <c r="B677" s="173" t="s">
        <v>988</v>
      </c>
      <c r="C677" s="174"/>
      <c r="D677" s="175" t="s">
        <v>163</v>
      </c>
      <c r="E677" s="175"/>
      <c r="F677" s="175"/>
      <c r="G677" s="175"/>
      <c r="H677" s="258" t="s">
        <v>108</v>
      </c>
      <c r="I677" s="228" t="s">
        <v>989</v>
      </c>
      <c r="J677" s="202" t="s">
        <v>829</v>
      </c>
      <c r="K677" s="373">
        <f>K681*70%</f>
        <v>70308</v>
      </c>
      <c r="L677" s="174" t="s">
        <v>166</v>
      </c>
      <c r="M677" s="180" t="s">
        <v>990</v>
      </c>
    </row>
    <row r="678" spans="1:13" s="141" customFormat="1" ht="22.5" customHeight="1" x14ac:dyDescent="0.2">
      <c r="A678" s="182"/>
      <c r="B678" s="183"/>
      <c r="C678" s="184"/>
      <c r="D678" s="185"/>
      <c r="E678" s="185"/>
      <c r="F678" s="185"/>
      <c r="G678" s="185"/>
      <c r="H678" s="260"/>
      <c r="I678" s="192" t="s">
        <v>991</v>
      </c>
      <c r="J678" s="187" t="s">
        <v>983</v>
      </c>
      <c r="K678" s="204">
        <f>K681*10%</f>
        <v>10044</v>
      </c>
      <c r="L678" s="184"/>
      <c r="M678" s="190"/>
    </row>
    <row r="679" spans="1:13" s="141" customFormat="1" ht="23.25" customHeight="1" x14ac:dyDescent="0.2">
      <c r="A679" s="182"/>
      <c r="B679" s="183"/>
      <c r="C679" s="184"/>
      <c r="D679" s="185"/>
      <c r="E679" s="185"/>
      <c r="F679" s="185"/>
      <c r="G679" s="185"/>
      <c r="H679" s="260"/>
      <c r="I679" s="192" t="s">
        <v>992</v>
      </c>
      <c r="J679" s="187" t="s">
        <v>983</v>
      </c>
      <c r="K679" s="204">
        <f>K681*10%</f>
        <v>10044</v>
      </c>
      <c r="L679" s="184"/>
      <c r="M679" s="190"/>
    </row>
    <row r="680" spans="1:13" s="141" customFormat="1" x14ac:dyDescent="0.2">
      <c r="A680" s="182"/>
      <c r="B680" s="183"/>
      <c r="C680" s="184"/>
      <c r="D680" s="185"/>
      <c r="E680" s="185"/>
      <c r="F680" s="185"/>
      <c r="G680" s="185"/>
      <c r="H680" s="260"/>
      <c r="I680" s="192" t="s">
        <v>871</v>
      </c>
      <c r="J680" s="187" t="s">
        <v>829</v>
      </c>
      <c r="K680" s="204">
        <f>K681*10%</f>
        <v>10044</v>
      </c>
      <c r="L680" s="184"/>
      <c r="M680" s="190"/>
    </row>
    <row r="681" spans="1:13" s="141" customFormat="1" x14ac:dyDescent="0.2">
      <c r="A681" s="193"/>
      <c r="B681" s="194"/>
      <c r="C681" s="195"/>
      <c r="D681" s="196"/>
      <c r="E681" s="196"/>
      <c r="F681" s="196"/>
      <c r="G681" s="196"/>
      <c r="H681" s="262"/>
      <c r="I681" s="206"/>
      <c r="J681" s="198"/>
      <c r="K681" s="374">
        <v>100440</v>
      </c>
      <c r="L681" s="195"/>
      <c r="M681" s="201"/>
    </row>
    <row r="682" spans="1:13" s="141" customFormat="1" ht="22.5" customHeight="1" x14ac:dyDescent="0.2">
      <c r="A682" s="172">
        <v>159</v>
      </c>
      <c r="B682" s="173" t="s">
        <v>993</v>
      </c>
      <c r="C682" s="174"/>
      <c r="D682" s="175" t="s">
        <v>163</v>
      </c>
      <c r="E682" s="175"/>
      <c r="F682" s="175"/>
      <c r="G682" s="175"/>
      <c r="H682" s="175" t="s">
        <v>164</v>
      </c>
      <c r="I682" s="379" t="s">
        <v>994</v>
      </c>
      <c r="J682" s="259" t="s">
        <v>983</v>
      </c>
      <c r="K682" s="376">
        <f>K684*90%</f>
        <v>45832.5</v>
      </c>
      <c r="L682" s="174" t="s">
        <v>166</v>
      </c>
      <c r="M682" s="180" t="s">
        <v>995</v>
      </c>
    </row>
    <row r="683" spans="1:13" s="141" customFormat="1" x14ac:dyDescent="0.2">
      <c r="A683" s="182"/>
      <c r="B683" s="183"/>
      <c r="C683" s="184"/>
      <c r="D683" s="185"/>
      <c r="E683" s="185"/>
      <c r="F683" s="185"/>
      <c r="G683" s="185"/>
      <c r="H683" s="185"/>
      <c r="I683" s="377" t="s">
        <v>996</v>
      </c>
      <c r="J683" s="187" t="s">
        <v>829</v>
      </c>
      <c r="K683" s="204">
        <f>K684*10%</f>
        <v>5092.5</v>
      </c>
      <c r="L683" s="184"/>
      <c r="M683" s="190"/>
    </row>
    <row r="684" spans="1:13" s="141" customFormat="1" x14ac:dyDescent="0.2">
      <c r="A684" s="193"/>
      <c r="B684" s="194"/>
      <c r="C684" s="195"/>
      <c r="D684" s="196"/>
      <c r="E684" s="196"/>
      <c r="F684" s="196"/>
      <c r="G684" s="196"/>
      <c r="H684" s="196"/>
      <c r="I684" s="380"/>
      <c r="J684" s="191"/>
      <c r="K684" s="203">
        <v>50925</v>
      </c>
      <c r="L684" s="195"/>
      <c r="M684" s="201"/>
    </row>
    <row r="685" spans="1:13" s="141" customFormat="1" ht="21" customHeight="1" x14ac:dyDescent="0.2">
      <c r="A685" s="172">
        <v>160</v>
      </c>
      <c r="B685" s="173" t="s">
        <v>997</v>
      </c>
      <c r="C685" s="174"/>
      <c r="D685" s="175" t="s">
        <v>163</v>
      </c>
      <c r="E685" s="175"/>
      <c r="F685" s="175"/>
      <c r="G685" s="175"/>
      <c r="H685" s="175" t="s">
        <v>137</v>
      </c>
      <c r="I685" s="375" t="s">
        <v>998</v>
      </c>
      <c r="J685" s="202" t="s">
        <v>983</v>
      </c>
      <c r="K685" s="373">
        <f>K688*70%</f>
        <v>66514</v>
      </c>
      <c r="L685" s="174" t="s">
        <v>166</v>
      </c>
      <c r="M685" s="180" t="s">
        <v>999</v>
      </c>
    </row>
    <row r="686" spans="1:13" s="141" customFormat="1" ht="24" customHeight="1" x14ac:dyDescent="0.2">
      <c r="A686" s="182"/>
      <c r="B686" s="183"/>
      <c r="C686" s="184"/>
      <c r="D686" s="185"/>
      <c r="E686" s="185"/>
      <c r="F686" s="185"/>
      <c r="G686" s="185"/>
      <c r="H686" s="185"/>
      <c r="I686" s="377" t="s">
        <v>1000</v>
      </c>
      <c r="J686" s="187" t="s">
        <v>983</v>
      </c>
      <c r="K686" s="204">
        <f>K688*20%</f>
        <v>19004</v>
      </c>
      <c r="L686" s="184"/>
      <c r="M686" s="190"/>
    </row>
    <row r="687" spans="1:13" s="141" customFormat="1" x14ac:dyDescent="0.2">
      <c r="A687" s="182"/>
      <c r="B687" s="183"/>
      <c r="C687" s="184"/>
      <c r="D687" s="185"/>
      <c r="E687" s="185"/>
      <c r="F687" s="185"/>
      <c r="G687" s="185"/>
      <c r="H687" s="185"/>
      <c r="I687" s="377" t="s">
        <v>1001</v>
      </c>
      <c r="J687" s="187" t="s">
        <v>829</v>
      </c>
      <c r="K687" s="204">
        <f>K688*10%</f>
        <v>9502</v>
      </c>
      <c r="L687" s="184"/>
      <c r="M687" s="190"/>
    </row>
    <row r="688" spans="1:13" s="141" customFormat="1" x14ac:dyDescent="0.2">
      <c r="A688" s="193"/>
      <c r="B688" s="194"/>
      <c r="C688" s="195"/>
      <c r="D688" s="196"/>
      <c r="E688" s="196"/>
      <c r="F688" s="196"/>
      <c r="G688" s="196"/>
      <c r="H688" s="196"/>
      <c r="I688" s="378"/>
      <c r="J688" s="198"/>
      <c r="K688" s="374">
        <v>95020</v>
      </c>
      <c r="L688" s="195"/>
      <c r="M688" s="201"/>
    </row>
    <row r="689" spans="1:13" s="141" customFormat="1" ht="23.25" customHeight="1" x14ac:dyDescent="0.2">
      <c r="A689" s="172">
        <v>161</v>
      </c>
      <c r="B689" s="173" t="s">
        <v>1002</v>
      </c>
      <c r="C689" s="174"/>
      <c r="D689" s="175" t="s">
        <v>163</v>
      </c>
      <c r="E689" s="175"/>
      <c r="F689" s="175"/>
      <c r="G689" s="175"/>
      <c r="H689" s="175" t="s">
        <v>164</v>
      </c>
      <c r="I689" s="379" t="s">
        <v>1003</v>
      </c>
      <c r="J689" s="259" t="s">
        <v>983</v>
      </c>
      <c r="K689" s="381">
        <f>K691*95%</f>
        <v>105621</v>
      </c>
      <c r="L689" s="174" t="s">
        <v>166</v>
      </c>
      <c r="M689" s="180" t="s">
        <v>1004</v>
      </c>
    </row>
    <row r="690" spans="1:13" s="141" customFormat="1" x14ac:dyDescent="0.2">
      <c r="A690" s="182"/>
      <c r="B690" s="183"/>
      <c r="C690" s="184"/>
      <c r="D690" s="185"/>
      <c r="E690" s="185"/>
      <c r="F690" s="185"/>
      <c r="G690" s="185"/>
      <c r="H690" s="185"/>
      <c r="I690" s="377" t="s">
        <v>1005</v>
      </c>
      <c r="J690" s="187" t="s">
        <v>829</v>
      </c>
      <c r="K690" s="204">
        <f>K691*5%</f>
        <v>5559</v>
      </c>
      <c r="L690" s="184"/>
      <c r="M690" s="190"/>
    </row>
    <row r="691" spans="1:13" s="141" customFormat="1" x14ac:dyDescent="0.2">
      <c r="A691" s="193"/>
      <c r="B691" s="194"/>
      <c r="C691" s="195"/>
      <c r="D691" s="196"/>
      <c r="E691" s="196"/>
      <c r="F691" s="196"/>
      <c r="G691" s="196"/>
      <c r="H691" s="196"/>
      <c r="I691" s="380"/>
      <c r="J691" s="191"/>
      <c r="K691" s="203">
        <v>111180</v>
      </c>
      <c r="L691" s="195"/>
      <c r="M691" s="201"/>
    </row>
    <row r="692" spans="1:13" s="141" customFormat="1" ht="24" customHeight="1" x14ac:dyDescent="0.2">
      <c r="A692" s="172">
        <v>162</v>
      </c>
      <c r="B692" s="173" t="s">
        <v>1006</v>
      </c>
      <c r="C692" s="174"/>
      <c r="D692" s="175" t="s">
        <v>163</v>
      </c>
      <c r="E692" s="175"/>
      <c r="F692" s="175"/>
      <c r="G692" s="175"/>
      <c r="H692" s="175" t="s">
        <v>164</v>
      </c>
      <c r="I692" s="375" t="s">
        <v>1007</v>
      </c>
      <c r="J692" s="202" t="s">
        <v>983</v>
      </c>
      <c r="K692" s="373">
        <f>K694*95%</f>
        <v>80631.25</v>
      </c>
      <c r="L692" s="174" t="s">
        <v>166</v>
      </c>
      <c r="M692" s="180" t="s">
        <v>1008</v>
      </c>
    </row>
    <row r="693" spans="1:13" s="141" customFormat="1" x14ac:dyDescent="0.2">
      <c r="A693" s="182"/>
      <c r="B693" s="183"/>
      <c r="C693" s="184"/>
      <c r="D693" s="185"/>
      <c r="E693" s="185"/>
      <c r="F693" s="185"/>
      <c r="G693" s="185"/>
      <c r="H693" s="185"/>
      <c r="I693" s="377" t="s">
        <v>1009</v>
      </c>
      <c r="J693" s="187" t="s">
        <v>829</v>
      </c>
      <c r="K693" s="204">
        <f>K694*5%</f>
        <v>4243.75</v>
      </c>
      <c r="L693" s="184"/>
      <c r="M693" s="190"/>
    </row>
    <row r="694" spans="1:13" s="141" customFormat="1" x14ac:dyDescent="0.2">
      <c r="A694" s="193"/>
      <c r="B694" s="194"/>
      <c r="C694" s="195"/>
      <c r="D694" s="196"/>
      <c r="E694" s="196"/>
      <c r="F694" s="196"/>
      <c r="G694" s="196"/>
      <c r="H694" s="196"/>
      <c r="I694" s="378"/>
      <c r="J694" s="198"/>
      <c r="K694" s="374">
        <v>84875</v>
      </c>
      <c r="L694" s="195"/>
      <c r="M694" s="201"/>
    </row>
    <row r="695" spans="1:13" s="141" customFormat="1" ht="25.5" customHeight="1" x14ac:dyDescent="0.2">
      <c r="A695" s="172">
        <v>163</v>
      </c>
      <c r="B695" s="173" t="s">
        <v>1010</v>
      </c>
      <c r="C695" s="174"/>
      <c r="D695" s="175" t="s">
        <v>163</v>
      </c>
      <c r="E695" s="175"/>
      <c r="F695" s="175"/>
      <c r="G695" s="175"/>
      <c r="H695" s="175" t="s">
        <v>1011</v>
      </c>
      <c r="I695" s="379" t="s">
        <v>1012</v>
      </c>
      <c r="J695" s="259" t="s">
        <v>983</v>
      </c>
      <c r="K695" s="376">
        <f>K700*30%</f>
        <v>2316</v>
      </c>
      <c r="L695" s="174" t="s">
        <v>166</v>
      </c>
      <c r="M695" s="180" t="s">
        <v>1013</v>
      </c>
    </row>
    <row r="696" spans="1:13" s="141" customFormat="1" ht="20.25" customHeight="1" x14ac:dyDescent="0.2">
      <c r="A696" s="182"/>
      <c r="B696" s="183"/>
      <c r="C696" s="184"/>
      <c r="D696" s="185"/>
      <c r="E696" s="185"/>
      <c r="F696" s="185"/>
      <c r="G696" s="185"/>
      <c r="H696" s="185"/>
      <c r="I696" s="377" t="s">
        <v>1014</v>
      </c>
      <c r="J696" s="187" t="s">
        <v>983</v>
      </c>
      <c r="K696" s="204">
        <f>K700*25%</f>
        <v>1930</v>
      </c>
      <c r="L696" s="184"/>
      <c r="M696" s="190"/>
    </row>
    <row r="697" spans="1:13" s="141" customFormat="1" ht="25.5" customHeight="1" x14ac:dyDescent="0.2">
      <c r="A697" s="182"/>
      <c r="B697" s="183"/>
      <c r="C697" s="184"/>
      <c r="D697" s="185"/>
      <c r="E697" s="185"/>
      <c r="F697" s="185"/>
      <c r="G697" s="185"/>
      <c r="H697" s="185"/>
      <c r="I697" s="377" t="s">
        <v>1015</v>
      </c>
      <c r="J697" s="187" t="s">
        <v>983</v>
      </c>
      <c r="K697" s="204">
        <f>K700*10%</f>
        <v>772</v>
      </c>
      <c r="L697" s="184"/>
      <c r="M697" s="190"/>
    </row>
    <row r="698" spans="1:13" s="141" customFormat="1" ht="24.75" customHeight="1" x14ac:dyDescent="0.2">
      <c r="A698" s="182"/>
      <c r="B698" s="183"/>
      <c r="C698" s="184"/>
      <c r="D698" s="185"/>
      <c r="E698" s="185"/>
      <c r="F698" s="185"/>
      <c r="G698" s="185"/>
      <c r="H698" s="185"/>
      <c r="I698" s="377" t="s">
        <v>1016</v>
      </c>
      <c r="J698" s="187" t="s">
        <v>983</v>
      </c>
      <c r="K698" s="204">
        <f>K700*10%</f>
        <v>772</v>
      </c>
      <c r="L698" s="184"/>
      <c r="M698" s="190"/>
    </row>
    <row r="699" spans="1:13" s="141" customFormat="1" ht="25.5" customHeight="1" x14ac:dyDescent="0.2">
      <c r="A699" s="182"/>
      <c r="B699" s="183"/>
      <c r="C699" s="184"/>
      <c r="D699" s="185"/>
      <c r="E699" s="185"/>
      <c r="F699" s="185"/>
      <c r="G699" s="185"/>
      <c r="H699" s="185"/>
      <c r="I699" s="377" t="s">
        <v>1017</v>
      </c>
      <c r="J699" s="187" t="s">
        <v>829</v>
      </c>
      <c r="K699" s="204">
        <f>K700*25%</f>
        <v>1930</v>
      </c>
      <c r="L699" s="184"/>
      <c r="M699" s="190"/>
    </row>
    <row r="700" spans="1:13" s="141" customFormat="1" ht="25.5" customHeight="1" x14ac:dyDescent="0.2">
      <c r="A700" s="193"/>
      <c r="B700" s="194"/>
      <c r="C700" s="195"/>
      <c r="D700" s="196"/>
      <c r="E700" s="196"/>
      <c r="F700" s="196"/>
      <c r="G700" s="196"/>
      <c r="H700" s="196"/>
      <c r="I700" s="380"/>
      <c r="J700" s="191"/>
      <c r="K700" s="203">
        <v>7720</v>
      </c>
      <c r="L700" s="195"/>
      <c r="M700" s="201"/>
    </row>
    <row r="701" spans="1:13" s="141" customFormat="1" ht="22.5" customHeight="1" x14ac:dyDescent="0.2">
      <c r="A701" s="172">
        <v>164</v>
      </c>
      <c r="B701" s="173" t="s">
        <v>1018</v>
      </c>
      <c r="C701" s="174"/>
      <c r="D701" s="175" t="s">
        <v>163</v>
      </c>
      <c r="E701" s="175"/>
      <c r="F701" s="175"/>
      <c r="G701" s="175"/>
      <c r="H701" s="258" t="s">
        <v>137</v>
      </c>
      <c r="I701" s="228" t="s">
        <v>1019</v>
      </c>
      <c r="J701" s="202" t="s">
        <v>983</v>
      </c>
      <c r="K701" s="373">
        <f>K704*50%</f>
        <v>75000</v>
      </c>
      <c r="L701" s="174" t="s">
        <v>166</v>
      </c>
      <c r="M701" s="180" t="s">
        <v>1020</v>
      </c>
    </row>
    <row r="702" spans="1:13" s="141" customFormat="1" ht="24" customHeight="1" x14ac:dyDescent="0.2">
      <c r="A702" s="182"/>
      <c r="B702" s="183"/>
      <c r="C702" s="184"/>
      <c r="D702" s="185"/>
      <c r="E702" s="185"/>
      <c r="F702" s="185"/>
      <c r="G702" s="185"/>
      <c r="H702" s="260"/>
      <c r="I702" s="192" t="s">
        <v>1021</v>
      </c>
      <c r="J702" s="187" t="s">
        <v>983</v>
      </c>
      <c r="K702" s="204">
        <f>K704*15%</f>
        <v>22500</v>
      </c>
      <c r="L702" s="184"/>
      <c r="M702" s="190"/>
    </row>
    <row r="703" spans="1:13" s="141" customFormat="1" ht="24" customHeight="1" x14ac:dyDescent="0.2">
      <c r="A703" s="182"/>
      <c r="B703" s="183"/>
      <c r="C703" s="184"/>
      <c r="D703" s="185"/>
      <c r="E703" s="185"/>
      <c r="F703" s="185"/>
      <c r="G703" s="185"/>
      <c r="H703" s="260"/>
      <c r="I703" s="192" t="s">
        <v>1022</v>
      </c>
      <c r="J703" s="187" t="s">
        <v>829</v>
      </c>
      <c r="K703" s="204">
        <f>K704*35%</f>
        <v>52500</v>
      </c>
      <c r="L703" s="184"/>
      <c r="M703" s="190"/>
    </row>
    <row r="704" spans="1:13" s="141" customFormat="1" ht="27" customHeight="1" x14ac:dyDescent="0.2">
      <c r="A704" s="193"/>
      <c r="B704" s="194"/>
      <c r="C704" s="195"/>
      <c r="D704" s="196"/>
      <c r="E704" s="196"/>
      <c r="F704" s="196"/>
      <c r="G704" s="196"/>
      <c r="H704" s="262"/>
      <c r="I704" s="206"/>
      <c r="J704" s="198"/>
      <c r="K704" s="374">
        <v>150000</v>
      </c>
      <c r="L704" s="195"/>
      <c r="M704" s="201"/>
    </row>
    <row r="705" spans="1:14" s="141" customFormat="1" ht="23.25" customHeight="1" x14ac:dyDescent="0.2">
      <c r="A705" s="172">
        <v>165</v>
      </c>
      <c r="B705" s="173" t="s">
        <v>1023</v>
      </c>
      <c r="C705" s="174"/>
      <c r="D705" s="175" t="s">
        <v>163</v>
      </c>
      <c r="E705" s="175"/>
      <c r="F705" s="175"/>
      <c r="G705" s="175"/>
      <c r="H705" s="258" t="s">
        <v>1011</v>
      </c>
      <c r="I705" s="228" t="s">
        <v>1024</v>
      </c>
      <c r="J705" s="259" t="s">
        <v>983</v>
      </c>
      <c r="K705" s="376">
        <f>K710*70%</f>
        <v>182000</v>
      </c>
      <c r="L705" s="174" t="s">
        <v>166</v>
      </c>
      <c r="M705" s="180" t="s">
        <v>1025</v>
      </c>
    </row>
    <row r="706" spans="1:14" s="141" customFormat="1" ht="23.25" customHeight="1" x14ac:dyDescent="0.2">
      <c r="A706" s="182"/>
      <c r="B706" s="183"/>
      <c r="C706" s="184"/>
      <c r="D706" s="185"/>
      <c r="E706" s="185"/>
      <c r="F706" s="185"/>
      <c r="G706" s="185"/>
      <c r="H706" s="260"/>
      <c r="I706" s="192" t="s">
        <v>1026</v>
      </c>
      <c r="J706" s="187" t="s">
        <v>1027</v>
      </c>
      <c r="K706" s="204">
        <f>K710*10%</f>
        <v>26000</v>
      </c>
      <c r="L706" s="184"/>
      <c r="M706" s="190"/>
    </row>
    <row r="707" spans="1:14" s="141" customFormat="1" ht="22.5" customHeight="1" x14ac:dyDescent="0.2">
      <c r="A707" s="182"/>
      <c r="B707" s="183"/>
      <c r="C707" s="184"/>
      <c r="D707" s="185"/>
      <c r="E707" s="185"/>
      <c r="F707" s="185"/>
      <c r="G707" s="185"/>
      <c r="H707" s="260"/>
      <c r="I707" s="192" t="s">
        <v>1028</v>
      </c>
      <c r="J707" s="187" t="s">
        <v>1027</v>
      </c>
      <c r="K707" s="204">
        <f>K710*10%</f>
        <v>26000</v>
      </c>
      <c r="L707" s="184"/>
      <c r="M707" s="190"/>
    </row>
    <row r="708" spans="1:14" s="141" customFormat="1" ht="21" customHeight="1" x14ac:dyDescent="0.2">
      <c r="A708" s="182"/>
      <c r="B708" s="183"/>
      <c r="C708" s="184"/>
      <c r="D708" s="185"/>
      <c r="E708" s="185"/>
      <c r="F708" s="185"/>
      <c r="G708" s="185"/>
      <c r="H708" s="260"/>
      <c r="I708" s="192" t="s">
        <v>1029</v>
      </c>
      <c r="J708" s="187" t="s">
        <v>1030</v>
      </c>
      <c r="K708" s="204">
        <f>K710*5%</f>
        <v>13000</v>
      </c>
      <c r="L708" s="184"/>
      <c r="M708" s="190"/>
    </row>
    <row r="709" spans="1:14" s="141" customFormat="1" ht="23.25" customHeight="1" x14ac:dyDescent="0.2">
      <c r="A709" s="182"/>
      <c r="B709" s="183"/>
      <c r="C709" s="184"/>
      <c r="D709" s="185"/>
      <c r="E709" s="185"/>
      <c r="F709" s="185"/>
      <c r="G709" s="185"/>
      <c r="H709" s="260"/>
      <c r="I709" s="192" t="s">
        <v>741</v>
      </c>
      <c r="J709" s="187" t="s">
        <v>709</v>
      </c>
      <c r="K709" s="204">
        <f>K710*5%</f>
        <v>13000</v>
      </c>
      <c r="L709" s="184"/>
      <c r="M709" s="190"/>
      <c r="N709" s="181"/>
    </row>
    <row r="710" spans="1:14" s="141" customFormat="1" ht="27" customHeight="1" x14ac:dyDescent="0.2">
      <c r="A710" s="193"/>
      <c r="B710" s="194"/>
      <c r="C710" s="195"/>
      <c r="D710" s="196"/>
      <c r="E710" s="196"/>
      <c r="F710" s="196"/>
      <c r="G710" s="196"/>
      <c r="H710" s="196"/>
      <c r="I710" s="176"/>
      <c r="J710" s="177"/>
      <c r="K710" s="371">
        <v>260000</v>
      </c>
      <c r="L710" s="195"/>
      <c r="M710" s="201"/>
    </row>
    <row r="711" spans="1:14" s="141" customFormat="1" ht="23.25" customHeight="1" x14ac:dyDescent="0.2">
      <c r="A711" s="172">
        <v>166</v>
      </c>
      <c r="B711" s="173" t="s">
        <v>1031</v>
      </c>
      <c r="C711" s="174"/>
      <c r="D711" s="175" t="s">
        <v>163</v>
      </c>
      <c r="E711" s="175"/>
      <c r="F711" s="175"/>
      <c r="G711" s="175"/>
      <c r="H711" s="258" t="s">
        <v>1032</v>
      </c>
      <c r="I711" s="228" t="s">
        <v>1033</v>
      </c>
      <c r="J711" s="202" t="s">
        <v>179</v>
      </c>
      <c r="K711" s="373">
        <f>K722*30%</f>
        <v>45000</v>
      </c>
      <c r="L711" s="174" t="s">
        <v>166</v>
      </c>
      <c r="M711" s="180" t="s">
        <v>1034</v>
      </c>
    </row>
    <row r="712" spans="1:14" s="141" customFormat="1" ht="22.5" customHeight="1" x14ac:dyDescent="0.2">
      <c r="A712" s="182"/>
      <c r="B712" s="183"/>
      <c r="C712" s="184"/>
      <c r="D712" s="185"/>
      <c r="E712" s="185"/>
      <c r="F712" s="185"/>
      <c r="G712" s="185"/>
      <c r="H712" s="260"/>
      <c r="I712" s="192" t="s">
        <v>1035</v>
      </c>
      <c r="J712" s="187" t="s">
        <v>1036</v>
      </c>
      <c r="K712" s="204">
        <f>K722*10%</f>
        <v>15000</v>
      </c>
      <c r="L712" s="184"/>
      <c r="M712" s="190"/>
      <c r="N712" s="181"/>
    </row>
    <row r="713" spans="1:14" s="141" customFormat="1" ht="24" customHeight="1" x14ac:dyDescent="0.2">
      <c r="A713" s="182"/>
      <c r="B713" s="183"/>
      <c r="C713" s="184"/>
      <c r="D713" s="185"/>
      <c r="E713" s="185"/>
      <c r="F713" s="185"/>
      <c r="G713" s="185"/>
      <c r="H713" s="260"/>
      <c r="I713" s="192" t="s">
        <v>1037</v>
      </c>
      <c r="J713" s="187" t="s">
        <v>179</v>
      </c>
      <c r="K713" s="204">
        <f>K722*10%</f>
        <v>15000</v>
      </c>
      <c r="L713" s="184"/>
      <c r="M713" s="190"/>
    </row>
    <row r="714" spans="1:14" s="141" customFormat="1" ht="21.75" customHeight="1" x14ac:dyDescent="0.2">
      <c r="A714" s="182"/>
      <c r="B714" s="183"/>
      <c r="C714" s="184"/>
      <c r="D714" s="185"/>
      <c r="E714" s="185"/>
      <c r="F714" s="185"/>
      <c r="G714" s="185"/>
      <c r="H714" s="260"/>
      <c r="I714" s="192" t="s">
        <v>1038</v>
      </c>
      <c r="J714" s="187" t="s">
        <v>179</v>
      </c>
      <c r="K714" s="204">
        <f>K722*10%</f>
        <v>15000</v>
      </c>
      <c r="L714" s="184"/>
      <c r="M714" s="190"/>
    </row>
    <row r="715" spans="1:14" s="141" customFormat="1" ht="21.75" customHeight="1" x14ac:dyDescent="0.2">
      <c r="A715" s="182"/>
      <c r="B715" s="183"/>
      <c r="C715" s="184"/>
      <c r="D715" s="185"/>
      <c r="E715" s="185"/>
      <c r="F715" s="185"/>
      <c r="G715" s="185"/>
      <c r="H715" s="260"/>
      <c r="I715" s="192" t="s">
        <v>1039</v>
      </c>
      <c r="J715" s="187" t="s">
        <v>179</v>
      </c>
      <c r="K715" s="204">
        <f>K722*10%</f>
        <v>15000</v>
      </c>
      <c r="L715" s="184"/>
      <c r="M715" s="190"/>
    </row>
    <row r="716" spans="1:14" s="141" customFormat="1" ht="21.75" customHeight="1" x14ac:dyDescent="0.2">
      <c r="A716" s="182"/>
      <c r="B716" s="183"/>
      <c r="C716" s="184"/>
      <c r="D716" s="185"/>
      <c r="E716" s="185"/>
      <c r="F716" s="185"/>
      <c r="G716" s="185"/>
      <c r="H716" s="260"/>
      <c r="I716" s="192" t="s">
        <v>1040</v>
      </c>
      <c r="J716" s="187" t="s">
        <v>186</v>
      </c>
      <c r="K716" s="204">
        <f>K722*5%</f>
        <v>7500</v>
      </c>
      <c r="L716" s="184"/>
      <c r="M716" s="190"/>
      <c r="N716" s="181"/>
    </row>
    <row r="717" spans="1:14" s="141" customFormat="1" ht="21.75" customHeight="1" x14ac:dyDescent="0.2">
      <c r="A717" s="182"/>
      <c r="B717" s="183"/>
      <c r="C717" s="184"/>
      <c r="D717" s="185"/>
      <c r="E717" s="185"/>
      <c r="F717" s="185"/>
      <c r="G717" s="185"/>
      <c r="H717" s="260"/>
      <c r="I717" s="192" t="s">
        <v>1041</v>
      </c>
      <c r="J717" s="187" t="s">
        <v>176</v>
      </c>
      <c r="K717" s="204">
        <f>K722*5%</f>
        <v>7500</v>
      </c>
      <c r="L717" s="184"/>
      <c r="M717" s="190"/>
    </row>
    <row r="718" spans="1:14" s="141" customFormat="1" ht="21.75" customHeight="1" x14ac:dyDescent="0.2">
      <c r="A718" s="182"/>
      <c r="B718" s="183"/>
      <c r="C718" s="184"/>
      <c r="D718" s="185"/>
      <c r="E718" s="185"/>
      <c r="F718" s="185"/>
      <c r="G718" s="185"/>
      <c r="H718" s="260"/>
      <c r="I718" s="192" t="s">
        <v>1042</v>
      </c>
      <c r="J718" s="187" t="s">
        <v>1043</v>
      </c>
      <c r="K718" s="204">
        <f>K722*5%</f>
        <v>7500</v>
      </c>
      <c r="L718" s="184"/>
      <c r="M718" s="190"/>
      <c r="N718" s="181"/>
    </row>
    <row r="719" spans="1:14" s="141" customFormat="1" ht="21.75" customHeight="1" x14ac:dyDescent="0.2">
      <c r="A719" s="182"/>
      <c r="B719" s="183"/>
      <c r="C719" s="184"/>
      <c r="D719" s="185"/>
      <c r="E719" s="185"/>
      <c r="F719" s="185"/>
      <c r="G719" s="185"/>
      <c r="H719" s="260"/>
      <c r="I719" s="192" t="s">
        <v>1044</v>
      </c>
      <c r="J719" s="187" t="s">
        <v>709</v>
      </c>
      <c r="K719" s="204">
        <f>K722*5%</f>
        <v>7500</v>
      </c>
      <c r="L719" s="184"/>
      <c r="M719" s="190"/>
    </row>
    <row r="720" spans="1:14" s="141" customFormat="1" ht="21.75" customHeight="1" x14ac:dyDescent="0.2">
      <c r="A720" s="182"/>
      <c r="B720" s="183"/>
      <c r="C720" s="184"/>
      <c r="D720" s="185"/>
      <c r="E720" s="185"/>
      <c r="F720" s="185"/>
      <c r="G720" s="185"/>
      <c r="H720" s="260"/>
      <c r="I720" s="192" t="s">
        <v>1045</v>
      </c>
      <c r="J720" s="187" t="s">
        <v>1046</v>
      </c>
      <c r="K720" s="204">
        <f>K722*5%</f>
        <v>7500</v>
      </c>
      <c r="L720" s="184"/>
      <c r="M720" s="190"/>
      <c r="N720" s="181"/>
    </row>
    <row r="721" spans="1:13" s="141" customFormat="1" ht="21.75" customHeight="1" x14ac:dyDescent="0.2">
      <c r="A721" s="182"/>
      <c r="B721" s="183"/>
      <c r="C721" s="184"/>
      <c r="D721" s="185"/>
      <c r="E721" s="185"/>
      <c r="F721" s="185"/>
      <c r="G721" s="185"/>
      <c r="H721" s="260"/>
      <c r="I721" s="192" t="s">
        <v>1047</v>
      </c>
      <c r="J721" s="187" t="s">
        <v>1048</v>
      </c>
      <c r="K721" s="204">
        <f>K722*5%</f>
        <v>7500</v>
      </c>
      <c r="L721" s="184"/>
      <c r="M721" s="190"/>
    </row>
    <row r="722" spans="1:13" s="141" customFormat="1" ht="27" customHeight="1" x14ac:dyDescent="0.2">
      <c r="A722" s="182"/>
      <c r="B722" s="194"/>
      <c r="C722" s="195"/>
      <c r="D722" s="185"/>
      <c r="E722" s="185"/>
      <c r="F722" s="185"/>
      <c r="G722" s="185"/>
      <c r="H722" s="262"/>
      <c r="I722" s="206"/>
      <c r="J722" s="198"/>
      <c r="K722" s="374">
        <v>150000</v>
      </c>
      <c r="L722" s="195"/>
      <c r="M722" s="201"/>
    </row>
    <row r="723" spans="1:13" s="141" customFormat="1" x14ac:dyDescent="0.2">
      <c r="A723" s="175">
        <v>167</v>
      </c>
      <c r="B723" s="173" t="s">
        <v>1049</v>
      </c>
      <c r="C723" s="174"/>
      <c r="D723" s="175" t="s">
        <v>25</v>
      </c>
      <c r="E723" s="175"/>
      <c r="F723" s="175"/>
      <c r="G723" s="175"/>
      <c r="H723" s="175" t="s">
        <v>361</v>
      </c>
      <c r="I723" s="382" t="s">
        <v>1050</v>
      </c>
      <c r="J723" s="272" t="s">
        <v>367</v>
      </c>
      <c r="K723" s="383">
        <v>7972400</v>
      </c>
      <c r="L723" s="180" t="s">
        <v>1051</v>
      </c>
      <c r="M723" s="180" t="s">
        <v>1052</v>
      </c>
    </row>
    <row r="724" spans="1:13" s="141" customFormat="1" x14ac:dyDescent="0.2">
      <c r="A724" s="185"/>
      <c r="B724" s="183"/>
      <c r="C724" s="184"/>
      <c r="D724" s="185"/>
      <c r="E724" s="185"/>
      <c r="F724" s="185"/>
      <c r="G724" s="185"/>
      <c r="H724" s="185"/>
      <c r="I724" s="356" t="s">
        <v>1053</v>
      </c>
      <c r="J724" s="384" t="s">
        <v>367</v>
      </c>
      <c r="K724" s="261">
        <v>1594480</v>
      </c>
      <c r="L724" s="190"/>
      <c r="M724" s="190"/>
    </row>
    <row r="725" spans="1:13" s="141" customFormat="1" x14ac:dyDescent="0.2">
      <c r="A725" s="185"/>
      <c r="B725" s="183"/>
      <c r="C725" s="184"/>
      <c r="D725" s="185"/>
      <c r="E725" s="185"/>
      <c r="F725" s="185"/>
      <c r="G725" s="185"/>
      <c r="H725" s="185"/>
      <c r="I725" s="356" t="s">
        <v>1054</v>
      </c>
      <c r="J725" s="177" t="s">
        <v>367</v>
      </c>
      <c r="K725" s="261">
        <v>1594480</v>
      </c>
      <c r="L725" s="190"/>
      <c r="M725" s="190"/>
    </row>
    <row r="726" spans="1:13" s="141" customFormat="1" x14ac:dyDescent="0.2">
      <c r="A726" s="185"/>
      <c r="B726" s="183"/>
      <c r="C726" s="184"/>
      <c r="D726" s="185"/>
      <c r="E726" s="185"/>
      <c r="F726" s="185"/>
      <c r="G726" s="185"/>
      <c r="H726" s="185"/>
      <c r="I726" s="355" t="s">
        <v>670</v>
      </c>
      <c r="J726" s="191" t="s">
        <v>196</v>
      </c>
      <c r="K726" s="261">
        <v>1594480</v>
      </c>
      <c r="L726" s="190"/>
      <c r="M726" s="190"/>
    </row>
    <row r="727" spans="1:13" s="141" customFormat="1" x14ac:dyDescent="0.2">
      <c r="A727" s="185"/>
      <c r="B727" s="183"/>
      <c r="C727" s="184"/>
      <c r="D727" s="185"/>
      <c r="E727" s="185"/>
      <c r="F727" s="185"/>
      <c r="G727" s="185"/>
      <c r="H727" s="185"/>
      <c r="I727" s="385" t="s">
        <v>1055</v>
      </c>
      <c r="J727" s="386" t="s">
        <v>190</v>
      </c>
      <c r="K727" s="261">
        <v>1594480</v>
      </c>
      <c r="L727" s="190"/>
      <c r="M727" s="190"/>
    </row>
    <row r="728" spans="1:13" s="141" customFormat="1" x14ac:dyDescent="0.2">
      <c r="A728" s="185"/>
      <c r="B728" s="183"/>
      <c r="C728" s="184"/>
      <c r="D728" s="185"/>
      <c r="E728" s="185"/>
      <c r="F728" s="185"/>
      <c r="G728" s="185"/>
      <c r="H728" s="185"/>
      <c r="I728" s="356" t="s">
        <v>1056</v>
      </c>
      <c r="J728" s="364" t="s">
        <v>367</v>
      </c>
      <c r="K728" s="261">
        <v>797240</v>
      </c>
      <c r="L728" s="190"/>
      <c r="M728" s="190"/>
    </row>
    <row r="729" spans="1:13" s="141" customFormat="1" x14ac:dyDescent="0.2">
      <c r="A729" s="185"/>
      <c r="B729" s="183"/>
      <c r="C729" s="184"/>
      <c r="D729" s="185"/>
      <c r="E729" s="185"/>
      <c r="F729" s="185"/>
      <c r="G729" s="185"/>
      <c r="H729" s="185"/>
      <c r="I729" s="355" t="s">
        <v>642</v>
      </c>
      <c r="J729" s="354" t="s">
        <v>190</v>
      </c>
      <c r="K729" s="225">
        <v>797240</v>
      </c>
      <c r="L729" s="190"/>
      <c r="M729" s="190"/>
    </row>
    <row r="730" spans="1:13" s="141" customFormat="1" x14ac:dyDescent="0.2">
      <c r="A730" s="196"/>
      <c r="B730" s="194"/>
      <c r="C730" s="195"/>
      <c r="D730" s="196"/>
      <c r="E730" s="196"/>
      <c r="F730" s="196"/>
      <c r="G730" s="196"/>
      <c r="H730" s="196"/>
      <c r="I730" s="387"/>
      <c r="J730" s="357"/>
      <c r="K730" s="257">
        <v>15944800</v>
      </c>
      <c r="L730" s="201"/>
      <c r="M730" s="201"/>
    </row>
    <row r="731" spans="1:13" s="141" customFormat="1" x14ac:dyDescent="0.2">
      <c r="A731" s="175">
        <v>168</v>
      </c>
      <c r="B731" s="173" t="s">
        <v>1057</v>
      </c>
      <c r="C731" s="174"/>
      <c r="D731" s="263" t="s">
        <v>107</v>
      </c>
      <c r="E731" s="175"/>
      <c r="F731" s="175"/>
      <c r="G731" s="175"/>
      <c r="H731" s="175"/>
      <c r="I731" s="176" t="s">
        <v>1058</v>
      </c>
      <c r="J731" s="208" t="s">
        <v>829</v>
      </c>
      <c r="K731" s="216">
        <f>7000*85%</f>
        <v>5950</v>
      </c>
      <c r="L731" s="179" t="s">
        <v>111</v>
      </c>
      <c r="M731" s="180" t="s">
        <v>1059</v>
      </c>
    </row>
    <row r="732" spans="1:13" s="141" customFormat="1" x14ac:dyDescent="0.2">
      <c r="A732" s="185"/>
      <c r="B732" s="183"/>
      <c r="C732" s="184"/>
      <c r="D732" s="255"/>
      <c r="E732" s="185"/>
      <c r="F732" s="185"/>
      <c r="G732" s="185"/>
      <c r="H732" s="185"/>
      <c r="I732" s="192" t="s">
        <v>1060</v>
      </c>
      <c r="J732" s="315" t="s">
        <v>829</v>
      </c>
      <c r="K732" s="213">
        <f>7000*5%</f>
        <v>350</v>
      </c>
      <c r="L732" s="189"/>
      <c r="M732" s="190"/>
    </row>
    <row r="733" spans="1:13" s="141" customFormat="1" x14ac:dyDescent="0.2">
      <c r="A733" s="185"/>
      <c r="B733" s="183"/>
      <c r="C733" s="184"/>
      <c r="D733" s="255"/>
      <c r="E733" s="185"/>
      <c r="F733" s="185"/>
      <c r="G733" s="185"/>
      <c r="H733" s="185"/>
      <c r="I733" s="192" t="s">
        <v>1061</v>
      </c>
      <c r="J733" s="177" t="s">
        <v>829</v>
      </c>
      <c r="K733" s="240">
        <f>7000*5%</f>
        <v>350</v>
      </c>
      <c r="L733" s="189"/>
      <c r="M733" s="190"/>
    </row>
    <row r="734" spans="1:13" s="141" customFormat="1" x14ac:dyDescent="0.2">
      <c r="A734" s="185"/>
      <c r="B734" s="183"/>
      <c r="C734" s="184"/>
      <c r="D734" s="255"/>
      <c r="E734" s="185"/>
      <c r="F734" s="185"/>
      <c r="G734" s="185"/>
      <c r="H734" s="185"/>
      <c r="I734" s="192" t="s">
        <v>1062</v>
      </c>
      <c r="J734" s="223" t="s">
        <v>829</v>
      </c>
      <c r="K734" s="213">
        <f>7000*5%</f>
        <v>350</v>
      </c>
      <c r="L734" s="189"/>
      <c r="M734" s="190"/>
    </row>
    <row r="735" spans="1:13" s="141" customFormat="1" x14ac:dyDescent="0.2">
      <c r="A735" s="196"/>
      <c r="B735" s="194"/>
      <c r="C735" s="195"/>
      <c r="D735" s="256"/>
      <c r="E735" s="196"/>
      <c r="F735" s="196"/>
      <c r="G735" s="196"/>
      <c r="H735" s="196"/>
      <c r="I735" s="197"/>
      <c r="J735" s="226"/>
      <c r="K735" s="215">
        <f>SUM(K731:K734)</f>
        <v>7000</v>
      </c>
      <c r="L735" s="200"/>
      <c r="M735" s="201"/>
    </row>
    <row r="736" spans="1:13" s="141" customFormat="1" x14ac:dyDescent="0.2">
      <c r="A736" s="175">
        <v>169</v>
      </c>
      <c r="B736" s="173" t="s">
        <v>1063</v>
      </c>
      <c r="C736" s="174"/>
      <c r="D736" s="263" t="s">
        <v>107</v>
      </c>
      <c r="E736" s="175"/>
      <c r="F736" s="175"/>
      <c r="G736" s="175"/>
      <c r="H736" s="175"/>
      <c r="I736" s="176" t="s">
        <v>1064</v>
      </c>
      <c r="J736" s="208" t="s">
        <v>829</v>
      </c>
      <c r="K736" s="209">
        <f>6500*80%</f>
        <v>5200</v>
      </c>
      <c r="L736" s="179" t="s">
        <v>111</v>
      </c>
      <c r="M736" s="180" t="s">
        <v>1065</v>
      </c>
    </row>
    <row r="737" spans="1:13" s="141" customFormat="1" x14ac:dyDescent="0.2">
      <c r="A737" s="185"/>
      <c r="B737" s="183"/>
      <c r="C737" s="184"/>
      <c r="D737" s="255"/>
      <c r="E737" s="185"/>
      <c r="F737" s="185"/>
      <c r="G737" s="185"/>
      <c r="H737" s="185"/>
      <c r="I737" s="186" t="s">
        <v>1066</v>
      </c>
      <c r="J737" s="177" t="s">
        <v>829</v>
      </c>
      <c r="K737" s="210">
        <f>6500*10%</f>
        <v>650</v>
      </c>
      <c r="L737" s="189"/>
      <c r="M737" s="190"/>
    </row>
    <row r="738" spans="1:13" s="141" customFormat="1" x14ac:dyDescent="0.2">
      <c r="A738" s="185"/>
      <c r="B738" s="183"/>
      <c r="C738" s="184"/>
      <c r="D738" s="255"/>
      <c r="E738" s="185"/>
      <c r="F738" s="185"/>
      <c r="G738" s="185"/>
      <c r="H738" s="185"/>
      <c r="I738" s="186" t="s">
        <v>1067</v>
      </c>
      <c r="J738" s="223" t="s">
        <v>829</v>
      </c>
      <c r="K738" s="213">
        <f>6500*10%</f>
        <v>650</v>
      </c>
      <c r="L738" s="189"/>
      <c r="M738" s="190"/>
    </row>
    <row r="739" spans="1:13" s="141" customFormat="1" x14ac:dyDescent="0.2">
      <c r="A739" s="196"/>
      <c r="B739" s="194"/>
      <c r="C739" s="195"/>
      <c r="D739" s="256"/>
      <c r="E739" s="196"/>
      <c r="F739" s="196"/>
      <c r="G739" s="196"/>
      <c r="H739" s="196"/>
      <c r="I739" s="206"/>
      <c r="J739" s="226"/>
      <c r="K739" s="215">
        <f>SUM(K736:K738)</f>
        <v>6500</v>
      </c>
      <c r="L739" s="200"/>
      <c r="M739" s="201"/>
    </row>
    <row r="740" spans="1:13" s="141" customFormat="1" x14ac:dyDescent="0.2">
      <c r="A740" s="175">
        <v>170</v>
      </c>
      <c r="B740" s="173" t="s">
        <v>1068</v>
      </c>
      <c r="C740" s="174"/>
      <c r="D740" s="263" t="s">
        <v>107</v>
      </c>
      <c r="E740" s="175"/>
      <c r="F740" s="175"/>
      <c r="G740" s="175"/>
      <c r="H740" s="175"/>
      <c r="I740" s="176" t="s">
        <v>1069</v>
      </c>
      <c r="J740" s="208" t="s">
        <v>829</v>
      </c>
      <c r="K740" s="209">
        <f>7000*90%</f>
        <v>6300</v>
      </c>
      <c r="L740" s="179" t="s">
        <v>111</v>
      </c>
      <c r="M740" s="180" t="s">
        <v>1070</v>
      </c>
    </row>
    <row r="741" spans="1:13" s="141" customFormat="1" x14ac:dyDescent="0.2">
      <c r="A741" s="185"/>
      <c r="B741" s="183"/>
      <c r="C741" s="184"/>
      <c r="D741" s="255"/>
      <c r="E741" s="185"/>
      <c r="F741" s="185"/>
      <c r="G741" s="185"/>
      <c r="H741" s="185"/>
      <c r="I741" s="192" t="s">
        <v>1060</v>
      </c>
      <c r="J741" s="315" t="s">
        <v>829</v>
      </c>
      <c r="K741" s="213">
        <f>7000*5%</f>
        <v>350</v>
      </c>
      <c r="L741" s="189"/>
      <c r="M741" s="190"/>
    </row>
    <row r="742" spans="1:13" s="141" customFormat="1" x14ac:dyDescent="0.2">
      <c r="A742" s="185"/>
      <c r="B742" s="183"/>
      <c r="C742" s="184"/>
      <c r="D742" s="255"/>
      <c r="E742" s="185"/>
      <c r="F742" s="185"/>
      <c r="G742" s="185"/>
      <c r="H742" s="185"/>
      <c r="I742" s="192" t="s">
        <v>1071</v>
      </c>
      <c r="J742" s="315" t="s">
        <v>829</v>
      </c>
      <c r="K742" s="210">
        <f>7000*5%</f>
        <v>350</v>
      </c>
      <c r="L742" s="189"/>
      <c r="M742" s="190"/>
    </row>
    <row r="743" spans="1:13" s="141" customFormat="1" x14ac:dyDescent="0.2">
      <c r="A743" s="196"/>
      <c r="B743" s="194"/>
      <c r="C743" s="195"/>
      <c r="D743" s="256"/>
      <c r="E743" s="196"/>
      <c r="F743" s="196"/>
      <c r="G743" s="196"/>
      <c r="H743" s="196"/>
      <c r="I743" s="197"/>
      <c r="J743" s="226"/>
      <c r="K743" s="227">
        <f>SUM(K740:K742)</f>
        <v>7000</v>
      </c>
      <c r="L743" s="200"/>
      <c r="M743" s="201"/>
    </row>
    <row r="744" spans="1:13" s="141" customFormat="1" x14ac:dyDescent="0.2">
      <c r="A744" s="175">
        <v>171</v>
      </c>
      <c r="B744" s="337" t="s">
        <v>1072</v>
      </c>
      <c r="C744" s="338"/>
      <c r="D744" s="263" t="s">
        <v>107</v>
      </c>
      <c r="E744" s="175"/>
      <c r="F744" s="175"/>
      <c r="G744" s="175"/>
      <c r="H744" s="175"/>
      <c r="I744" s="176" t="s">
        <v>1073</v>
      </c>
      <c r="J744" s="177" t="s">
        <v>829</v>
      </c>
      <c r="K744" s="222">
        <f>6500*80%</f>
        <v>5200</v>
      </c>
      <c r="L744" s="179" t="s">
        <v>111</v>
      </c>
      <c r="M744" s="180" t="s">
        <v>1074</v>
      </c>
    </row>
    <row r="745" spans="1:13" s="141" customFormat="1" x14ac:dyDescent="0.2">
      <c r="A745" s="185"/>
      <c r="B745" s="388"/>
      <c r="C745" s="365"/>
      <c r="D745" s="255"/>
      <c r="E745" s="185"/>
      <c r="F745" s="185"/>
      <c r="G745" s="185"/>
      <c r="H745" s="185"/>
      <c r="I745" s="192" t="s">
        <v>1075</v>
      </c>
      <c r="J745" s="223" t="s">
        <v>829</v>
      </c>
      <c r="K745" s="210">
        <f>6500*5%</f>
        <v>325</v>
      </c>
      <c r="L745" s="189"/>
      <c r="M745" s="190"/>
    </row>
    <row r="746" spans="1:13" s="141" customFormat="1" x14ac:dyDescent="0.2">
      <c r="A746" s="185"/>
      <c r="B746" s="388"/>
      <c r="C746" s="365"/>
      <c r="D746" s="255"/>
      <c r="E746" s="185"/>
      <c r="F746" s="185"/>
      <c r="G746" s="185"/>
      <c r="H746" s="185"/>
      <c r="I746" s="192" t="s">
        <v>1071</v>
      </c>
      <c r="J746" s="177" t="s">
        <v>829</v>
      </c>
      <c r="K746" s="211">
        <f>6500*5%</f>
        <v>325</v>
      </c>
      <c r="L746" s="189"/>
      <c r="M746" s="190"/>
    </row>
    <row r="747" spans="1:13" s="141" customFormat="1" x14ac:dyDescent="0.2">
      <c r="A747" s="185"/>
      <c r="B747" s="388"/>
      <c r="C747" s="365"/>
      <c r="D747" s="255"/>
      <c r="E747" s="185"/>
      <c r="F747" s="185"/>
      <c r="G747" s="185"/>
      <c r="H747" s="185"/>
      <c r="I747" s="192" t="s">
        <v>1076</v>
      </c>
      <c r="J747" s="223" t="s">
        <v>829</v>
      </c>
      <c r="K747" s="217">
        <f>6500*5%</f>
        <v>325</v>
      </c>
      <c r="L747" s="189"/>
      <c r="M747" s="190"/>
    </row>
    <row r="748" spans="1:13" s="141" customFormat="1" x14ac:dyDescent="0.2">
      <c r="A748" s="185"/>
      <c r="B748" s="388"/>
      <c r="C748" s="365"/>
      <c r="D748" s="255"/>
      <c r="E748" s="185"/>
      <c r="F748" s="185"/>
      <c r="G748" s="185"/>
      <c r="H748" s="185"/>
      <c r="I748" s="192" t="s">
        <v>1077</v>
      </c>
      <c r="J748" s="223" t="s">
        <v>829</v>
      </c>
      <c r="K748" s="217">
        <f>6500*5%</f>
        <v>325</v>
      </c>
      <c r="L748" s="189"/>
      <c r="M748" s="190"/>
    </row>
    <row r="749" spans="1:13" s="141" customFormat="1" x14ac:dyDescent="0.2">
      <c r="A749" s="196"/>
      <c r="B749" s="389"/>
      <c r="C749" s="390"/>
      <c r="D749" s="256"/>
      <c r="E749" s="196"/>
      <c r="F749" s="196"/>
      <c r="G749" s="196"/>
      <c r="H749" s="196"/>
      <c r="I749" s="197"/>
      <c r="J749" s="226"/>
      <c r="K749" s="227">
        <f>SUM(K744:K748)</f>
        <v>6500</v>
      </c>
      <c r="L749" s="200"/>
      <c r="M749" s="201"/>
    </row>
    <row r="750" spans="1:13" s="141" customFormat="1" x14ac:dyDescent="0.2">
      <c r="A750" s="175">
        <v>172</v>
      </c>
      <c r="B750" s="173" t="s">
        <v>1078</v>
      </c>
      <c r="C750" s="174"/>
      <c r="D750" s="263" t="s">
        <v>107</v>
      </c>
      <c r="E750" s="175"/>
      <c r="F750" s="175"/>
      <c r="G750" s="175"/>
      <c r="H750" s="175"/>
      <c r="I750" s="176" t="s">
        <v>1079</v>
      </c>
      <c r="J750" s="177" t="s">
        <v>829</v>
      </c>
      <c r="K750" s="222">
        <f>6000*25%</f>
        <v>1500</v>
      </c>
      <c r="L750" s="179" t="s">
        <v>111</v>
      </c>
      <c r="M750" s="180" t="s">
        <v>1080</v>
      </c>
    </row>
    <row r="751" spans="1:13" s="141" customFormat="1" x14ac:dyDescent="0.2">
      <c r="A751" s="185"/>
      <c r="B751" s="183"/>
      <c r="C751" s="184"/>
      <c r="D751" s="255"/>
      <c r="E751" s="185"/>
      <c r="F751" s="185"/>
      <c r="G751" s="185"/>
      <c r="H751" s="185"/>
      <c r="I751" s="186" t="s">
        <v>1081</v>
      </c>
      <c r="J751" s="223" t="s">
        <v>829</v>
      </c>
      <c r="K751" s="210">
        <f>6000*6%</f>
        <v>360</v>
      </c>
      <c r="L751" s="189"/>
      <c r="M751" s="190"/>
    </row>
    <row r="752" spans="1:13" s="141" customFormat="1" x14ac:dyDescent="0.2">
      <c r="A752" s="185"/>
      <c r="B752" s="183"/>
      <c r="C752" s="184"/>
      <c r="D752" s="255"/>
      <c r="E752" s="185"/>
      <c r="F752" s="185"/>
      <c r="G752" s="185"/>
      <c r="H752" s="185"/>
      <c r="I752" s="192" t="s">
        <v>1082</v>
      </c>
      <c r="J752" s="177" t="s">
        <v>829</v>
      </c>
      <c r="K752" s="240">
        <f>6000*5%</f>
        <v>300</v>
      </c>
      <c r="L752" s="189"/>
      <c r="M752" s="190"/>
    </row>
    <row r="753" spans="1:13" s="141" customFormat="1" x14ac:dyDescent="0.2">
      <c r="A753" s="185"/>
      <c r="B753" s="183"/>
      <c r="C753" s="184"/>
      <c r="D753" s="255"/>
      <c r="E753" s="185"/>
      <c r="F753" s="185"/>
      <c r="G753" s="185"/>
      <c r="H753" s="185"/>
      <c r="I753" s="192" t="s">
        <v>1083</v>
      </c>
      <c r="J753" s="223" t="s">
        <v>829</v>
      </c>
      <c r="K753" s="213">
        <f>6000*35%</f>
        <v>2100</v>
      </c>
      <c r="L753" s="189"/>
      <c r="M753" s="190"/>
    </row>
    <row r="754" spans="1:13" s="141" customFormat="1" x14ac:dyDescent="0.2">
      <c r="A754" s="185"/>
      <c r="B754" s="183"/>
      <c r="C754" s="184"/>
      <c r="D754" s="255"/>
      <c r="E754" s="185"/>
      <c r="F754" s="185"/>
      <c r="G754" s="185"/>
      <c r="H754" s="185"/>
      <c r="I754" s="192" t="s">
        <v>1084</v>
      </c>
      <c r="J754" s="315" t="s">
        <v>829</v>
      </c>
      <c r="K754" s="213">
        <f>6000*5%</f>
        <v>300</v>
      </c>
      <c r="L754" s="189"/>
      <c r="M754" s="190"/>
    </row>
    <row r="755" spans="1:13" s="141" customFormat="1" x14ac:dyDescent="0.2">
      <c r="A755" s="185"/>
      <c r="B755" s="183"/>
      <c r="C755" s="184"/>
      <c r="D755" s="255"/>
      <c r="E755" s="185"/>
      <c r="F755" s="185"/>
      <c r="G755" s="185"/>
      <c r="H755" s="185"/>
      <c r="I755" s="192" t="s">
        <v>1085</v>
      </c>
      <c r="J755" s="315" t="s">
        <v>829</v>
      </c>
      <c r="K755" s="213">
        <f>6000*5%</f>
        <v>300</v>
      </c>
      <c r="L755" s="189"/>
      <c r="M755" s="190"/>
    </row>
    <row r="756" spans="1:13" s="141" customFormat="1" x14ac:dyDescent="0.2">
      <c r="A756" s="185"/>
      <c r="B756" s="183"/>
      <c r="C756" s="184"/>
      <c r="D756" s="255"/>
      <c r="E756" s="185"/>
      <c r="F756" s="185"/>
      <c r="G756" s="185"/>
      <c r="H756" s="185"/>
      <c r="I756" s="192" t="s">
        <v>1086</v>
      </c>
      <c r="J756" s="177" t="s">
        <v>829</v>
      </c>
      <c r="K756" s="210">
        <f t="shared" ref="K756:K762" si="14">6000*2%</f>
        <v>120</v>
      </c>
      <c r="L756" s="189"/>
      <c r="M756" s="190"/>
    </row>
    <row r="757" spans="1:13" s="141" customFormat="1" x14ac:dyDescent="0.2">
      <c r="A757" s="185"/>
      <c r="B757" s="183"/>
      <c r="C757" s="184"/>
      <c r="D757" s="255"/>
      <c r="E757" s="185"/>
      <c r="F757" s="185"/>
      <c r="G757" s="185"/>
      <c r="H757" s="185"/>
      <c r="I757" s="192" t="s">
        <v>1087</v>
      </c>
      <c r="J757" s="223" t="s">
        <v>829</v>
      </c>
      <c r="K757" s="213">
        <f t="shared" si="14"/>
        <v>120</v>
      </c>
      <c r="L757" s="189"/>
      <c r="M757" s="190"/>
    </row>
    <row r="758" spans="1:13" s="141" customFormat="1" x14ac:dyDescent="0.2">
      <c r="A758" s="185"/>
      <c r="B758" s="183"/>
      <c r="C758" s="184"/>
      <c r="D758" s="255"/>
      <c r="E758" s="185"/>
      <c r="F758" s="185"/>
      <c r="G758" s="185"/>
      <c r="H758" s="185"/>
      <c r="I758" s="176" t="s">
        <v>1088</v>
      </c>
      <c r="J758" s="223" t="s">
        <v>829</v>
      </c>
      <c r="K758" s="210">
        <f t="shared" si="14"/>
        <v>120</v>
      </c>
      <c r="L758" s="189"/>
      <c r="M758" s="190"/>
    </row>
    <row r="759" spans="1:13" s="141" customFormat="1" x14ac:dyDescent="0.2">
      <c r="A759" s="185"/>
      <c r="B759" s="183"/>
      <c r="C759" s="184"/>
      <c r="D759" s="255"/>
      <c r="E759" s="185"/>
      <c r="F759" s="185"/>
      <c r="G759" s="185"/>
      <c r="H759" s="185"/>
      <c r="I759" s="192" t="s">
        <v>1089</v>
      </c>
      <c r="J759" s="223" t="s">
        <v>829</v>
      </c>
      <c r="K759" s="217">
        <f t="shared" si="14"/>
        <v>120</v>
      </c>
      <c r="L759" s="189"/>
      <c r="M759" s="190"/>
    </row>
    <row r="760" spans="1:13" s="141" customFormat="1" x14ac:dyDescent="0.2">
      <c r="A760" s="185"/>
      <c r="B760" s="183"/>
      <c r="C760" s="184"/>
      <c r="D760" s="255"/>
      <c r="E760" s="185"/>
      <c r="F760" s="185"/>
      <c r="G760" s="185"/>
      <c r="H760" s="185"/>
      <c r="I760" s="192" t="s">
        <v>1090</v>
      </c>
      <c r="J760" s="223" t="s">
        <v>829</v>
      </c>
      <c r="K760" s="213">
        <f t="shared" si="14"/>
        <v>120</v>
      </c>
      <c r="L760" s="189"/>
      <c r="M760" s="190"/>
    </row>
    <row r="761" spans="1:13" s="141" customFormat="1" x14ac:dyDescent="0.2">
      <c r="A761" s="185"/>
      <c r="B761" s="183"/>
      <c r="C761" s="184"/>
      <c r="D761" s="255"/>
      <c r="E761" s="185"/>
      <c r="F761" s="185"/>
      <c r="G761" s="185"/>
      <c r="H761" s="185"/>
      <c r="I761" s="176" t="s">
        <v>1091</v>
      </c>
      <c r="J761" s="223" t="s">
        <v>829</v>
      </c>
      <c r="K761" s="213">
        <f t="shared" si="14"/>
        <v>120</v>
      </c>
      <c r="L761" s="189"/>
      <c r="M761" s="190"/>
    </row>
    <row r="762" spans="1:13" s="141" customFormat="1" x14ac:dyDescent="0.2">
      <c r="A762" s="185"/>
      <c r="B762" s="183"/>
      <c r="C762" s="184"/>
      <c r="D762" s="255"/>
      <c r="E762" s="185"/>
      <c r="F762" s="185"/>
      <c r="G762" s="185"/>
      <c r="H762" s="185"/>
      <c r="I762" s="186" t="s">
        <v>1092</v>
      </c>
      <c r="J762" s="223" t="s">
        <v>829</v>
      </c>
      <c r="K762" s="213">
        <f t="shared" si="14"/>
        <v>120</v>
      </c>
      <c r="L762" s="189"/>
      <c r="M762" s="190"/>
    </row>
    <row r="763" spans="1:13" s="141" customFormat="1" x14ac:dyDescent="0.2">
      <c r="A763" s="185"/>
      <c r="B763" s="183"/>
      <c r="C763" s="184"/>
      <c r="D763" s="255"/>
      <c r="E763" s="185"/>
      <c r="F763" s="185"/>
      <c r="G763" s="185"/>
      <c r="H763" s="185"/>
      <c r="I763" s="192" t="s">
        <v>1093</v>
      </c>
      <c r="J763" s="315" t="s">
        <v>829</v>
      </c>
      <c r="K763" s="213">
        <f>6000*5%</f>
        <v>300</v>
      </c>
      <c r="L763" s="189"/>
      <c r="M763" s="190"/>
    </row>
    <row r="764" spans="1:13" s="141" customFormat="1" x14ac:dyDescent="0.2">
      <c r="A764" s="196"/>
      <c r="B764" s="194"/>
      <c r="C764" s="195"/>
      <c r="D764" s="256"/>
      <c r="E764" s="196"/>
      <c r="F764" s="196"/>
      <c r="G764" s="196"/>
      <c r="H764" s="196"/>
      <c r="I764" s="197"/>
      <c r="J764" s="226"/>
      <c r="K764" s="215">
        <f>SUM(K750:K763)</f>
        <v>6000</v>
      </c>
      <c r="L764" s="200"/>
      <c r="M764" s="201"/>
    </row>
    <row r="765" spans="1:13" s="141" customFormat="1" x14ac:dyDescent="0.2">
      <c r="A765" s="175">
        <v>173</v>
      </c>
      <c r="B765" s="173" t="s">
        <v>1094</v>
      </c>
      <c r="C765" s="174"/>
      <c r="D765" s="263" t="s">
        <v>107</v>
      </c>
      <c r="E765" s="175"/>
      <c r="F765" s="175"/>
      <c r="G765" s="175"/>
      <c r="H765" s="175"/>
      <c r="I765" s="228" t="s">
        <v>1095</v>
      </c>
      <c r="J765" s="177" t="s">
        <v>829</v>
      </c>
      <c r="K765" s="216">
        <f>7000*40%</f>
        <v>2800</v>
      </c>
      <c r="L765" s="179" t="s">
        <v>111</v>
      </c>
      <c r="M765" s="180" t="s">
        <v>1096</v>
      </c>
    </row>
    <row r="766" spans="1:13" s="141" customFormat="1" x14ac:dyDescent="0.2">
      <c r="A766" s="185"/>
      <c r="B766" s="183"/>
      <c r="C766" s="184"/>
      <c r="D766" s="255"/>
      <c r="E766" s="185"/>
      <c r="F766" s="185"/>
      <c r="G766" s="185"/>
      <c r="H766" s="185"/>
      <c r="I766" s="176" t="s">
        <v>1084</v>
      </c>
      <c r="J766" s="223" t="s">
        <v>829</v>
      </c>
      <c r="K766" s="213">
        <f>7000*5%</f>
        <v>350</v>
      </c>
      <c r="L766" s="189"/>
      <c r="M766" s="190"/>
    </row>
    <row r="767" spans="1:13" s="141" customFormat="1" x14ac:dyDescent="0.2">
      <c r="A767" s="185"/>
      <c r="B767" s="183"/>
      <c r="C767" s="184"/>
      <c r="D767" s="255"/>
      <c r="E767" s="185"/>
      <c r="F767" s="185"/>
      <c r="G767" s="185"/>
      <c r="H767" s="185"/>
      <c r="I767" s="192" t="s">
        <v>859</v>
      </c>
      <c r="J767" s="315" t="s">
        <v>829</v>
      </c>
      <c r="K767" s="210">
        <f>7000*2%</f>
        <v>140</v>
      </c>
      <c r="L767" s="189"/>
      <c r="M767" s="190"/>
    </row>
    <row r="768" spans="1:13" s="141" customFormat="1" x14ac:dyDescent="0.2">
      <c r="A768" s="185"/>
      <c r="B768" s="183"/>
      <c r="C768" s="184"/>
      <c r="D768" s="255"/>
      <c r="E768" s="185"/>
      <c r="F768" s="185"/>
      <c r="G768" s="185"/>
      <c r="H768" s="185"/>
      <c r="I768" s="192" t="s">
        <v>1097</v>
      </c>
      <c r="J768" s="315" t="s">
        <v>829</v>
      </c>
      <c r="K768" s="217">
        <f>7000*2%</f>
        <v>140</v>
      </c>
      <c r="L768" s="189"/>
      <c r="M768" s="190"/>
    </row>
    <row r="769" spans="1:13" s="141" customFormat="1" x14ac:dyDescent="0.2">
      <c r="A769" s="185"/>
      <c r="B769" s="183"/>
      <c r="C769" s="184"/>
      <c r="D769" s="255"/>
      <c r="E769" s="185"/>
      <c r="F769" s="185"/>
      <c r="G769" s="185"/>
      <c r="H769" s="185"/>
      <c r="I769" s="176" t="s">
        <v>1098</v>
      </c>
      <c r="J769" s="177" t="s">
        <v>829</v>
      </c>
      <c r="K769" s="211">
        <f>7000*2%</f>
        <v>140</v>
      </c>
      <c r="L769" s="189"/>
      <c r="M769" s="190"/>
    </row>
    <row r="770" spans="1:13" s="141" customFormat="1" x14ac:dyDescent="0.2">
      <c r="A770" s="185"/>
      <c r="B770" s="183"/>
      <c r="C770" s="184"/>
      <c r="D770" s="255"/>
      <c r="E770" s="185"/>
      <c r="F770" s="185"/>
      <c r="G770" s="185"/>
      <c r="H770" s="185"/>
      <c r="I770" s="192" t="s">
        <v>1099</v>
      </c>
      <c r="J770" s="223" t="s">
        <v>829</v>
      </c>
      <c r="K770" s="217">
        <f>7000*2%</f>
        <v>140</v>
      </c>
      <c r="L770" s="189"/>
      <c r="M770" s="190"/>
    </row>
    <row r="771" spans="1:13" s="141" customFormat="1" x14ac:dyDescent="0.2">
      <c r="A771" s="185"/>
      <c r="B771" s="183"/>
      <c r="C771" s="184"/>
      <c r="D771" s="255"/>
      <c r="E771" s="185"/>
      <c r="F771" s="185"/>
      <c r="G771" s="185"/>
      <c r="H771" s="185"/>
      <c r="I771" s="176" t="s">
        <v>1100</v>
      </c>
      <c r="J771" s="177" t="s">
        <v>829</v>
      </c>
      <c r="K771" s="211">
        <f>7000*2%</f>
        <v>140</v>
      </c>
      <c r="L771" s="189"/>
      <c r="M771" s="190"/>
    </row>
    <row r="772" spans="1:13" s="141" customFormat="1" x14ac:dyDescent="0.2">
      <c r="A772" s="185"/>
      <c r="B772" s="183"/>
      <c r="C772" s="184"/>
      <c r="D772" s="255"/>
      <c r="E772" s="185"/>
      <c r="F772" s="185"/>
      <c r="G772" s="185"/>
      <c r="H772" s="185"/>
      <c r="I772" s="192" t="s">
        <v>1101</v>
      </c>
      <c r="J772" s="223" t="s">
        <v>829</v>
      </c>
      <c r="K772" s="213">
        <f>7000*45%</f>
        <v>3150</v>
      </c>
      <c r="L772" s="189"/>
      <c r="M772" s="190"/>
    </row>
    <row r="773" spans="1:13" s="141" customFormat="1" x14ac:dyDescent="0.2">
      <c r="A773" s="196"/>
      <c r="B773" s="194"/>
      <c r="C773" s="195"/>
      <c r="D773" s="256"/>
      <c r="E773" s="196"/>
      <c r="F773" s="196"/>
      <c r="G773" s="196"/>
      <c r="H773" s="196"/>
      <c r="I773" s="197"/>
      <c r="J773" s="214"/>
      <c r="K773" s="215">
        <f>SUM(K765:K772)</f>
        <v>7000</v>
      </c>
      <c r="L773" s="200"/>
      <c r="M773" s="201"/>
    </row>
    <row r="774" spans="1:13" s="141" customFormat="1" x14ac:dyDescent="0.2">
      <c r="A774" s="175">
        <v>174</v>
      </c>
      <c r="B774" s="173" t="s">
        <v>1102</v>
      </c>
      <c r="C774" s="174"/>
      <c r="D774" s="263" t="s">
        <v>107</v>
      </c>
      <c r="E774" s="175"/>
      <c r="F774" s="175"/>
      <c r="G774" s="175"/>
      <c r="H774" s="175"/>
      <c r="I774" s="176" t="s">
        <v>1103</v>
      </c>
      <c r="J774" s="177" t="s">
        <v>829</v>
      </c>
      <c r="K774" s="216">
        <f>7000*80%</f>
        <v>5600</v>
      </c>
      <c r="L774" s="174" t="s">
        <v>111</v>
      </c>
      <c r="M774" s="180" t="s">
        <v>1104</v>
      </c>
    </row>
    <row r="775" spans="1:13" s="141" customFormat="1" x14ac:dyDescent="0.2">
      <c r="A775" s="185"/>
      <c r="B775" s="183"/>
      <c r="C775" s="184"/>
      <c r="D775" s="255"/>
      <c r="E775" s="185"/>
      <c r="F775" s="185"/>
      <c r="G775" s="185"/>
      <c r="H775" s="185"/>
      <c r="I775" s="186" t="s">
        <v>1105</v>
      </c>
      <c r="J775" s="223" t="s">
        <v>657</v>
      </c>
      <c r="K775" s="220">
        <f>7000*5%</f>
        <v>350</v>
      </c>
      <c r="L775" s="184"/>
      <c r="M775" s="190"/>
    </row>
    <row r="776" spans="1:13" s="141" customFormat="1" x14ac:dyDescent="0.2">
      <c r="A776" s="185"/>
      <c r="B776" s="183"/>
      <c r="C776" s="184"/>
      <c r="D776" s="255"/>
      <c r="E776" s="185"/>
      <c r="F776" s="185"/>
      <c r="G776" s="185"/>
      <c r="H776" s="185"/>
      <c r="I776" s="186" t="s">
        <v>1106</v>
      </c>
      <c r="J776" s="315" t="s">
        <v>829</v>
      </c>
      <c r="K776" s="220">
        <f>7000*5%</f>
        <v>350</v>
      </c>
      <c r="L776" s="184"/>
      <c r="M776" s="190"/>
    </row>
    <row r="777" spans="1:13" s="141" customFormat="1" x14ac:dyDescent="0.2">
      <c r="A777" s="185"/>
      <c r="B777" s="183"/>
      <c r="C777" s="184"/>
      <c r="D777" s="255"/>
      <c r="E777" s="185"/>
      <c r="F777" s="185"/>
      <c r="G777" s="185"/>
      <c r="H777" s="185"/>
      <c r="I777" s="192" t="s">
        <v>1107</v>
      </c>
      <c r="J777" s="315" t="s">
        <v>657</v>
      </c>
      <c r="K777" s="210">
        <f>7000*5%</f>
        <v>350</v>
      </c>
      <c r="L777" s="184"/>
      <c r="M777" s="190"/>
    </row>
    <row r="778" spans="1:13" s="141" customFormat="1" x14ac:dyDescent="0.2">
      <c r="A778" s="185"/>
      <c r="B778" s="183"/>
      <c r="C778" s="184"/>
      <c r="D778" s="255"/>
      <c r="E778" s="185"/>
      <c r="F778" s="185"/>
      <c r="G778" s="185"/>
      <c r="H778" s="185"/>
      <c r="I778" s="176" t="s">
        <v>1108</v>
      </c>
      <c r="J778" s="223" t="s">
        <v>657</v>
      </c>
      <c r="K778" s="232">
        <f>7000*5%</f>
        <v>350</v>
      </c>
      <c r="L778" s="184"/>
      <c r="M778" s="190"/>
    </row>
    <row r="779" spans="1:13" s="141" customFormat="1" x14ac:dyDescent="0.2">
      <c r="A779" s="196"/>
      <c r="B779" s="194"/>
      <c r="C779" s="195"/>
      <c r="D779" s="256"/>
      <c r="E779" s="196"/>
      <c r="F779" s="196"/>
      <c r="G779" s="196"/>
      <c r="H779" s="196"/>
      <c r="I779" s="206"/>
      <c r="J779" s="226"/>
      <c r="K779" s="239">
        <f>SUM(K774:K778)</f>
        <v>7000</v>
      </c>
      <c r="L779" s="195"/>
      <c r="M779" s="201"/>
    </row>
    <row r="780" spans="1:13" s="141" customFormat="1" ht="42.75" customHeight="1" x14ac:dyDescent="0.2">
      <c r="A780" s="242">
        <v>175</v>
      </c>
      <c r="B780" s="266" t="s">
        <v>1109</v>
      </c>
      <c r="C780" s="267" t="s">
        <v>1110</v>
      </c>
      <c r="D780" s="268" t="s">
        <v>107</v>
      </c>
      <c r="E780" s="269"/>
      <c r="F780" s="269"/>
      <c r="G780" s="269"/>
      <c r="H780" s="270"/>
      <c r="I780" s="197" t="s">
        <v>1111</v>
      </c>
      <c r="J780" s="226" t="s">
        <v>829</v>
      </c>
      <c r="K780" s="271">
        <v>8000</v>
      </c>
      <c r="L780" s="272" t="s">
        <v>111</v>
      </c>
      <c r="M780" s="226" t="s">
        <v>1112</v>
      </c>
    </row>
    <row r="781" spans="1:13" s="141" customFormat="1" ht="42.75" customHeight="1" x14ac:dyDescent="0.2">
      <c r="A781" s="242">
        <v>176</v>
      </c>
      <c r="B781" s="266" t="s">
        <v>1113</v>
      </c>
      <c r="C781" s="267" t="s">
        <v>1113</v>
      </c>
      <c r="D781" s="268" t="s">
        <v>107</v>
      </c>
      <c r="E781" s="269"/>
      <c r="F781" s="269"/>
      <c r="G781" s="269"/>
      <c r="H781" s="270"/>
      <c r="I781" s="197" t="s">
        <v>1114</v>
      </c>
      <c r="J781" s="226" t="s">
        <v>829</v>
      </c>
      <c r="K781" s="271">
        <v>30000</v>
      </c>
      <c r="L781" s="272" t="s">
        <v>111</v>
      </c>
      <c r="M781" s="226" t="s">
        <v>1115</v>
      </c>
    </row>
    <row r="782" spans="1:13" s="141" customFormat="1" ht="84.75" customHeight="1" x14ac:dyDescent="0.2">
      <c r="A782" s="242">
        <v>177</v>
      </c>
      <c r="B782" s="266" t="s">
        <v>1116</v>
      </c>
      <c r="C782" s="267" t="s">
        <v>1116</v>
      </c>
      <c r="D782" s="268" t="s">
        <v>107</v>
      </c>
      <c r="E782" s="269"/>
      <c r="F782" s="269"/>
      <c r="G782" s="269"/>
      <c r="H782" s="270"/>
      <c r="I782" s="176" t="s">
        <v>1114</v>
      </c>
      <c r="J782" s="177" t="s">
        <v>829</v>
      </c>
      <c r="K782" s="216">
        <v>20000</v>
      </c>
      <c r="L782" s="272" t="s">
        <v>111</v>
      </c>
      <c r="M782" s="226" t="s">
        <v>1117</v>
      </c>
    </row>
    <row r="783" spans="1:13" s="141" customFormat="1" ht="66" customHeight="1" x14ac:dyDescent="0.2">
      <c r="A783" s="242">
        <v>178</v>
      </c>
      <c r="B783" s="266" t="s">
        <v>1118</v>
      </c>
      <c r="C783" s="267" t="s">
        <v>1118</v>
      </c>
      <c r="D783" s="268" t="s">
        <v>107</v>
      </c>
      <c r="E783" s="269"/>
      <c r="F783" s="269"/>
      <c r="G783" s="269"/>
      <c r="H783" s="270"/>
      <c r="I783" s="289" t="s">
        <v>1114</v>
      </c>
      <c r="J783" s="290" t="s">
        <v>829</v>
      </c>
      <c r="K783" s="391">
        <v>20000</v>
      </c>
      <c r="L783" s="272" t="s">
        <v>111</v>
      </c>
      <c r="M783" s="226" t="s">
        <v>1119</v>
      </c>
    </row>
    <row r="784" spans="1:13" s="141" customFormat="1" x14ac:dyDescent="0.2">
      <c r="A784" s="172">
        <v>179</v>
      </c>
      <c r="B784" s="173" t="s">
        <v>1120</v>
      </c>
      <c r="C784" s="174"/>
      <c r="D784" s="263" t="s">
        <v>107</v>
      </c>
      <c r="E784" s="175"/>
      <c r="F784" s="175"/>
      <c r="G784" s="175"/>
      <c r="H784" s="258"/>
      <c r="I784" s="228" t="s">
        <v>1121</v>
      </c>
      <c r="J784" s="202" t="s">
        <v>829</v>
      </c>
      <c r="K784" s="383">
        <f>20000*90%</f>
        <v>18000</v>
      </c>
      <c r="L784" s="174" t="s">
        <v>111</v>
      </c>
      <c r="M784" s="180" t="s">
        <v>1122</v>
      </c>
    </row>
    <row r="785" spans="1:13" s="141" customFormat="1" x14ac:dyDescent="0.2">
      <c r="A785" s="182"/>
      <c r="B785" s="183"/>
      <c r="C785" s="184"/>
      <c r="D785" s="255"/>
      <c r="E785" s="185"/>
      <c r="F785" s="185"/>
      <c r="G785" s="185"/>
      <c r="H785" s="260"/>
      <c r="I785" s="186" t="s">
        <v>1066</v>
      </c>
      <c r="J785" s="187" t="s">
        <v>829</v>
      </c>
      <c r="K785" s="261">
        <f>20000*10%</f>
        <v>2000</v>
      </c>
      <c r="L785" s="184"/>
      <c r="M785" s="190"/>
    </row>
    <row r="786" spans="1:13" s="141" customFormat="1" x14ac:dyDescent="0.2">
      <c r="A786" s="193"/>
      <c r="B786" s="194"/>
      <c r="C786" s="195"/>
      <c r="D786" s="256"/>
      <c r="E786" s="196"/>
      <c r="F786" s="196"/>
      <c r="G786" s="196"/>
      <c r="H786" s="262"/>
      <c r="I786" s="206"/>
      <c r="J786" s="392"/>
      <c r="K786" s="257">
        <f>SUM(K784:K785)</f>
        <v>20000</v>
      </c>
      <c r="L786" s="195"/>
      <c r="M786" s="201"/>
    </row>
    <row r="787" spans="1:13" s="141" customFormat="1" x14ac:dyDescent="0.2">
      <c r="A787" s="172">
        <v>180</v>
      </c>
      <c r="B787" s="173" t="s">
        <v>1123</v>
      </c>
      <c r="C787" s="174"/>
      <c r="D787" s="263" t="s">
        <v>107</v>
      </c>
      <c r="E787" s="175"/>
      <c r="F787" s="175"/>
      <c r="G787" s="175"/>
      <c r="H787" s="258"/>
      <c r="I787" s="322" t="s">
        <v>1124</v>
      </c>
      <c r="J787" s="202" t="s">
        <v>829</v>
      </c>
      <c r="K787" s="276">
        <f>18000*50%</f>
        <v>9000</v>
      </c>
      <c r="L787" s="174" t="s">
        <v>111</v>
      </c>
      <c r="M787" s="180" t="s">
        <v>1125</v>
      </c>
    </row>
    <row r="788" spans="1:13" s="141" customFormat="1" x14ac:dyDescent="0.2">
      <c r="A788" s="182"/>
      <c r="B788" s="183"/>
      <c r="C788" s="184"/>
      <c r="D788" s="255"/>
      <c r="E788" s="185"/>
      <c r="F788" s="185"/>
      <c r="G788" s="185"/>
      <c r="H788" s="260"/>
      <c r="I788" s="186" t="s">
        <v>1126</v>
      </c>
      <c r="J788" s="259" t="s">
        <v>829</v>
      </c>
      <c r="K788" s="393">
        <f>18000*10%</f>
        <v>1800</v>
      </c>
      <c r="L788" s="184"/>
      <c r="M788" s="190"/>
    </row>
    <row r="789" spans="1:13" s="141" customFormat="1" x14ac:dyDescent="0.2">
      <c r="A789" s="182"/>
      <c r="B789" s="183"/>
      <c r="C789" s="184"/>
      <c r="D789" s="255"/>
      <c r="E789" s="185"/>
      <c r="F789" s="185"/>
      <c r="G789" s="185"/>
      <c r="H789" s="260"/>
      <c r="I789" s="186" t="s">
        <v>1127</v>
      </c>
      <c r="J789" s="147" t="s">
        <v>829</v>
      </c>
      <c r="K789" s="225">
        <f t="shared" ref="K789:K792" si="15">18000*10%</f>
        <v>1800</v>
      </c>
      <c r="L789" s="184"/>
      <c r="M789" s="190"/>
    </row>
    <row r="790" spans="1:13" s="141" customFormat="1" x14ac:dyDescent="0.2">
      <c r="A790" s="182"/>
      <c r="B790" s="183"/>
      <c r="C790" s="184"/>
      <c r="D790" s="255"/>
      <c r="E790" s="185"/>
      <c r="F790" s="185"/>
      <c r="G790" s="185"/>
      <c r="H790" s="260"/>
      <c r="I790" s="186" t="s">
        <v>1128</v>
      </c>
      <c r="J790" s="187" t="s">
        <v>829</v>
      </c>
      <c r="K790" s="393">
        <f t="shared" si="15"/>
        <v>1800</v>
      </c>
      <c r="L790" s="184"/>
      <c r="M790" s="190"/>
    </row>
    <row r="791" spans="1:13" s="141" customFormat="1" x14ac:dyDescent="0.2">
      <c r="A791" s="182"/>
      <c r="B791" s="183"/>
      <c r="C791" s="184"/>
      <c r="D791" s="255"/>
      <c r="E791" s="185"/>
      <c r="F791" s="185"/>
      <c r="G791" s="185"/>
      <c r="H791" s="260"/>
      <c r="I791" s="186" t="s">
        <v>1129</v>
      </c>
      <c r="J791" s="187" t="s">
        <v>829</v>
      </c>
      <c r="K791" s="261">
        <f t="shared" si="15"/>
        <v>1800</v>
      </c>
      <c r="L791" s="184"/>
      <c r="M791" s="190"/>
    </row>
    <row r="792" spans="1:13" s="141" customFormat="1" x14ac:dyDescent="0.2">
      <c r="A792" s="182"/>
      <c r="B792" s="183"/>
      <c r="C792" s="184"/>
      <c r="D792" s="255"/>
      <c r="E792" s="185"/>
      <c r="F792" s="185"/>
      <c r="G792" s="185"/>
      <c r="H792" s="260"/>
      <c r="I792" s="192" t="s">
        <v>1130</v>
      </c>
      <c r="J792" s="187" t="s">
        <v>829</v>
      </c>
      <c r="K792" s="225">
        <f t="shared" si="15"/>
        <v>1800</v>
      </c>
      <c r="L792" s="184"/>
      <c r="M792" s="190"/>
    </row>
    <row r="793" spans="1:13" s="141" customFormat="1" x14ac:dyDescent="0.2">
      <c r="A793" s="193"/>
      <c r="B793" s="194"/>
      <c r="C793" s="195"/>
      <c r="D793" s="256"/>
      <c r="E793" s="196"/>
      <c r="F793" s="196"/>
      <c r="G793" s="196"/>
      <c r="H793" s="262"/>
      <c r="I793" s="197"/>
      <c r="J793" s="392"/>
      <c r="K793" s="298">
        <f>SUM(K787:K792)</f>
        <v>18000</v>
      </c>
      <c r="L793" s="195"/>
      <c r="M793" s="201"/>
    </row>
    <row r="794" spans="1:13" s="141" customFormat="1" ht="69.75" customHeight="1" x14ac:dyDescent="0.2">
      <c r="A794" s="242">
        <v>181</v>
      </c>
      <c r="B794" s="266" t="s">
        <v>1131</v>
      </c>
      <c r="C794" s="267" t="s">
        <v>1131</v>
      </c>
      <c r="D794" s="268" t="s">
        <v>107</v>
      </c>
      <c r="E794" s="269"/>
      <c r="F794" s="269"/>
      <c r="G794" s="269"/>
      <c r="H794" s="270"/>
      <c r="I794" s="289" t="s">
        <v>1132</v>
      </c>
      <c r="J794" s="326" t="s">
        <v>829</v>
      </c>
      <c r="K794" s="291">
        <v>18000</v>
      </c>
      <c r="L794" s="319" t="s">
        <v>111</v>
      </c>
      <c r="M794" s="226" t="s">
        <v>1133</v>
      </c>
    </row>
    <row r="795" spans="1:13" s="141" customFormat="1" x14ac:dyDescent="0.2">
      <c r="A795" s="172">
        <v>182</v>
      </c>
      <c r="B795" s="173" t="s">
        <v>1134</v>
      </c>
      <c r="C795" s="174"/>
      <c r="D795" s="263" t="s">
        <v>107</v>
      </c>
      <c r="E795" s="175"/>
      <c r="F795" s="175"/>
      <c r="G795" s="175"/>
      <c r="H795" s="258"/>
      <c r="I795" s="176" t="s">
        <v>1135</v>
      </c>
      <c r="J795" s="147" t="s">
        <v>829</v>
      </c>
      <c r="K795" s="393">
        <f>50000*60%</f>
        <v>30000</v>
      </c>
      <c r="L795" s="174" t="s">
        <v>111</v>
      </c>
      <c r="M795" s="180" t="s">
        <v>1136</v>
      </c>
    </row>
    <row r="796" spans="1:13" s="141" customFormat="1" x14ac:dyDescent="0.2">
      <c r="A796" s="182"/>
      <c r="B796" s="183"/>
      <c r="C796" s="184"/>
      <c r="D796" s="255"/>
      <c r="E796" s="185"/>
      <c r="F796" s="185"/>
      <c r="G796" s="185"/>
      <c r="H796" s="260"/>
      <c r="I796" s="186" t="s">
        <v>1137</v>
      </c>
      <c r="J796" s="187" t="s">
        <v>829</v>
      </c>
      <c r="K796" s="261">
        <f>50000*20%</f>
        <v>10000</v>
      </c>
      <c r="L796" s="184"/>
      <c r="M796" s="190"/>
    </row>
    <row r="797" spans="1:13" s="141" customFormat="1" x14ac:dyDescent="0.2">
      <c r="A797" s="182"/>
      <c r="B797" s="183"/>
      <c r="C797" s="184"/>
      <c r="D797" s="255"/>
      <c r="E797" s="185"/>
      <c r="F797" s="185"/>
      <c r="G797" s="185"/>
      <c r="H797" s="260"/>
      <c r="I797" s="186" t="s">
        <v>1138</v>
      </c>
      <c r="J797" s="187" t="s">
        <v>829</v>
      </c>
      <c r="K797" s="261">
        <f>50000*20%</f>
        <v>10000</v>
      </c>
      <c r="L797" s="184"/>
      <c r="M797" s="190"/>
    </row>
    <row r="798" spans="1:13" s="141" customFormat="1" x14ac:dyDescent="0.2">
      <c r="A798" s="193"/>
      <c r="B798" s="194"/>
      <c r="C798" s="195"/>
      <c r="D798" s="256"/>
      <c r="E798" s="196"/>
      <c r="F798" s="196"/>
      <c r="G798" s="196"/>
      <c r="H798" s="262"/>
      <c r="I798" s="206"/>
      <c r="J798" s="147"/>
      <c r="K798" s="257">
        <f>SUM(K795:K797)</f>
        <v>50000</v>
      </c>
      <c r="L798" s="195"/>
      <c r="M798" s="201"/>
    </row>
    <row r="799" spans="1:13" s="141" customFormat="1" x14ac:dyDescent="0.2">
      <c r="A799" s="172">
        <v>183</v>
      </c>
      <c r="B799" s="173" t="s">
        <v>1139</v>
      </c>
      <c r="C799" s="174"/>
      <c r="D799" s="263" t="s">
        <v>107</v>
      </c>
      <c r="E799" s="175"/>
      <c r="F799" s="175"/>
      <c r="G799" s="175"/>
      <c r="H799" s="394"/>
      <c r="I799" s="228" t="s">
        <v>1140</v>
      </c>
      <c r="J799" s="202" t="s">
        <v>829</v>
      </c>
      <c r="K799" s="383">
        <f>200000*60%</f>
        <v>120000</v>
      </c>
      <c r="L799" s="174" t="s">
        <v>111</v>
      </c>
      <c r="M799" s="180" t="s">
        <v>1141</v>
      </c>
    </row>
    <row r="800" spans="1:13" s="141" customFormat="1" x14ac:dyDescent="0.2">
      <c r="A800" s="182"/>
      <c r="B800" s="183"/>
      <c r="C800" s="184"/>
      <c r="D800" s="255"/>
      <c r="E800" s="185"/>
      <c r="F800" s="185"/>
      <c r="G800" s="185"/>
      <c r="H800" s="395"/>
      <c r="I800" s="176" t="s">
        <v>1142</v>
      </c>
      <c r="J800" s="147" t="s">
        <v>365</v>
      </c>
      <c r="K800" s="225">
        <f>200000*20%</f>
        <v>40000</v>
      </c>
      <c r="L800" s="184"/>
      <c r="M800" s="190"/>
    </row>
    <row r="801" spans="1:13" s="141" customFormat="1" x14ac:dyDescent="0.2">
      <c r="A801" s="182"/>
      <c r="B801" s="183"/>
      <c r="C801" s="184"/>
      <c r="D801" s="255"/>
      <c r="E801" s="185"/>
      <c r="F801" s="185"/>
      <c r="G801" s="185"/>
      <c r="H801" s="395"/>
      <c r="I801" s="192" t="s">
        <v>1143</v>
      </c>
      <c r="J801" s="187" t="s">
        <v>657</v>
      </c>
      <c r="K801" s="225">
        <f>200000*20%</f>
        <v>40000</v>
      </c>
      <c r="L801" s="184"/>
      <c r="M801" s="190"/>
    </row>
    <row r="802" spans="1:13" s="141" customFormat="1" x14ac:dyDescent="0.2">
      <c r="A802" s="193"/>
      <c r="B802" s="194"/>
      <c r="C802" s="195"/>
      <c r="D802" s="256"/>
      <c r="E802" s="196"/>
      <c r="F802" s="196"/>
      <c r="G802" s="196"/>
      <c r="H802" s="396"/>
      <c r="I802" s="197"/>
      <c r="J802" s="392"/>
      <c r="K802" s="298">
        <f>SUM(K799:K801)</f>
        <v>200000</v>
      </c>
      <c r="L802" s="195"/>
      <c r="M802" s="201"/>
    </row>
    <row r="803" spans="1:13" s="141" customFormat="1" x14ac:dyDescent="0.2">
      <c r="A803" s="172">
        <v>184</v>
      </c>
      <c r="B803" s="173" t="s">
        <v>1144</v>
      </c>
      <c r="C803" s="174"/>
      <c r="D803" s="263" t="s">
        <v>163</v>
      </c>
      <c r="E803" s="175"/>
      <c r="F803" s="175"/>
      <c r="G803" s="175"/>
      <c r="H803" s="258"/>
      <c r="I803" s="228" t="s">
        <v>1145</v>
      </c>
      <c r="J803" s="202" t="s">
        <v>829</v>
      </c>
      <c r="K803" s="383">
        <f>10000*50%</f>
        <v>5000</v>
      </c>
      <c r="L803" s="174" t="s">
        <v>324</v>
      </c>
      <c r="M803" s="180" t="s">
        <v>1146</v>
      </c>
    </row>
    <row r="804" spans="1:13" s="141" customFormat="1" x14ac:dyDescent="0.2">
      <c r="A804" s="182"/>
      <c r="B804" s="183"/>
      <c r="C804" s="184"/>
      <c r="D804" s="255"/>
      <c r="E804" s="185"/>
      <c r="F804" s="185"/>
      <c r="G804" s="185"/>
      <c r="H804" s="260"/>
      <c r="I804" s="176" t="s">
        <v>1079</v>
      </c>
      <c r="J804" s="147" t="s">
        <v>829</v>
      </c>
      <c r="K804" s="261">
        <f>10000*25%</f>
        <v>2500</v>
      </c>
      <c r="L804" s="184"/>
      <c r="M804" s="190"/>
    </row>
    <row r="805" spans="1:13" s="141" customFormat="1" x14ac:dyDescent="0.2">
      <c r="A805" s="182"/>
      <c r="B805" s="183"/>
      <c r="C805" s="184"/>
      <c r="D805" s="255"/>
      <c r="E805" s="185"/>
      <c r="F805" s="185"/>
      <c r="G805" s="185"/>
      <c r="H805" s="260"/>
      <c r="I805" s="186" t="s">
        <v>1147</v>
      </c>
      <c r="J805" s="191" t="s">
        <v>829</v>
      </c>
      <c r="K805" s="225">
        <f>10000*25%</f>
        <v>2500</v>
      </c>
      <c r="L805" s="184"/>
      <c r="M805" s="190"/>
    </row>
    <row r="806" spans="1:13" s="141" customFormat="1" x14ac:dyDescent="0.2">
      <c r="A806" s="193"/>
      <c r="B806" s="194"/>
      <c r="C806" s="195"/>
      <c r="D806" s="256"/>
      <c r="E806" s="196"/>
      <c r="F806" s="196"/>
      <c r="G806" s="196"/>
      <c r="H806" s="262"/>
      <c r="I806" s="206"/>
      <c r="J806" s="198"/>
      <c r="K806" s="298">
        <f>SUM(K803:K805)</f>
        <v>10000</v>
      </c>
      <c r="L806" s="195"/>
      <c r="M806" s="201"/>
    </row>
    <row r="807" spans="1:13" s="141" customFormat="1" x14ac:dyDescent="0.2">
      <c r="A807" s="172">
        <v>185</v>
      </c>
      <c r="B807" s="173" t="s">
        <v>1148</v>
      </c>
      <c r="C807" s="174"/>
      <c r="D807" s="263" t="s">
        <v>163</v>
      </c>
      <c r="E807" s="175"/>
      <c r="F807" s="175"/>
      <c r="G807" s="175"/>
      <c r="H807" s="258"/>
      <c r="I807" s="322" t="s">
        <v>1149</v>
      </c>
      <c r="J807" s="397" t="s">
        <v>829</v>
      </c>
      <c r="K807" s="276">
        <f>110000*50%</f>
        <v>55000</v>
      </c>
      <c r="L807" s="174" t="s">
        <v>324</v>
      </c>
      <c r="M807" s="180" t="s">
        <v>1150</v>
      </c>
    </row>
    <row r="808" spans="1:13" s="141" customFormat="1" x14ac:dyDescent="0.2">
      <c r="A808" s="182"/>
      <c r="B808" s="183"/>
      <c r="C808" s="184"/>
      <c r="D808" s="255"/>
      <c r="E808" s="185"/>
      <c r="F808" s="185"/>
      <c r="G808" s="185"/>
      <c r="H808" s="260"/>
      <c r="I808" s="192" t="s">
        <v>1151</v>
      </c>
      <c r="J808" s="191" t="s">
        <v>829</v>
      </c>
      <c r="K808" s="393">
        <f>110000*25%</f>
        <v>27500</v>
      </c>
      <c r="L808" s="184"/>
      <c r="M808" s="190"/>
    </row>
    <row r="809" spans="1:13" s="141" customFormat="1" x14ac:dyDescent="0.2">
      <c r="A809" s="182"/>
      <c r="B809" s="183"/>
      <c r="C809" s="184"/>
      <c r="D809" s="255"/>
      <c r="E809" s="185"/>
      <c r="F809" s="185"/>
      <c r="G809" s="185"/>
      <c r="H809" s="260"/>
      <c r="I809" s="186" t="s">
        <v>1152</v>
      </c>
      <c r="J809" s="191" t="s">
        <v>829</v>
      </c>
      <c r="K809" s="225">
        <f>110000*25%</f>
        <v>27500</v>
      </c>
      <c r="L809" s="184"/>
      <c r="M809" s="190"/>
    </row>
    <row r="810" spans="1:13" s="141" customFormat="1" x14ac:dyDescent="0.2">
      <c r="A810" s="193"/>
      <c r="B810" s="194"/>
      <c r="C810" s="195"/>
      <c r="D810" s="256"/>
      <c r="E810" s="196"/>
      <c r="F810" s="196"/>
      <c r="G810" s="196"/>
      <c r="H810" s="262"/>
      <c r="I810" s="206"/>
      <c r="J810" s="198"/>
      <c r="K810" s="298">
        <f>SUM(K807:K809)</f>
        <v>110000</v>
      </c>
      <c r="L810" s="195"/>
      <c r="M810" s="201"/>
    </row>
    <row r="811" spans="1:13" s="141" customFormat="1" x14ac:dyDescent="0.2">
      <c r="A811" s="172">
        <v>186</v>
      </c>
      <c r="B811" s="173" t="s">
        <v>1153</v>
      </c>
      <c r="C811" s="174"/>
      <c r="D811" s="263" t="s">
        <v>163</v>
      </c>
      <c r="E811" s="175"/>
      <c r="F811" s="175"/>
      <c r="G811" s="175"/>
      <c r="H811" s="258"/>
      <c r="I811" s="322" t="s">
        <v>1154</v>
      </c>
      <c r="J811" s="397" t="s">
        <v>829</v>
      </c>
      <c r="K811" s="383">
        <f>126100*70%</f>
        <v>88270</v>
      </c>
      <c r="L811" s="174" t="s">
        <v>324</v>
      </c>
      <c r="M811" s="180" t="s">
        <v>1155</v>
      </c>
    </row>
    <row r="812" spans="1:13" s="141" customFormat="1" x14ac:dyDescent="0.2">
      <c r="A812" s="182"/>
      <c r="B812" s="183"/>
      <c r="C812" s="184"/>
      <c r="D812" s="255"/>
      <c r="E812" s="185"/>
      <c r="F812" s="185"/>
      <c r="G812" s="185"/>
      <c r="H812" s="260"/>
      <c r="I812" s="192" t="s">
        <v>1156</v>
      </c>
      <c r="J812" s="191" t="s">
        <v>829</v>
      </c>
      <c r="K812" s="225">
        <f>126100*10%</f>
        <v>12610</v>
      </c>
      <c r="L812" s="184"/>
      <c r="M812" s="190"/>
    </row>
    <row r="813" spans="1:13" s="141" customFormat="1" x14ac:dyDescent="0.2">
      <c r="A813" s="182"/>
      <c r="B813" s="183"/>
      <c r="C813" s="184"/>
      <c r="D813" s="255"/>
      <c r="E813" s="185"/>
      <c r="F813" s="185"/>
      <c r="G813" s="185"/>
      <c r="H813" s="260"/>
      <c r="I813" s="176" t="s">
        <v>1157</v>
      </c>
      <c r="J813" s="191" t="s">
        <v>829</v>
      </c>
      <c r="K813" s="393">
        <f>126100*10%</f>
        <v>12610</v>
      </c>
      <c r="L813" s="184"/>
      <c r="M813" s="190"/>
    </row>
    <row r="814" spans="1:13" s="141" customFormat="1" x14ac:dyDescent="0.2">
      <c r="A814" s="182"/>
      <c r="B814" s="183"/>
      <c r="C814" s="184"/>
      <c r="D814" s="255"/>
      <c r="E814" s="185"/>
      <c r="F814" s="185"/>
      <c r="G814" s="185"/>
      <c r="H814" s="260"/>
      <c r="I814" s="186" t="s">
        <v>1158</v>
      </c>
      <c r="J814" s="187" t="s">
        <v>829</v>
      </c>
      <c r="K814" s="225">
        <f>126100*10%</f>
        <v>12610</v>
      </c>
      <c r="L814" s="184"/>
      <c r="M814" s="190"/>
    </row>
    <row r="815" spans="1:13" s="141" customFormat="1" x14ac:dyDescent="0.2">
      <c r="A815" s="193"/>
      <c r="B815" s="194"/>
      <c r="C815" s="195"/>
      <c r="D815" s="256"/>
      <c r="E815" s="196"/>
      <c r="F815" s="196"/>
      <c r="G815" s="196"/>
      <c r="H815" s="262"/>
      <c r="I815" s="206"/>
      <c r="J815" s="392"/>
      <c r="K815" s="298">
        <f>SUM(K811:K814)</f>
        <v>126100</v>
      </c>
      <c r="L815" s="195"/>
      <c r="M815" s="201"/>
    </row>
    <row r="816" spans="1:13" s="141" customFormat="1" x14ac:dyDescent="0.2">
      <c r="A816" s="172">
        <v>187</v>
      </c>
      <c r="B816" s="173" t="s">
        <v>1018</v>
      </c>
      <c r="C816" s="174"/>
      <c r="D816" s="263" t="s">
        <v>163</v>
      </c>
      <c r="E816" s="175"/>
      <c r="F816" s="175"/>
      <c r="G816" s="175"/>
      <c r="H816" s="258" t="s">
        <v>137</v>
      </c>
      <c r="I816" s="322" t="s">
        <v>1159</v>
      </c>
      <c r="J816" s="397" t="s">
        <v>829</v>
      </c>
      <c r="K816" s="383">
        <f>150000*50%</f>
        <v>75000</v>
      </c>
      <c r="L816" s="174" t="s">
        <v>324</v>
      </c>
      <c r="M816" s="180" t="s">
        <v>1020</v>
      </c>
    </row>
    <row r="817" spans="1:13" s="141" customFormat="1" x14ac:dyDescent="0.2">
      <c r="A817" s="182"/>
      <c r="B817" s="183"/>
      <c r="C817" s="184"/>
      <c r="D817" s="255"/>
      <c r="E817" s="185"/>
      <c r="F817" s="185"/>
      <c r="G817" s="185"/>
      <c r="H817" s="260"/>
      <c r="I817" s="186" t="s">
        <v>1160</v>
      </c>
      <c r="J817" s="187" t="s">
        <v>829</v>
      </c>
      <c r="K817" s="261">
        <f>150000*15%</f>
        <v>22500</v>
      </c>
      <c r="L817" s="184"/>
      <c r="M817" s="190"/>
    </row>
    <row r="818" spans="1:13" s="141" customFormat="1" x14ac:dyDescent="0.2">
      <c r="A818" s="182"/>
      <c r="B818" s="183"/>
      <c r="C818" s="184"/>
      <c r="D818" s="255"/>
      <c r="E818" s="185"/>
      <c r="F818" s="185"/>
      <c r="G818" s="185"/>
      <c r="H818" s="260"/>
      <c r="I818" s="186" t="s">
        <v>1022</v>
      </c>
      <c r="J818" s="147" t="s">
        <v>829</v>
      </c>
      <c r="K818" s="261">
        <f>150000*35%</f>
        <v>52500</v>
      </c>
      <c r="L818" s="184"/>
      <c r="M818" s="190"/>
    </row>
    <row r="819" spans="1:13" s="141" customFormat="1" x14ac:dyDescent="0.2">
      <c r="A819" s="193"/>
      <c r="B819" s="194"/>
      <c r="C819" s="195"/>
      <c r="D819" s="256"/>
      <c r="E819" s="196"/>
      <c r="F819" s="196"/>
      <c r="G819" s="196"/>
      <c r="H819" s="262"/>
      <c r="I819" s="206"/>
      <c r="J819" s="198"/>
      <c r="K819" s="257">
        <f>SUM(K816:K818)</f>
        <v>150000</v>
      </c>
      <c r="L819" s="195"/>
      <c r="M819" s="201"/>
    </row>
    <row r="820" spans="1:13" s="141" customFormat="1" x14ac:dyDescent="0.2">
      <c r="A820" s="172">
        <v>188</v>
      </c>
      <c r="B820" s="173" t="s">
        <v>1161</v>
      </c>
      <c r="C820" s="174"/>
      <c r="D820" s="263" t="s">
        <v>163</v>
      </c>
      <c r="E820" s="175"/>
      <c r="F820" s="175"/>
      <c r="G820" s="175"/>
      <c r="H820" s="258"/>
      <c r="I820" s="228" t="s">
        <v>1162</v>
      </c>
      <c r="J820" s="397" t="s">
        <v>829</v>
      </c>
      <c r="K820" s="383">
        <f>63980*80%</f>
        <v>51184</v>
      </c>
      <c r="L820" s="174" t="s">
        <v>324</v>
      </c>
      <c r="M820" s="180" t="s">
        <v>1163</v>
      </c>
    </row>
    <row r="821" spans="1:13" s="141" customFormat="1" x14ac:dyDescent="0.2">
      <c r="A821" s="182"/>
      <c r="B821" s="183"/>
      <c r="C821" s="184"/>
      <c r="D821" s="255"/>
      <c r="E821" s="185"/>
      <c r="F821" s="185"/>
      <c r="G821" s="185"/>
      <c r="H821" s="260"/>
      <c r="I821" s="176" t="s">
        <v>1164</v>
      </c>
      <c r="J821" s="187" t="s">
        <v>829</v>
      </c>
      <c r="K821" s="261">
        <f>63980*10%</f>
        <v>6398</v>
      </c>
      <c r="L821" s="184"/>
      <c r="M821" s="190"/>
    </row>
    <row r="822" spans="1:13" s="141" customFormat="1" x14ac:dyDescent="0.2">
      <c r="A822" s="182"/>
      <c r="B822" s="183"/>
      <c r="C822" s="184"/>
      <c r="D822" s="255"/>
      <c r="E822" s="185"/>
      <c r="F822" s="185"/>
      <c r="G822" s="185"/>
      <c r="H822" s="260"/>
      <c r="I822" s="186" t="s">
        <v>941</v>
      </c>
      <c r="J822" s="187" t="s">
        <v>829</v>
      </c>
      <c r="K822" s="261">
        <f>63980*10%</f>
        <v>6398</v>
      </c>
      <c r="L822" s="184"/>
      <c r="M822" s="190"/>
    </row>
    <row r="823" spans="1:13" s="141" customFormat="1" x14ac:dyDescent="0.2">
      <c r="A823" s="193"/>
      <c r="B823" s="194"/>
      <c r="C823" s="195"/>
      <c r="D823" s="256"/>
      <c r="E823" s="196"/>
      <c r="F823" s="196"/>
      <c r="G823" s="196"/>
      <c r="H823" s="262"/>
      <c r="I823" s="206"/>
      <c r="J823" s="392"/>
      <c r="K823" s="257">
        <f>SUM(K820:K822)</f>
        <v>63980</v>
      </c>
      <c r="L823" s="195"/>
      <c r="M823" s="201"/>
    </row>
    <row r="824" spans="1:13" s="141" customFormat="1" x14ac:dyDescent="0.2">
      <c r="A824" s="172">
        <v>189</v>
      </c>
      <c r="B824" s="173" t="s">
        <v>1165</v>
      </c>
      <c r="C824" s="174"/>
      <c r="D824" s="263" t="s">
        <v>163</v>
      </c>
      <c r="E824" s="175"/>
      <c r="F824" s="175"/>
      <c r="G824" s="175"/>
      <c r="H824" s="258"/>
      <c r="I824" s="228" t="s">
        <v>1166</v>
      </c>
      <c r="J824" s="202" t="s">
        <v>829</v>
      </c>
      <c r="K824" s="383">
        <f>64900*70%</f>
        <v>45430</v>
      </c>
      <c r="L824" s="174" t="s">
        <v>324</v>
      </c>
      <c r="M824" s="180" t="s">
        <v>1167</v>
      </c>
    </row>
    <row r="825" spans="1:13" s="141" customFormat="1" x14ac:dyDescent="0.2">
      <c r="A825" s="182"/>
      <c r="B825" s="183"/>
      <c r="C825" s="184"/>
      <c r="D825" s="255"/>
      <c r="E825" s="185"/>
      <c r="F825" s="185"/>
      <c r="G825" s="185"/>
      <c r="H825" s="260"/>
      <c r="I825" s="192" t="s">
        <v>1168</v>
      </c>
      <c r="J825" s="259" t="s">
        <v>829</v>
      </c>
      <c r="K825" s="261">
        <f>64900*20%</f>
        <v>12980</v>
      </c>
      <c r="L825" s="184"/>
      <c r="M825" s="190"/>
    </row>
    <row r="826" spans="1:13" s="141" customFormat="1" x14ac:dyDescent="0.2">
      <c r="A826" s="182"/>
      <c r="B826" s="183"/>
      <c r="C826" s="184"/>
      <c r="D826" s="255"/>
      <c r="E826" s="185"/>
      <c r="F826" s="185"/>
      <c r="G826" s="185"/>
      <c r="H826" s="260"/>
      <c r="I826" s="283" t="s">
        <v>1005</v>
      </c>
      <c r="J826" s="147" t="s">
        <v>829</v>
      </c>
      <c r="K826" s="225">
        <f>64900*5%</f>
        <v>3245</v>
      </c>
      <c r="L826" s="184"/>
      <c r="M826" s="190"/>
    </row>
    <row r="827" spans="1:13" s="141" customFormat="1" x14ac:dyDescent="0.2">
      <c r="A827" s="182"/>
      <c r="B827" s="183"/>
      <c r="C827" s="184"/>
      <c r="D827" s="255"/>
      <c r="E827" s="185"/>
      <c r="F827" s="185"/>
      <c r="G827" s="185"/>
      <c r="H827" s="260"/>
      <c r="I827" s="192" t="s">
        <v>1169</v>
      </c>
      <c r="J827" s="187" t="s">
        <v>829</v>
      </c>
      <c r="K827" s="225">
        <f>64900*5%</f>
        <v>3245</v>
      </c>
      <c r="L827" s="184"/>
      <c r="M827" s="190"/>
    </row>
    <row r="828" spans="1:13" s="141" customFormat="1" x14ac:dyDescent="0.2">
      <c r="A828" s="193"/>
      <c r="B828" s="194"/>
      <c r="C828" s="195"/>
      <c r="D828" s="256"/>
      <c r="E828" s="196"/>
      <c r="F828" s="196"/>
      <c r="G828" s="196"/>
      <c r="H828" s="262"/>
      <c r="I828" s="197"/>
      <c r="J828" s="198"/>
      <c r="K828" s="298">
        <f>SUM(K824:K827)</f>
        <v>64900</v>
      </c>
      <c r="L828" s="195"/>
      <c r="M828" s="201"/>
    </row>
    <row r="829" spans="1:13" s="141" customFormat="1" ht="24.75" customHeight="1" x14ac:dyDescent="0.2">
      <c r="A829" s="172">
        <v>190</v>
      </c>
      <c r="B829" s="173" t="s">
        <v>1170</v>
      </c>
      <c r="C829" s="174"/>
      <c r="D829" s="263" t="s">
        <v>25</v>
      </c>
      <c r="E829" s="175"/>
      <c r="F829" s="175"/>
      <c r="G829" s="175" t="s">
        <v>1171</v>
      </c>
      <c r="H829" s="175" t="s">
        <v>1172</v>
      </c>
      <c r="I829" s="176" t="s">
        <v>1173</v>
      </c>
      <c r="J829" s="259" t="s">
        <v>829</v>
      </c>
      <c r="K829" s="383">
        <f>2435000*25%</f>
        <v>608750</v>
      </c>
      <c r="L829" s="398" t="s">
        <v>1171</v>
      </c>
      <c r="M829" s="398" t="s">
        <v>1174</v>
      </c>
    </row>
    <row r="830" spans="1:13" s="141" customFormat="1" x14ac:dyDescent="0.2">
      <c r="A830" s="182"/>
      <c r="B830" s="183"/>
      <c r="C830" s="184"/>
      <c r="D830" s="255"/>
      <c r="E830" s="185"/>
      <c r="F830" s="185"/>
      <c r="G830" s="185"/>
      <c r="H830" s="185"/>
      <c r="I830" s="186" t="s">
        <v>1175</v>
      </c>
      <c r="J830" s="191" t="s">
        <v>829</v>
      </c>
      <c r="K830" s="225">
        <f t="shared" ref="K830:K832" si="16">2435000*25%</f>
        <v>608750</v>
      </c>
      <c r="L830" s="398"/>
      <c r="M830" s="398"/>
    </row>
    <row r="831" spans="1:13" s="141" customFormat="1" x14ac:dyDescent="0.2">
      <c r="A831" s="182"/>
      <c r="B831" s="183"/>
      <c r="C831" s="184"/>
      <c r="D831" s="255"/>
      <c r="E831" s="185"/>
      <c r="F831" s="185"/>
      <c r="G831" s="185"/>
      <c r="H831" s="185"/>
      <c r="I831" s="186" t="s">
        <v>1176</v>
      </c>
      <c r="J831" s="191" t="s">
        <v>829</v>
      </c>
      <c r="K831" s="393">
        <f t="shared" si="16"/>
        <v>608750</v>
      </c>
      <c r="L831" s="398"/>
      <c r="M831" s="398"/>
    </row>
    <row r="832" spans="1:13" s="141" customFormat="1" x14ac:dyDescent="0.2">
      <c r="A832" s="182"/>
      <c r="B832" s="183"/>
      <c r="C832" s="184"/>
      <c r="D832" s="255"/>
      <c r="E832" s="185"/>
      <c r="F832" s="185"/>
      <c r="G832" s="185"/>
      <c r="H832" s="185"/>
      <c r="I832" s="186" t="s">
        <v>1177</v>
      </c>
      <c r="J832" s="187" t="s">
        <v>829</v>
      </c>
      <c r="K832" s="225">
        <f t="shared" si="16"/>
        <v>608750</v>
      </c>
      <c r="L832" s="398"/>
      <c r="M832" s="398"/>
    </row>
    <row r="833" spans="1:13" s="141" customFormat="1" ht="26.25" customHeight="1" x14ac:dyDescent="0.2">
      <c r="A833" s="193"/>
      <c r="B833" s="194"/>
      <c r="C833" s="195"/>
      <c r="D833" s="256"/>
      <c r="E833" s="196"/>
      <c r="F833" s="196"/>
      <c r="G833" s="196"/>
      <c r="H833" s="196"/>
      <c r="I833" s="206"/>
      <c r="J833" s="392"/>
      <c r="K833" s="257">
        <f>SUM(K829:K832)</f>
        <v>2435000</v>
      </c>
      <c r="L833" s="398"/>
      <c r="M833" s="398"/>
    </row>
    <row r="834" spans="1:13" s="141" customFormat="1" ht="21.75" customHeight="1" x14ac:dyDescent="0.2">
      <c r="A834" s="172">
        <v>191</v>
      </c>
      <c r="B834" s="173" t="s">
        <v>1178</v>
      </c>
      <c r="C834" s="174"/>
      <c r="D834" s="263" t="s">
        <v>25</v>
      </c>
      <c r="E834" s="175"/>
      <c r="F834" s="175"/>
      <c r="G834" s="175" t="s">
        <v>1179</v>
      </c>
      <c r="H834" s="175" t="s">
        <v>361</v>
      </c>
      <c r="I834" s="322" t="s">
        <v>1180</v>
      </c>
      <c r="J834" s="202" t="s">
        <v>829</v>
      </c>
      <c r="K834" s="383">
        <f>500000*45%</f>
        <v>225000</v>
      </c>
      <c r="L834" s="180" t="s">
        <v>1179</v>
      </c>
      <c r="M834" s="180" t="s">
        <v>1181</v>
      </c>
    </row>
    <row r="835" spans="1:13" s="141" customFormat="1" ht="21.75" customHeight="1" x14ac:dyDescent="0.2">
      <c r="A835" s="182"/>
      <c r="B835" s="183"/>
      <c r="C835" s="184"/>
      <c r="D835" s="255"/>
      <c r="E835" s="185"/>
      <c r="F835" s="185"/>
      <c r="G835" s="185"/>
      <c r="H835" s="185"/>
      <c r="I835" s="186" t="s">
        <v>1137</v>
      </c>
      <c r="J835" s="187" t="s">
        <v>829</v>
      </c>
      <c r="K835" s="225">
        <f>500000*20%</f>
        <v>100000</v>
      </c>
      <c r="L835" s="190"/>
      <c r="M835" s="190"/>
    </row>
    <row r="836" spans="1:13" s="141" customFormat="1" ht="21.75" customHeight="1" x14ac:dyDescent="0.2">
      <c r="A836" s="182"/>
      <c r="B836" s="183"/>
      <c r="C836" s="184"/>
      <c r="D836" s="255"/>
      <c r="E836" s="185"/>
      <c r="F836" s="185"/>
      <c r="G836" s="185"/>
      <c r="H836" s="185"/>
      <c r="I836" s="186" t="s">
        <v>1138</v>
      </c>
      <c r="J836" s="187" t="s">
        <v>829</v>
      </c>
      <c r="K836" s="393">
        <f>500000*20%</f>
        <v>100000</v>
      </c>
      <c r="L836" s="190"/>
      <c r="M836" s="190"/>
    </row>
    <row r="837" spans="1:13" s="141" customFormat="1" ht="21.75" customHeight="1" x14ac:dyDescent="0.2">
      <c r="A837" s="182"/>
      <c r="B837" s="183"/>
      <c r="C837" s="184"/>
      <c r="D837" s="255"/>
      <c r="E837" s="185"/>
      <c r="F837" s="185"/>
      <c r="G837" s="185"/>
      <c r="H837" s="185"/>
      <c r="I837" s="192" t="s">
        <v>1182</v>
      </c>
      <c r="J837" s="177" t="s">
        <v>829</v>
      </c>
      <c r="K837" s="225">
        <f>500000*15%</f>
        <v>75000</v>
      </c>
      <c r="L837" s="190"/>
      <c r="M837" s="190"/>
    </row>
    <row r="838" spans="1:13" s="141" customFormat="1" ht="21.75" customHeight="1" x14ac:dyDescent="0.2">
      <c r="A838" s="193"/>
      <c r="B838" s="194"/>
      <c r="C838" s="195"/>
      <c r="D838" s="256"/>
      <c r="E838" s="196"/>
      <c r="F838" s="196"/>
      <c r="G838" s="196"/>
      <c r="H838" s="196"/>
      <c r="I838" s="206"/>
      <c r="J838" s="198"/>
      <c r="K838" s="298">
        <f>SUM(K834:K837)</f>
        <v>500000</v>
      </c>
      <c r="L838" s="201"/>
      <c r="M838" s="201"/>
    </row>
    <row r="839" spans="1:13" s="141" customFormat="1" ht="21" customHeight="1" x14ac:dyDescent="0.2">
      <c r="A839" s="172">
        <v>192</v>
      </c>
      <c r="B839" s="173" t="s">
        <v>1183</v>
      </c>
      <c r="C839" s="174"/>
      <c r="D839" s="263" t="s">
        <v>25</v>
      </c>
      <c r="E839" s="175"/>
      <c r="F839" s="175"/>
      <c r="G839" s="175" t="s">
        <v>1179</v>
      </c>
      <c r="H839" s="175" t="s">
        <v>361</v>
      </c>
      <c r="I839" s="176" t="s">
        <v>1184</v>
      </c>
      <c r="J839" s="272" t="s">
        <v>829</v>
      </c>
      <c r="K839" s="383">
        <f>500000*50%</f>
        <v>250000</v>
      </c>
      <c r="L839" s="180" t="s">
        <v>1179</v>
      </c>
      <c r="M839" s="180" t="s">
        <v>1185</v>
      </c>
    </row>
    <row r="840" spans="1:13" s="141" customFormat="1" ht="22.5" customHeight="1" x14ac:dyDescent="0.2">
      <c r="A840" s="182"/>
      <c r="B840" s="183"/>
      <c r="C840" s="184"/>
      <c r="D840" s="255"/>
      <c r="E840" s="185"/>
      <c r="F840" s="185"/>
      <c r="G840" s="185"/>
      <c r="H840" s="185"/>
      <c r="I840" s="192" t="s">
        <v>1186</v>
      </c>
      <c r="J840" s="191" t="s">
        <v>196</v>
      </c>
      <c r="K840" s="225">
        <f>500000*30%</f>
        <v>150000</v>
      </c>
      <c r="L840" s="190"/>
      <c r="M840" s="190"/>
    </row>
    <row r="841" spans="1:13" s="141" customFormat="1" ht="22.5" customHeight="1" x14ac:dyDescent="0.2">
      <c r="A841" s="182"/>
      <c r="B841" s="183"/>
      <c r="C841" s="184"/>
      <c r="D841" s="255"/>
      <c r="E841" s="185"/>
      <c r="F841" s="185"/>
      <c r="G841" s="185"/>
      <c r="H841" s="185"/>
      <c r="I841" s="192" t="s">
        <v>1187</v>
      </c>
      <c r="J841" s="191" t="s">
        <v>829</v>
      </c>
      <c r="K841" s="225">
        <f>500000*10%</f>
        <v>50000</v>
      </c>
      <c r="L841" s="190"/>
      <c r="M841" s="190"/>
    </row>
    <row r="842" spans="1:13" s="141" customFormat="1" ht="22.5" customHeight="1" x14ac:dyDescent="0.2">
      <c r="A842" s="182"/>
      <c r="B842" s="183"/>
      <c r="C842" s="184"/>
      <c r="D842" s="255"/>
      <c r="E842" s="185"/>
      <c r="F842" s="185"/>
      <c r="G842" s="185"/>
      <c r="H842" s="185"/>
      <c r="I842" s="176" t="s">
        <v>1188</v>
      </c>
      <c r="J842" s="191" t="s">
        <v>829</v>
      </c>
      <c r="K842" s="393">
        <f>500000*10%</f>
        <v>50000</v>
      </c>
      <c r="L842" s="190"/>
      <c r="M842" s="190"/>
    </row>
    <row r="843" spans="1:13" s="141" customFormat="1" ht="22.5" customHeight="1" x14ac:dyDescent="0.2">
      <c r="A843" s="193"/>
      <c r="B843" s="194"/>
      <c r="C843" s="195"/>
      <c r="D843" s="256"/>
      <c r="E843" s="196"/>
      <c r="F843" s="196"/>
      <c r="G843" s="196"/>
      <c r="H843" s="196"/>
      <c r="I843" s="206"/>
      <c r="J843" s="198"/>
      <c r="K843" s="261">
        <f>SUM(K839:K842)</f>
        <v>500000</v>
      </c>
      <c r="L843" s="190"/>
      <c r="M843" s="190"/>
    </row>
    <row r="844" spans="1:13" s="141" customFormat="1" ht="101.25" customHeight="1" x14ac:dyDescent="0.2">
      <c r="A844" s="265">
        <v>193</v>
      </c>
      <c r="B844" s="324" t="s">
        <v>1189</v>
      </c>
      <c r="C844" s="325"/>
      <c r="D844" s="321" t="s">
        <v>107</v>
      </c>
      <c r="E844" s="321"/>
      <c r="F844" s="321"/>
      <c r="G844" s="321"/>
      <c r="H844" s="343"/>
      <c r="I844" s="289" t="s">
        <v>1190</v>
      </c>
      <c r="J844" s="290" t="s">
        <v>829</v>
      </c>
      <c r="K844" s="291">
        <v>10000</v>
      </c>
      <c r="L844" s="319" t="s">
        <v>111</v>
      </c>
      <c r="M844" s="272" t="s">
        <v>1191</v>
      </c>
    </row>
    <row r="845" spans="1:13" s="141" customFormat="1" ht="67.5" customHeight="1" x14ac:dyDescent="0.2">
      <c r="A845" s="265">
        <v>194</v>
      </c>
      <c r="B845" s="324" t="s">
        <v>1192</v>
      </c>
      <c r="C845" s="325"/>
      <c r="D845" s="321" t="s">
        <v>107</v>
      </c>
      <c r="E845" s="321"/>
      <c r="F845" s="321"/>
      <c r="G845" s="321"/>
      <c r="H845" s="321"/>
      <c r="I845" s="289" t="s">
        <v>1193</v>
      </c>
      <c r="J845" s="290" t="s">
        <v>829</v>
      </c>
      <c r="K845" s="291">
        <v>10000</v>
      </c>
      <c r="L845" s="319" t="s">
        <v>111</v>
      </c>
      <c r="M845" s="272" t="s">
        <v>1194</v>
      </c>
    </row>
    <row r="846" spans="1:13" s="141" customFormat="1" ht="68.25" customHeight="1" x14ac:dyDescent="0.2">
      <c r="A846" s="265">
        <v>195</v>
      </c>
      <c r="B846" s="324" t="s">
        <v>1195</v>
      </c>
      <c r="C846" s="325"/>
      <c r="D846" s="321" t="s">
        <v>107</v>
      </c>
      <c r="E846" s="321"/>
      <c r="F846" s="321"/>
      <c r="G846" s="321"/>
      <c r="H846" s="321"/>
      <c r="I846" s="289" t="s">
        <v>1196</v>
      </c>
      <c r="J846" s="290" t="s">
        <v>829</v>
      </c>
      <c r="K846" s="291">
        <v>100000</v>
      </c>
      <c r="L846" s="319" t="s">
        <v>111</v>
      </c>
      <c r="M846" s="272" t="s">
        <v>1197</v>
      </c>
    </row>
    <row r="847" spans="1:13" s="141" customFormat="1" ht="71.25" customHeight="1" x14ac:dyDescent="0.2">
      <c r="A847" s="265">
        <v>196</v>
      </c>
      <c r="B847" s="324" t="s">
        <v>1198</v>
      </c>
      <c r="C847" s="325"/>
      <c r="D847" s="321" t="s">
        <v>107</v>
      </c>
      <c r="E847" s="321"/>
      <c r="F847" s="321"/>
      <c r="G847" s="321"/>
      <c r="H847" s="347"/>
      <c r="I847" s="289" t="s">
        <v>1199</v>
      </c>
      <c r="J847" s="290" t="s">
        <v>829</v>
      </c>
      <c r="K847" s="291">
        <v>25000</v>
      </c>
      <c r="L847" s="319" t="s">
        <v>111</v>
      </c>
      <c r="M847" s="272" t="s">
        <v>1200</v>
      </c>
    </row>
    <row r="848" spans="1:13" s="141" customFormat="1" ht="71.25" customHeight="1" x14ac:dyDescent="0.2">
      <c r="A848" s="265">
        <v>197</v>
      </c>
      <c r="B848" s="266" t="s">
        <v>1201</v>
      </c>
      <c r="C848" s="267"/>
      <c r="D848" s="347" t="s">
        <v>107</v>
      </c>
      <c r="E848" s="347"/>
      <c r="F848" s="347"/>
      <c r="G848" s="347"/>
      <c r="H848" s="347"/>
      <c r="I848" s="289" t="s">
        <v>1199</v>
      </c>
      <c r="J848" s="226" t="s">
        <v>829</v>
      </c>
      <c r="K848" s="399" t="s">
        <v>687</v>
      </c>
      <c r="L848" s="290" t="s">
        <v>111</v>
      </c>
      <c r="M848" s="290" t="s">
        <v>1202</v>
      </c>
    </row>
    <row r="849" spans="1:14" s="141" customFormat="1" ht="71.25" customHeight="1" x14ac:dyDescent="0.2">
      <c r="A849" s="265">
        <v>198</v>
      </c>
      <c r="B849" s="398" t="s">
        <v>1203</v>
      </c>
      <c r="C849" s="398" t="s">
        <v>1203</v>
      </c>
      <c r="D849" s="347" t="s">
        <v>107</v>
      </c>
      <c r="E849" s="347"/>
      <c r="F849" s="347"/>
      <c r="G849" s="347"/>
      <c r="H849" s="347"/>
      <c r="I849" s="289" t="s">
        <v>1196</v>
      </c>
      <c r="J849" s="289" t="s">
        <v>829</v>
      </c>
      <c r="K849" s="291">
        <v>20000</v>
      </c>
      <c r="L849" s="290" t="s">
        <v>111</v>
      </c>
      <c r="M849" s="290" t="s">
        <v>1204</v>
      </c>
    </row>
    <row r="850" spans="1:14" s="141" customFormat="1" ht="96" customHeight="1" x14ac:dyDescent="0.2">
      <c r="A850" s="265">
        <v>199</v>
      </c>
      <c r="B850" s="266" t="s">
        <v>1205</v>
      </c>
      <c r="C850" s="267"/>
      <c r="D850" s="347" t="s">
        <v>25</v>
      </c>
      <c r="E850" s="347"/>
      <c r="F850" s="347"/>
      <c r="G850" s="347" t="s">
        <v>1206</v>
      </c>
      <c r="H850" s="270" t="s">
        <v>361</v>
      </c>
      <c r="I850" s="197" t="s">
        <v>1207</v>
      </c>
      <c r="J850" s="197" t="s">
        <v>829</v>
      </c>
      <c r="K850" s="383">
        <v>150000</v>
      </c>
      <c r="L850" s="290" t="s">
        <v>1206</v>
      </c>
      <c r="M850" s="226" t="s">
        <v>1208</v>
      </c>
    </row>
    <row r="851" spans="1:14" s="141" customFormat="1" ht="22.5" customHeight="1" x14ac:dyDescent="0.2">
      <c r="A851" s="333">
        <v>200</v>
      </c>
      <c r="B851" s="173" t="s">
        <v>1209</v>
      </c>
      <c r="C851" s="174"/>
      <c r="D851" s="175" t="s">
        <v>25</v>
      </c>
      <c r="E851" s="175"/>
      <c r="F851" s="175"/>
      <c r="G851" s="175" t="s">
        <v>1210</v>
      </c>
      <c r="H851" s="175" t="s">
        <v>361</v>
      </c>
      <c r="I851" s="176" t="s">
        <v>998</v>
      </c>
      <c r="J851" s="177" t="s">
        <v>367</v>
      </c>
      <c r="K851" s="383">
        <f>2800050*70%</f>
        <v>1960034.9999999998</v>
      </c>
      <c r="L851" s="180" t="s">
        <v>1210</v>
      </c>
      <c r="M851" s="180" t="s">
        <v>1211</v>
      </c>
      <c r="N851" s="181"/>
    </row>
    <row r="852" spans="1:14" s="141" customFormat="1" x14ac:dyDescent="0.2">
      <c r="A852" s="334"/>
      <c r="B852" s="183"/>
      <c r="C852" s="184"/>
      <c r="D852" s="185"/>
      <c r="E852" s="185"/>
      <c r="F852" s="185"/>
      <c r="G852" s="185"/>
      <c r="H852" s="185"/>
      <c r="I852" s="186" t="s">
        <v>1212</v>
      </c>
      <c r="J852" s="191" t="s">
        <v>367</v>
      </c>
      <c r="K852" s="225">
        <f>2800050*10%</f>
        <v>280005</v>
      </c>
      <c r="L852" s="190"/>
      <c r="M852" s="190"/>
      <c r="N852" s="181"/>
    </row>
    <row r="853" spans="1:14" s="141" customFormat="1" x14ac:dyDescent="0.2">
      <c r="A853" s="334"/>
      <c r="B853" s="183"/>
      <c r="C853" s="184"/>
      <c r="D853" s="185"/>
      <c r="E853" s="185"/>
      <c r="F853" s="185"/>
      <c r="G853" s="185"/>
      <c r="H853" s="185"/>
      <c r="I853" s="186" t="s">
        <v>1213</v>
      </c>
      <c r="J853" s="191" t="s">
        <v>367</v>
      </c>
      <c r="K853" s="225">
        <f t="shared" ref="K853:K854" si="17">2800050*10%</f>
        <v>280005</v>
      </c>
      <c r="L853" s="190"/>
      <c r="M853" s="190"/>
      <c r="N853" s="181"/>
    </row>
    <row r="854" spans="1:14" s="141" customFormat="1" x14ac:dyDescent="0.2">
      <c r="A854" s="334"/>
      <c r="B854" s="183"/>
      <c r="C854" s="184"/>
      <c r="D854" s="185"/>
      <c r="E854" s="185"/>
      <c r="F854" s="185"/>
      <c r="G854" s="185"/>
      <c r="H854" s="185"/>
      <c r="I854" s="186" t="s">
        <v>996</v>
      </c>
      <c r="J854" s="187" t="s">
        <v>367</v>
      </c>
      <c r="K854" s="225">
        <f t="shared" si="17"/>
        <v>280005</v>
      </c>
      <c r="L854" s="190"/>
      <c r="M854" s="190"/>
      <c r="N854" s="181"/>
    </row>
    <row r="855" spans="1:14" s="141" customFormat="1" x14ac:dyDescent="0.2">
      <c r="A855" s="335"/>
      <c r="B855" s="194"/>
      <c r="C855" s="195"/>
      <c r="D855" s="196"/>
      <c r="E855" s="196"/>
      <c r="F855" s="196"/>
      <c r="G855" s="196"/>
      <c r="H855" s="196"/>
      <c r="I855" s="206"/>
      <c r="J855" s="226"/>
      <c r="K855" s="257">
        <f>SUM(K851:K854)</f>
        <v>2800050</v>
      </c>
      <c r="L855" s="201"/>
      <c r="M855" s="201"/>
      <c r="N855" s="181"/>
    </row>
    <row r="856" spans="1:14" s="141" customFormat="1" ht="83.25" customHeight="1" x14ac:dyDescent="0.2">
      <c r="A856" s="242">
        <v>201</v>
      </c>
      <c r="B856" s="266" t="s">
        <v>1214</v>
      </c>
      <c r="C856" s="267" t="s">
        <v>1214</v>
      </c>
      <c r="D856" s="347" t="s">
        <v>107</v>
      </c>
      <c r="E856" s="347"/>
      <c r="F856" s="347"/>
      <c r="G856" s="347"/>
      <c r="H856" s="270"/>
      <c r="I856" s="197" t="s">
        <v>1215</v>
      </c>
      <c r="J856" s="226" t="s">
        <v>224</v>
      </c>
      <c r="K856" s="400">
        <v>10000</v>
      </c>
      <c r="L856" s="401" t="s">
        <v>111</v>
      </c>
      <c r="M856" s="226" t="s">
        <v>1216</v>
      </c>
      <c r="N856" s="181"/>
    </row>
    <row r="857" spans="1:14" s="141" customFormat="1" ht="48.75" customHeight="1" x14ac:dyDescent="0.2">
      <c r="A857" s="242">
        <v>202</v>
      </c>
      <c r="B857" s="266" t="s">
        <v>1217</v>
      </c>
      <c r="C857" s="267" t="s">
        <v>1218</v>
      </c>
      <c r="D857" s="269" t="s">
        <v>107</v>
      </c>
      <c r="E857" s="269"/>
      <c r="F857" s="269"/>
      <c r="G857" s="269"/>
      <c r="H857" s="270"/>
      <c r="I857" s="176" t="s">
        <v>1215</v>
      </c>
      <c r="J857" s="177" t="s">
        <v>224</v>
      </c>
      <c r="K857" s="402">
        <v>20000</v>
      </c>
      <c r="L857" s="319" t="s">
        <v>111</v>
      </c>
      <c r="M857" s="226" t="s">
        <v>1219</v>
      </c>
      <c r="N857" s="181"/>
    </row>
    <row r="858" spans="1:14" s="141" customFormat="1" ht="22.5" customHeight="1" x14ac:dyDescent="0.2">
      <c r="A858" s="172">
        <v>203</v>
      </c>
      <c r="B858" s="173" t="s">
        <v>1220</v>
      </c>
      <c r="C858" s="174"/>
      <c r="D858" s="175" t="s">
        <v>107</v>
      </c>
      <c r="E858" s="175"/>
      <c r="F858" s="175"/>
      <c r="G858" s="175"/>
      <c r="H858" s="258" t="s">
        <v>1011</v>
      </c>
      <c r="I858" s="228" t="s">
        <v>1221</v>
      </c>
      <c r="J858" s="202" t="s">
        <v>209</v>
      </c>
      <c r="K858" s="373">
        <f>K863*50%</f>
        <v>10000</v>
      </c>
      <c r="L858" s="174" t="s">
        <v>111</v>
      </c>
      <c r="M858" s="180" t="s">
        <v>1222</v>
      </c>
    </row>
    <row r="859" spans="1:14" s="141" customFormat="1" ht="22.5" customHeight="1" x14ac:dyDescent="0.2">
      <c r="A859" s="182"/>
      <c r="B859" s="183"/>
      <c r="C859" s="184"/>
      <c r="D859" s="185"/>
      <c r="E859" s="185"/>
      <c r="F859" s="185"/>
      <c r="G859" s="185"/>
      <c r="H859" s="260"/>
      <c r="I859" s="192" t="s">
        <v>1223</v>
      </c>
      <c r="J859" s="187" t="s">
        <v>209</v>
      </c>
      <c r="K859" s="204">
        <f>K863*15%</f>
        <v>3000</v>
      </c>
      <c r="L859" s="184"/>
      <c r="M859" s="190"/>
    </row>
    <row r="860" spans="1:14" s="141" customFormat="1" ht="22.5" customHeight="1" x14ac:dyDescent="0.2">
      <c r="A860" s="182"/>
      <c r="B860" s="183"/>
      <c r="C860" s="184"/>
      <c r="D860" s="185"/>
      <c r="E860" s="185"/>
      <c r="F860" s="185"/>
      <c r="G860" s="185"/>
      <c r="H860" s="260"/>
      <c r="I860" s="192" t="s">
        <v>1224</v>
      </c>
      <c r="J860" s="187" t="s">
        <v>209</v>
      </c>
      <c r="K860" s="204">
        <f>K863*15%</f>
        <v>3000</v>
      </c>
      <c r="L860" s="184"/>
      <c r="M860" s="190"/>
    </row>
    <row r="861" spans="1:14" s="141" customFormat="1" ht="22.5" customHeight="1" x14ac:dyDescent="0.2">
      <c r="A861" s="182"/>
      <c r="B861" s="183"/>
      <c r="C861" s="184"/>
      <c r="D861" s="185"/>
      <c r="E861" s="185"/>
      <c r="F861" s="185"/>
      <c r="G861" s="185"/>
      <c r="H861" s="260"/>
      <c r="I861" s="192" t="s">
        <v>1225</v>
      </c>
      <c r="J861" s="187" t="s">
        <v>209</v>
      </c>
      <c r="K861" s="204">
        <f>K863*10%</f>
        <v>2000</v>
      </c>
      <c r="L861" s="184"/>
      <c r="M861" s="190"/>
    </row>
    <row r="862" spans="1:14" s="141" customFormat="1" ht="22.5" customHeight="1" x14ac:dyDescent="0.2">
      <c r="A862" s="182"/>
      <c r="B862" s="183"/>
      <c r="C862" s="184"/>
      <c r="D862" s="185"/>
      <c r="E862" s="185"/>
      <c r="F862" s="185"/>
      <c r="G862" s="185"/>
      <c r="H862" s="260"/>
      <c r="I862" s="192" t="s">
        <v>1226</v>
      </c>
      <c r="J862" s="187" t="s">
        <v>224</v>
      </c>
      <c r="K862" s="204">
        <f>K863*10%</f>
        <v>2000</v>
      </c>
      <c r="L862" s="184"/>
      <c r="M862" s="190"/>
    </row>
    <row r="863" spans="1:14" s="141" customFormat="1" ht="22.5" customHeight="1" x14ac:dyDescent="0.2">
      <c r="A863" s="193"/>
      <c r="B863" s="194"/>
      <c r="C863" s="195"/>
      <c r="D863" s="196"/>
      <c r="E863" s="196"/>
      <c r="F863" s="196"/>
      <c r="G863" s="196"/>
      <c r="H863" s="262"/>
      <c r="I863" s="206"/>
      <c r="J863" s="198"/>
      <c r="K863" s="374">
        <v>20000</v>
      </c>
      <c r="L863" s="195"/>
      <c r="M863" s="201"/>
    </row>
    <row r="864" spans="1:14" s="141" customFormat="1" ht="48" customHeight="1" x14ac:dyDescent="0.2">
      <c r="A864" s="242">
        <v>204</v>
      </c>
      <c r="B864" s="266" t="s">
        <v>1227</v>
      </c>
      <c r="C864" s="267" t="s">
        <v>1227</v>
      </c>
      <c r="D864" s="269" t="s">
        <v>107</v>
      </c>
      <c r="E864" s="269"/>
      <c r="F864" s="269"/>
      <c r="G864" s="269"/>
      <c r="H864" s="270"/>
      <c r="I864" s="197" t="s">
        <v>1228</v>
      </c>
      <c r="J864" s="226" t="s">
        <v>224</v>
      </c>
      <c r="K864" s="403">
        <v>8000</v>
      </c>
      <c r="L864" s="319" t="s">
        <v>111</v>
      </c>
      <c r="M864" s="226" t="s">
        <v>1229</v>
      </c>
    </row>
    <row r="865" spans="1:13" s="141" customFormat="1" ht="21" customHeight="1" x14ac:dyDescent="0.2">
      <c r="A865" s="172">
        <v>205</v>
      </c>
      <c r="B865" s="173" t="s">
        <v>1230</v>
      </c>
      <c r="C865" s="174"/>
      <c r="D865" s="175" t="s">
        <v>163</v>
      </c>
      <c r="E865" s="175"/>
      <c r="F865" s="175"/>
      <c r="G865" s="175"/>
      <c r="H865" s="175"/>
      <c r="I865" s="228" t="s">
        <v>1231</v>
      </c>
      <c r="J865" s="202" t="s">
        <v>211</v>
      </c>
      <c r="K865" s="219">
        <f>1368800*30%</f>
        <v>410640</v>
      </c>
      <c r="L865" s="180" t="s">
        <v>166</v>
      </c>
      <c r="M865" s="180" t="s">
        <v>1232</v>
      </c>
    </row>
    <row r="866" spans="1:13" s="141" customFormat="1" ht="19.5" customHeight="1" x14ac:dyDescent="0.2">
      <c r="A866" s="182"/>
      <c r="B866" s="183"/>
      <c r="C866" s="184"/>
      <c r="D866" s="185"/>
      <c r="E866" s="185"/>
      <c r="F866" s="185"/>
      <c r="G866" s="185"/>
      <c r="H866" s="185"/>
      <c r="I866" s="192" t="s">
        <v>1233</v>
      </c>
      <c r="J866" s="177" t="s">
        <v>211</v>
      </c>
      <c r="K866" s="225">
        <f>1368800*10%</f>
        <v>136880</v>
      </c>
      <c r="L866" s="190"/>
      <c r="M866" s="190"/>
    </row>
    <row r="867" spans="1:13" s="141" customFormat="1" ht="21.75" customHeight="1" x14ac:dyDescent="0.2">
      <c r="A867" s="182"/>
      <c r="B867" s="183"/>
      <c r="C867" s="184"/>
      <c r="D867" s="185"/>
      <c r="E867" s="185"/>
      <c r="F867" s="185"/>
      <c r="G867" s="185"/>
      <c r="H867" s="185"/>
      <c r="I867" s="192" t="s">
        <v>1234</v>
      </c>
      <c r="J867" s="191" t="s">
        <v>1235</v>
      </c>
      <c r="K867" s="225">
        <f>1368800*15%</f>
        <v>205320</v>
      </c>
      <c r="L867" s="190"/>
      <c r="M867" s="190"/>
    </row>
    <row r="868" spans="1:13" s="141" customFormat="1" ht="20.25" customHeight="1" x14ac:dyDescent="0.2">
      <c r="A868" s="182"/>
      <c r="B868" s="183"/>
      <c r="C868" s="184"/>
      <c r="D868" s="185"/>
      <c r="E868" s="185"/>
      <c r="F868" s="185"/>
      <c r="G868" s="185"/>
      <c r="H868" s="185"/>
      <c r="I868" s="192" t="s">
        <v>1236</v>
      </c>
      <c r="J868" s="191" t="s">
        <v>1237</v>
      </c>
      <c r="K868" s="225">
        <f t="shared" ref="K868:K870" si="18">1368800*15%</f>
        <v>205320</v>
      </c>
      <c r="L868" s="190"/>
      <c r="M868" s="190"/>
    </row>
    <row r="869" spans="1:13" s="141" customFormat="1" ht="21" customHeight="1" x14ac:dyDescent="0.2">
      <c r="A869" s="182"/>
      <c r="B869" s="183"/>
      <c r="C869" s="184"/>
      <c r="D869" s="185"/>
      <c r="E869" s="185"/>
      <c r="F869" s="185"/>
      <c r="G869" s="185"/>
      <c r="H869" s="185"/>
      <c r="I869" s="176" t="s">
        <v>1238</v>
      </c>
      <c r="J869" s="191" t="s">
        <v>1237</v>
      </c>
      <c r="K869" s="225">
        <f t="shared" si="18"/>
        <v>205320</v>
      </c>
      <c r="L869" s="190"/>
      <c r="M869" s="190"/>
    </row>
    <row r="870" spans="1:13" s="141" customFormat="1" ht="20.25" customHeight="1" x14ac:dyDescent="0.2">
      <c r="A870" s="182"/>
      <c r="B870" s="183"/>
      <c r="C870" s="184"/>
      <c r="D870" s="185"/>
      <c r="E870" s="185"/>
      <c r="F870" s="185"/>
      <c r="G870" s="185"/>
      <c r="H870" s="185"/>
      <c r="I870" s="192" t="s">
        <v>1239</v>
      </c>
      <c r="J870" s="191" t="s">
        <v>1237</v>
      </c>
      <c r="K870" s="225">
        <f t="shared" si="18"/>
        <v>205320</v>
      </c>
      <c r="L870" s="190"/>
      <c r="M870" s="190"/>
    </row>
    <row r="871" spans="1:13" s="141" customFormat="1" ht="20.25" customHeight="1" x14ac:dyDescent="0.2">
      <c r="A871" s="193"/>
      <c r="B871" s="194"/>
      <c r="C871" s="195"/>
      <c r="D871" s="196"/>
      <c r="E871" s="196"/>
      <c r="F871" s="196"/>
      <c r="G871" s="196"/>
      <c r="H871" s="196"/>
      <c r="I871" s="197"/>
      <c r="J871" s="198"/>
      <c r="K871" s="239">
        <f>SUM(K865:K870)</f>
        <v>1368800</v>
      </c>
      <c r="L871" s="201"/>
      <c r="M871" s="201"/>
    </row>
    <row r="872" spans="1:13" s="141" customFormat="1" ht="22.5" customHeight="1" x14ac:dyDescent="0.2">
      <c r="A872" s="172">
        <v>206</v>
      </c>
      <c r="B872" s="173" t="s">
        <v>1240</v>
      </c>
      <c r="C872" s="174"/>
      <c r="D872" s="175" t="s">
        <v>163</v>
      </c>
      <c r="E872" s="175"/>
      <c r="F872" s="175"/>
      <c r="G872" s="175"/>
      <c r="H872" s="175"/>
      <c r="I872" s="228" t="s">
        <v>1241</v>
      </c>
      <c r="J872" s="177" t="s">
        <v>211</v>
      </c>
      <c r="K872" s="219">
        <f>1147600*25%</f>
        <v>286900</v>
      </c>
      <c r="L872" s="180" t="s">
        <v>166</v>
      </c>
      <c r="M872" s="180" t="s">
        <v>1242</v>
      </c>
    </row>
    <row r="873" spans="1:13" s="141" customFormat="1" ht="22.5" customHeight="1" x14ac:dyDescent="0.55000000000000004">
      <c r="A873" s="182"/>
      <c r="B873" s="183"/>
      <c r="C873" s="184"/>
      <c r="D873" s="185"/>
      <c r="E873" s="185"/>
      <c r="F873" s="185"/>
      <c r="G873" s="185"/>
      <c r="H873" s="185"/>
      <c r="I873" s="404" t="s">
        <v>1243</v>
      </c>
      <c r="J873" s="191" t="s">
        <v>211</v>
      </c>
      <c r="K873" s="225">
        <f>1147600*5%</f>
        <v>57380</v>
      </c>
      <c r="L873" s="190"/>
      <c r="M873" s="190"/>
    </row>
    <row r="874" spans="1:13" s="141" customFormat="1" ht="22.5" customHeight="1" x14ac:dyDescent="0.2">
      <c r="A874" s="182"/>
      <c r="B874" s="183"/>
      <c r="C874" s="184"/>
      <c r="D874" s="185"/>
      <c r="E874" s="185"/>
      <c r="F874" s="185"/>
      <c r="G874" s="185"/>
      <c r="H874" s="185"/>
      <c r="I874" s="186" t="s">
        <v>1244</v>
      </c>
      <c r="J874" s="187" t="s">
        <v>1235</v>
      </c>
      <c r="K874" s="371">
        <f>1147600*20%</f>
        <v>229520</v>
      </c>
      <c r="L874" s="190"/>
      <c r="M874" s="190"/>
    </row>
    <row r="875" spans="1:13" s="141" customFormat="1" ht="22.5" customHeight="1" x14ac:dyDescent="0.2">
      <c r="A875" s="182"/>
      <c r="B875" s="183"/>
      <c r="C875" s="184"/>
      <c r="D875" s="185"/>
      <c r="E875" s="185"/>
      <c r="F875" s="185"/>
      <c r="G875" s="185"/>
      <c r="H875" s="185"/>
      <c r="I875" s="186" t="s">
        <v>1245</v>
      </c>
      <c r="J875" s="177" t="s">
        <v>1237</v>
      </c>
      <c r="K875" s="261">
        <f>1147600*25%</f>
        <v>286900</v>
      </c>
      <c r="L875" s="190"/>
      <c r="M875" s="190"/>
    </row>
    <row r="876" spans="1:13" s="141" customFormat="1" ht="22.5" customHeight="1" x14ac:dyDescent="0.2">
      <c r="A876" s="182"/>
      <c r="B876" s="183"/>
      <c r="C876" s="184"/>
      <c r="D876" s="185"/>
      <c r="E876" s="185"/>
      <c r="F876" s="185"/>
      <c r="G876" s="185"/>
      <c r="H876" s="185"/>
      <c r="I876" s="186" t="s">
        <v>1246</v>
      </c>
      <c r="J876" s="191" t="s">
        <v>1237</v>
      </c>
      <c r="K876" s="225">
        <f>1147600*25%</f>
        <v>286900</v>
      </c>
      <c r="L876" s="190"/>
      <c r="M876" s="190"/>
    </row>
    <row r="877" spans="1:13" s="141" customFormat="1" ht="20.25" customHeight="1" x14ac:dyDescent="0.2">
      <c r="A877" s="193"/>
      <c r="B877" s="194"/>
      <c r="C877" s="195"/>
      <c r="D877" s="196"/>
      <c r="E877" s="196"/>
      <c r="F877" s="196"/>
      <c r="G877" s="196"/>
      <c r="H877" s="196"/>
      <c r="I877" s="206"/>
      <c r="J877" s="198"/>
      <c r="K877" s="403">
        <f>SUM(K872:K876)</f>
        <v>1147600</v>
      </c>
      <c r="L877" s="201"/>
      <c r="M877" s="201"/>
    </row>
    <row r="878" spans="1:13" s="141" customFormat="1" ht="23.25" customHeight="1" x14ac:dyDescent="0.2">
      <c r="A878" s="172">
        <v>207</v>
      </c>
      <c r="B878" s="173" t="s">
        <v>1247</v>
      </c>
      <c r="C878" s="174"/>
      <c r="D878" s="175" t="s">
        <v>163</v>
      </c>
      <c r="E878" s="175"/>
      <c r="F878" s="175"/>
      <c r="G878" s="175"/>
      <c r="H878" s="175"/>
      <c r="I878" s="228" t="s">
        <v>1248</v>
      </c>
      <c r="J878" s="202" t="s">
        <v>211</v>
      </c>
      <c r="K878" s="402">
        <f>1391800*35%</f>
        <v>487129.99999999994</v>
      </c>
      <c r="L878" s="180" t="s">
        <v>166</v>
      </c>
      <c r="M878" s="180" t="s">
        <v>1249</v>
      </c>
    </row>
    <row r="879" spans="1:13" s="141" customFormat="1" ht="23.25" customHeight="1" x14ac:dyDescent="0.2">
      <c r="A879" s="182"/>
      <c r="B879" s="183"/>
      <c r="C879" s="184"/>
      <c r="D879" s="185"/>
      <c r="E879" s="185"/>
      <c r="F879" s="185"/>
      <c r="G879" s="185"/>
      <c r="H879" s="185"/>
      <c r="I879" s="192" t="s">
        <v>1250</v>
      </c>
      <c r="J879" s="187" t="s">
        <v>211</v>
      </c>
      <c r="K879" s="261">
        <f>1391800*5%</f>
        <v>69590</v>
      </c>
      <c r="L879" s="190"/>
      <c r="M879" s="190"/>
    </row>
    <row r="880" spans="1:13" s="141" customFormat="1" ht="23.25" customHeight="1" x14ac:dyDescent="0.2">
      <c r="A880" s="182"/>
      <c r="B880" s="183"/>
      <c r="C880" s="184"/>
      <c r="D880" s="185"/>
      <c r="E880" s="185"/>
      <c r="F880" s="185"/>
      <c r="G880" s="185"/>
      <c r="H880" s="185"/>
      <c r="I880" s="192" t="s">
        <v>1251</v>
      </c>
      <c r="J880" s="187" t="s">
        <v>1252</v>
      </c>
      <c r="K880" s="261">
        <f>1391800*15%</f>
        <v>208770</v>
      </c>
      <c r="L880" s="190"/>
      <c r="M880" s="190"/>
    </row>
    <row r="881" spans="1:13" s="141" customFormat="1" ht="23.25" customHeight="1" x14ac:dyDescent="0.2">
      <c r="A881" s="182"/>
      <c r="B881" s="183"/>
      <c r="C881" s="184"/>
      <c r="D881" s="185"/>
      <c r="E881" s="185"/>
      <c r="F881" s="185"/>
      <c r="G881" s="185"/>
      <c r="H881" s="185"/>
      <c r="I881" s="176" t="s">
        <v>1253</v>
      </c>
      <c r="J881" s="177" t="s">
        <v>1237</v>
      </c>
      <c r="K881" s="261">
        <f t="shared" ref="K881:K883" si="19">1391800*15%</f>
        <v>208770</v>
      </c>
      <c r="L881" s="190"/>
      <c r="M881" s="190"/>
    </row>
    <row r="882" spans="1:13" s="141" customFormat="1" ht="23.25" customHeight="1" x14ac:dyDescent="0.2">
      <c r="A882" s="182"/>
      <c r="B882" s="183"/>
      <c r="C882" s="184"/>
      <c r="D882" s="185"/>
      <c r="E882" s="185"/>
      <c r="F882" s="185"/>
      <c r="G882" s="185"/>
      <c r="H882" s="185"/>
      <c r="I882" s="186" t="s">
        <v>1254</v>
      </c>
      <c r="J882" s="191" t="s">
        <v>1237</v>
      </c>
      <c r="K882" s="261">
        <f t="shared" si="19"/>
        <v>208770</v>
      </c>
      <c r="L882" s="190"/>
      <c r="M882" s="190"/>
    </row>
    <row r="883" spans="1:13" s="141" customFormat="1" ht="23.25" customHeight="1" x14ac:dyDescent="0.2">
      <c r="A883" s="182"/>
      <c r="B883" s="183"/>
      <c r="C883" s="184"/>
      <c r="D883" s="185"/>
      <c r="E883" s="185"/>
      <c r="F883" s="185"/>
      <c r="G883" s="185"/>
      <c r="H883" s="185"/>
      <c r="I883" s="186" t="s">
        <v>1255</v>
      </c>
      <c r="J883" s="187" t="s">
        <v>1237</v>
      </c>
      <c r="K883" s="261">
        <f t="shared" si="19"/>
        <v>208770</v>
      </c>
      <c r="L883" s="190"/>
      <c r="M883" s="190"/>
    </row>
    <row r="884" spans="1:13" s="141" customFormat="1" ht="23.25" customHeight="1" x14ac:dyDescent="0.2">
      <c r="A884" s="193"/>
      <c r="B884" s="194"/>
      <c r="C884" s="195"/>
      <c r="D884" s="196"/>
      <c r="E884" s="196"/>
      <c r="F884" s="196"/>
      <c r="G884" s="196"/>
      <c r="H884" s="196"/>
      <c r="I884" s="206"/>
      <c r="J884" s="226"/>
      <c r="K884" s="239">
        <f>SUM(K878:K883)</f>
        <v>1391800</v>
      </c>
      <c r="L884" s="201"/>
      <c r="M884" s="201"/>
    </row>
    <row r="885" spans="1:13" s="141" customFormat="1" x14ac:dyDescent="0.2">
      <c r="A885" s="172">
        <v>208</v>
      </c>
      <c r="B885" s="173" t="s">
        <v>1256</v>
      </c>
      <c r="C885" s="174"/>
      <c r="D885" s="175" t="s">
        <v>163</v>
      </c>
      <c r="E885" s="175"/>
      <c r="F885" s="175"/>
      <c r="G885" s="175"/>
      <c r="H885" s="175"/>
      <c r="I885" s="176" t="s">
        <v>1257</v>
      </c>
      <c r="J885" s="177" t="s">
        <v>224</v>
      </c>
      <c r="K885" s="402">
        <f>1018500*25%</f>
        <v>254625</v>
      </c>
      <c r="L885" s="180" t="s">
        <v>166</v>
      </c>
      <c r="M885" s="180" t="s">
        <v>1258</v>
      </c>
    </row>
    <row r="886" spans="1:13" s="141" customFormat="1" x14ac:dyDescent="0.2">
      <c r="A886" s="182"/>
      <c r="B886" s="183"/>
      <c r="C886" s="184"/>
      <c r="D886" s="185"/>
      <c r="E886" s="185"/>
      <c r="F886" s="185"/>
      <c r="G886" s="185"/>
      <c r="H886" s="185"/>
      <c r="I886" s="192" t="s">
        <v>1259</v>
      </c>
      <c r="J886" s="187" t="s">
        <v>224</v>
      </c>
      <c r="K886" s="225">
        <f>1018500*5%</f>
        <v>50925</v>
      </c>
      <c r="L886" s="190"/>
      <c r="M886" s="190"/>
    </row>
    <row r="887" spans="1:13" s="141" customFormat="1" x14ac:dyDescent="0.2">
      <c r="A887" s="182"/>
      <c r="B887" s="183"/>
      <c r="C887" s="184"/>
      <c r="D887" s="185"/>
      <c r="E887" s="185"/>
      <c r="F887" s="185"/>
      <c r="G887" s="185"/>
      <c r="H887" s="185"/>
      <c r="I887" s="192" t="s">
        <v>1260</v>
      </c>
      <c r="J887" s="187" t="s">
        <v>1237</v>
      </c>
      <c r="K887" s="371">
        <f>1018500*20%</f>
        <v>203700</v>
      </c>
      <c r="L887" s="190"/>
      <c r="M887" s="190"/>
    </row>
    <row r="888" spans="1:13" s="141" customFormat="1" x14ac:dyDescent="0.2">
      <c r="A888" s="182"/>
      <c r="B888" s="183"/>
      <c r="C888" s="184"/>
      <c r="D888" s="185"/>
      <c r="E888" s="185"/>
      <c r="F888" s="185"/>
      <c r="G888" s="185"/>
      <c r="H888" s="185"/>
      <c r="I888" s="192" t="s">
        <v>1261</v>
      </c>
      <c r="J888" s="177" t="s">
        <v>1237</v>
      </c>
      <c r="K888" s="225">
        <f>1018500*25%</f>
        <v>254625</v>
      </c>
      <c r="L888" s="190"/>
      <c r="M888" s="190"/>
    </row>
    <row r="889" spans="1:13" s="141" customFormat="1" x14ac:dyDescent="0.2">
      <c r="A889" s="182"/>
      <c r="B889" s="183"/>
      <c r="C889" s="184"/>
      <c r="D889" s="185"/>
      <c r="E889" s="185"/>
      <c r="F889" s="185"/>
      <c r="G889" s="185"/>
      <c r="H889" s="185"/>
      <c r="I889" s="192" t="s">
        <v>1262</v>
      </c>
      <c r="J889" s="187" t="s">
        <v>1237</v>
      </c>
      <c r="K889" s="225">
        <f>1018500*25%</f>
        <v>254625</v>
      </c>
      <c r="L889" s="190"/>
      <c r="M889" s="190"/>
    </row>
    <row r="890" spans="1:13" s="141" customFormat="1" x14ac:dyDescent="0.2">
      <c r="A890" s="193"/>
      <c r="B890" s="194"/>
      <c r="C890" s="195"/>
      <c r="D890" s="196"/>
      <c r="E890" s="196"/>
      <c r="F890" s="196"/>
      <c r="G890" s="196"/>
      <c r="H890" s="196"/>
      <c r="I890" s="176"/>
      <c r="J890" s="226"/>
      <c r="K890" s="371">
        <f>SUM(K885:K889)</f>
        <v>1018500</v>
      </c>
      <c r="L890" s="201"/>
      <c r="M890" s="201"/>
    </row>
    <row r="891" spans="1:13" s="141" customFormat="1" x14ac:dyDescent="0.2">
      <c r="A891" s="172">
        <v>209</v>
      </c>
      <c r="B891" s="173" t="s">
        <v>1263</v>
      </c>
      <c r="C891" s="174"/>
      <c r="D891" s="175" t="s">
        <v>163</v>
      </c>
      <c r="E891" s="175"/>
      <c r="F891" s="175"/>
      <c r="G891" s="175"/>
      <c r="H891" s="175"/>
      <c r="I891" s="228" t="s">
        <v>1264</v>
      </c>
      <c r="J891" s="177" t="s">
        <v>211</v>
      </c>
      <c r="K891" s="219">
        <f>32300*95%</f>
        <v>30685</v>
      </c>
      <c r="L891" s="180" t="s">
        <v>166</v>
      </c>
      <c r="M891" s="180" t="s">
        <v>1265</v>
      </c>
    </row>
    <row r="892" spans="1:13" s="141" customFormat="1" x14ac:dyDescent="0.2">
      <c r="A892" s="182"/>
      <c r="B892" s="183"/>
      <c r="C892" s="184"/>
      <c r="D892" s="185"/>
      <c r="E892" s="185"/>
      <c r="F892" s="185"/>
      <c r="G892" s="185"/>
      <c r="H892" s="185"/>
      <c r="I892" s="176" t="s">
        <v>1266</v>
      </c>
      <c r="J892" s="191" t="s">
        <v>365</v>
      </c>
      <c r="K892" s="371">
        <f>32300*5%</f>
        <v>1615</v>
      </c>
      <c r="L892" s="190"/>
      <c r="M892" s="190"/>
    </row>
    <row r="893" spans="1:13" s="141" customFormat="1" x14ac:dyDescent="0.2">
      <c r="A893" s="193"/>
      <c r="B893" s="194"/>
      <c r="C893" s="195"/>
      <c r="D893" s="196"/>
      <c r="E893" s="196"/>
      <c r="F893" s="196"/>
      <c r="G893" s="196"/>
      <c r="H893" s="196"/>
      <c r="I893" s="206"/>
      <c r="J893" s="198"/>
      <c r="K893" s="239">
        <f>SUM(K891:K892)</f>
        <v>32300</v>
      </c>
      <c r="L893" s="201"/>
      <c r="M893" s="201"/>
    </row>
    <row r="894" spans="1:13" s="141" customFormat="1" ht="22.5" customHeight="1" x14ac:dyDescent="0.2">
      <c r="A894" s="172">
        <v>210</v>
      </c>
      <c r="B894" s="173" t="s">
        <v>1267</v>
      </c>
      <c r="C894" s="174"/>
      <c r="D894" s="175" t="s">
        <v>163</v>
      </c>
      <c r="E894" s="175"/>
      <c r="F894" s="175"/>
      <c r="G894" s="175"/>
      <c r="H894" s="175"/>
      <c r="I894" s="228" t="s">
        <v>1264</v>
      </c>
      <c r="J894" s="177" t="s">
        <v>211</v>
      </c>
      <c r="K894" s="402">
        <f>300000*95%</f>
        <v>285000</v>
      </c>
      <c r="L894" s="180" t="s">
        <v>166</v>
      </c>
      <c r="M894" s="180" t="s">
        <v>1268</v>
      </c>
    </row>
    <row r="895" spans="1:13" s="141" customFormat="1" ht="22.5" customHeight="1" x14ac:dyDescent="0.2">
      <c r="A895" s="182"/>
      <c r="B895" s="183"/>
      <c r="C895" s="184"/>
      <c r="D895" s="185"/>
      <c r="E895" s="185"/>
      <c r="F895" s="185"/>
      <c r="G895" s="185"/>
      <c r="H895" s="185"/>
      <c r="I895" s="192" t="s">
        <v>1266</v>
      </c>
      <c r="J895" s="191" t="s">
        <v>365</v>
      </c>
      <c r="K895" s="261">
        <f>300000*5%</f>
        <v>15000</v>
      </c>
      <c r="L895" s="190"/>
      <c r="M895" s="190"/>
    </row>
    <row r="896" spans="1:13" s="141" customFormat="1" x14ac:dyDescent="0.2">
      <c r="A896" s="193"/>
      <c r="B896" s="194"/>
      <c r="C896" s="195"/>
      <c r="D896" s="196"/>
      <c r="E896" s="196"/>
      <c r="F896" s="196"/>
      <c r="G896" s="196"/>
      <c r="H896" s="196"/>
      <c r="I896" s="405"/>
      <c r="J896" s="198"/>
      <c r="K896" s="239">
        <f>SUM(K894:K895)</f>
        <v>300000</v>
      </c>
      <c r="L896" s="201"/>
      <c r="M896" s="201"/>
    </row>
    <row r="897" spans="1:13" s="141" customFormat="1" ht="48" customHeight="1" x14ac:dyDescent="0.2">
      <c r="A897" s="242">
        <v>211</v>
      </c>
      <c r="B897" s="266" t="s">
        <v>1269</v>
      </c>
      <c r="C897" s="267" t="s">
        <v>1269</v>
      </c>
      <c r="D897" s="269" t="s">
        <v>163</v>
      </c>
      <c r="E897" s="269"/>
      <c r="F897" s="269"/>
      <c r="G897" s="269"/>
      <c r="H897" s="270"/>
      <c r="I897" s="176" t="s">
        <v>1270</v>
      </c>
      <c r="J897" s="177" t="s">
        <v>224</v>
      </c>
      <c r="K897" s="402">
        <v>43100</v>
      </c>
      <c r="L897" s="406" t="s">
        <v>166</v>
      </c>
      <c r="M897" s="226" t="s">
        <v>1271</v>
      </c>
    </row>
    <row r="898" spans="1:13" s="141" customFormat="1" ht="21" customHeight="1" x14ac:dyDescent="0.2">
      <c r="A898" s="172">
        <v>212</v>
      </c>
      <c r="B898" s="173" t="s">
        <v>1272</v>
      </c>
      <c r="C898" s="174"/>
      <c r="D898" s="175" t="s">
        <v>163</v>
      </c>
      <c r="E898" s="175"/>
      <c r="F898" s="175"/>
      <c r="G898" s="175"/>
      <c r="H898" s="258" t="s">
        <v>137</v>
      </c>
      <c r="I898" s="228" t="s">
        <v>1273</v>
      </c>
      <c r="J898" s="202" t="s">
        <v>209</v>
      </c>
      <c r="K898" s="373">
        <f>K901*60%</f>
        <v>116370</v>
      </c>
      <c r="L898" s="174" t="s">
        <v>166</v>
      </c>
      <c r="M898" s="180" t="s">
        <v>1274</v>
      </c>
    </row>
    <row r="899" spans="1:13" s="141" customFormat="1" ht="21" customHeight="1" x14ac:dyDescent="0.2">
      <c r="A899" s="182"/>
      <c r="B899" s="183"/>
      <c r="C899" s="184"/>
      <c r="D899" s="185"/>
      <c r="E899" s="185"/>
      <c r="F899" s="185"/>
      <c r="G899" s="185"/>
      <c r="H899" s="260"/>
      <c r="I899" s="192" t="s">
        <v>1275</v>
      </c>
      <c r="J899" s="187" t="s">
        <v>209</v>
      </c>
      <c r="K899" s="204">
        <f>K901*20%</f>
        <v>38790</v>
      </c>
      <c r="L899" s="184"/>
      <c r="M899" s="190"/>
    </row>
    <row r="900" spans="1:13" s="141" customFormat="1" ht="21" customHeight="1" x14ac:dyDescent="0.2">
      <c r="A900" s="182"/>
      <c r="B900" s="183"/>
      <c r="C900" s="184"/>
      <c r="D900" s="185"/>
      <c r="E900" s="185"/>
      <c r="F900" s="185"/>
      <c r="G900" s="185"/>
      <c r="H900" s="260"/>
      <c r="I900" s="192" t="s">
        <v>1276</v>
      </c>
      <c r="J900" s="187" t="s">
        <v>224</v>
      </c>
      <c r="K900" s="204">
        <f>K901*20%</f>
        <v>38790</v>
      </c>
      <c r="L900" s="184"/>
      <c r="M900" s="190"/>
    </row>
    <row r="901" spans="1:13" s="141" customFormat="1" ht="21" customHeight="1" x14ac:dyDescent="0.2">
      <c r="A901" s="193"/>
      <c r="B901" s="194"/>
      <c r="C901" s="195"/>
      <c r="D901" s="196"/>
      <c r="E901" s="196"/>
      <c r="F901" s="196"/>
      <c r="G901" s="196"/>
      <c r="H901" s="262"/>
      <c r="I901" s="206"/>
      <c r="J901" s="198"/>
      <c r="K901" s="374">
        <v>193950</v>
      </c>
      <c r="L901" s="195"/>
      <c r="M901" s="201"/>
    </row>
    <row r="902" spans="1:13" s="141" customFormat="1" ht="22.5" customHeight="1" x14ac:dyDescent="0.2">
      <c r="A902" s="172">
        <v>213</v>
      </c>
      <c r="B902" s="173" t="s">
        <v>1277</v>
      </c>
      <c r="C902" s="174"/>
      <c r="D902" s="175" t="s">
        <v>163</v>
      </c>
      <c r="E902" s="175"/>
      <c r="F902" s="175"/>
      <c r="G902" s="175"/>
      <c r="H902" s="258" t="s">
        <v>164</v>
      </c>
      <c r="I902" s="228" t="s">
        <v>1278</v>
      </c>
      <c r="J902" s="202" t="s">
        <v>209</v>
      </c>
      <c r="K902" s="373">
        <f>K904*80%</f>
        <v>147840</v>
      </c>
      <c r="L902" s="174" t="s">
        <v>166</v>
      </c>
      <c r="M902" s="180" t="s">
        <v>1279</v>
      </c>
    </row>
    <row r="903" spans="1:13" s="141" customFormat="1" x14ac:dyDescent="0.2">
      <c r="A903" s="182"/>
      <c r="B903" s="183"/>
      <c r="C903" s="184"/>
      <c r="D903" s="185"/>
      <c r="E903" s="185"/>
      <c r="F903" s="185"/>
      <c r="G903" s="185"/>
      <c r="H903" s="260"/>
      <c r="I903" s="192" t="s">
        <v>1280</v>
      </c>
      <c r="J903" s="187" t="s">
        <v>829</v>
      </c>
      <c r="K903" s="204">
        <f>K904*20%</f>
        <v>36960</v>
      </c>
      <c r="L903" s="184"/>
      <c r="M903" s="190"/>
    </row>
    <row r="904" spans="1:13" s="141" customFormat="1" x14ac:dyDescent="0.2">
      <c r="A904" s="193"/>
      <c r="B904" s="194"/>
      <c r="C904" s="195"/>
      <c r="D904" s="196"/>
      <c r="E904" s="196"/>
      <c r="F904" s="196"/>
      <c r="G904" s="196"/>
      <c r="H904" s="262"/>
      <c r="I904" s="206"/>
      <c r="J904" s="198"/>
      <c r="K904" s="374">
        <v>184800</v>
      </c>
      <c r="L904" s="195"/>
      <c r="M904" s="201"/>
    </row>
    <row r="905" spans="1:13" s="141" customFormat="1" x14ac:dyDescent="0.2">
      <c r="A905" s="172">
        <v>214</v>
      </c>
      <c r="B905" s="173" t="s">
        <v>1281</v>
      </c>
      <c r="C905" s="174"/>
      <c r="D905" s="175" t="s">
        <v>163</v>
      </c>
      <c r="E905" s="175"/>
      <c r="F905" s="175"/>
      <c r="G905" s="175"/>
      <c r="H905" s="258" t="s">
        <v>137</v>
      </c>
      <c r="I905" s="228" t="s">
        <v>1282</v>
      </c>
      <c r="J905" s="202" t="s">
        <v>224</v>
      </c>
      <c r="K905" s="373">
        <f>K908*40%</f>
        <v>160000</v>
      </c>
      <c r="L905" s="174" t="s">
        <v>166</v>
      </c>
      <c r="M905" s="180" t="s">
        <v>1283</v>
      </c>
    </row>
    <row r="906" spans="1:13" s="141" customFormat="1" x14ac:dyDescent="0.2">
      <c r="A906" s="182"/>
      <c r="B906" s="183"/>
      <c r="C906" s="184"/>
      <c r="D906" s="185"/>
      <c r="E906" s="185"/>
      <c r="F906" s="185"/>
      <c r="G906" s="185"/>
      <c r="H906" s="260"/>
      <c r="I906" s="192" t="s">
        <v>1284</v>
      </c>
      <c r="J906" s="187" t="s">
        <v>224</v>
      </c>
      <c r="K906" s="204">
        <f>K908*30%</f>
        <v>120000</v>
      </c>
      <c r="L906" s="184"/>
      <c r="M906" s="190"/>
    </row>
    <row r="907" spans="1:13" s="141" customFormat="1" x14ac:dyDescent="0.2">
      <c r="A907" s="182"/>
      <c r="B907" s="183"/>
      <c r="C907" s="184"/>
      <c r="D907" s="185"/>
      <c r="E907" s="185"/>
      <c r="F907" s="185"/>
      <c r="G907" s="185"/>
      <c r="H907" s="260"/>
      <c r="I907" s="192" t="s">
        <v>1285</v>
      </c>
      <c r="J907" s="187" t="s">
        <v>224</v>
      </c>
      <c r="K907" s="204">
        <f>K908*30%</f>
        <v>120000</v>
      </c>
      <c r="L907" s="184"/>
      <c r="M907" s="190"/>
    </row>
    <row r="908" spans="1:13" s="141" customFormat="1" x14ac:dyDescent="0.2">
      <c r="A908" s="193"/>
      <c r="B908" s="194"/>
      <c r="C908" s="195"/>
      <c r="D908" s="196"/>
      <c r="E908" s="196"/>
      <c r="F908" s="196"/>
      <c r="G908" s="196"/>
      <c r="H908" s="262"/>
      <c r="I908" s="206"/>
      <c r="J908" s="198"/>
      <c r="K908" s="374">
        <v>400000</v>
      </c>
      <c r="L908" s="195"/>
      <c r="M908" s="201"/>
    </row>
    <row r="909" spans="1:13" s="141" customFormat="1" x14ac:dyDescent="0.2">
      <c r="A909" s="172">
        <v>215</v>
      </c>
      <c r="B909" s="173" t="s">
        <v>1286</v>
      </c>
      <c r="C909" s="174"/>
      <c r="D909" s="175" t="s">
        <v>163</v>
      </c>
      <c r="E909" s="175"/>
      <c r="F909" s="175"/>
      <c r="G909" s="175"/>
      <c r="H909" s="258" t="s">
        <v>137</v>
      </c>
      <c r="I909" s="228" t="s">
        <v>1287</v>
      </c>
      <c r="J909" s="202" t="s">
        <v>224</v>
      </c>
      <c r="K909" s="373">
        <f>K912*40%</f>
        <v>160000</v>
      </c>
      <c r="L909" s="174" t="s">
        <v>166</v>
      </c>
      <c r="M909" s="180" t="s">
        <v>1288</v>
      </c>
    </row>
    <row r="910" spans="1:13" s="141" customFormat="1" x14ac:dyDescent="0.2">
      <c r="A910" s="182"/>
      <c r="B910" s="183"/>
      <c r="C910" s="184"/>
      <c r="D910" s="185"/>
      <c r="E910" s="185"/>
      <c r="F910" s="185"/>
      <c r="G910" s="185"/>
      <c r="H910" s="260"/>
      <c r="I910" s="192" t="s">
        <v>1289</v>
      </c>
      <c r="J910" s="187" t="s">
        <v>224</v>
      </c>
      <c r="K910" s="204">
        <f>K912*30%</f>
        <v>120000</v>
      </c>
      <c r="L910" s="184"/>
      <c r="M910" s="190"/>
    </row>
    <row r="911" spans="1:13" s="141" customFormat="1" x14ac:dyDescent="0.2">
      <c r="A911" s="182"/>
      <c r="B911" s="183"/>
      <c r="C911" s="184"/>
      <c r="D911" s="185"/>
      <c r="E911" s="185"/>
      <c r="F911" s="185"/>
      <c r="G911" s="185"/>
      <c r="H911" s="260"/>
      <c r="I911" s="192" t="s">
        <v>1290</v>
      </c>
      <c r="J911" s="187" t="s">
        <v>224</v>
      </c>
      <c r="K911" s="204">
        <f>K912*30%</f>
        <v>120000</v>
      </c>
      <c r="L911" s="184"/>
      <c r="M911" s="190"/>
    </row>
    <row r="912" spans="1:13" s="141" customFormat="1" x14ac:dyDescent="0.2">
      <c r="A912" s="193"/>
      <c r="B912" s="194"/>
      <c r="C912" s="195"/>
      <c r="D912" s="196"/>
      <c r="E912" s="196"/>
      <c r="F912" s="196"/>
      <c r="G912" s="196"/>
      <c r="H912" s="262"/>
      <c r="I912" s="206"/>
      <c r="J912" s="198"/>
      <c r="K912" s="374">
        <v>400000</v>
      </c>
      <c r="L912" s="195"/>
      <c r="M912" s="201"/>
    </row>
    <row r="913" spans="1:13" s="141" customFormat="1" ht="48" x14ac:dyDescent="0.2">
      <c r="A913" s="242">
        <v>216</v>
      </c>
      <c r="B913" s="266" t="s">
        <v>1291</v>
      </c>
      <c r="C913" s="267" t="s">
        <v>1291</v>
      </c>
      <c r="D913" s="269" t="s">
        <v>163</v>
      </c>
      <c r="E913" s="269"/>
      <c r="F913" s="269"/>
      <c r="G913" s="269"/>
      <c r="H913" s="270"/>
      <c r="I913" s="289" t="s">
        <v>1292</v>
      </c>
      <c r="J913" s="290" t="s">
        <v>224</v>
      </c>
      <c r="K913" s="407">
        <v>400000</v>
      </c>
      <c r="L913" s="406" t="s">
        <v>166</v>
      </c>
      <c r="M913" s="226" t="s">
        <v>1293</v>
      </c>
    </row>
    <row r="914" spans="1:13" s="141" customFormat="1" ht="62.25" customHeight="1" x14ac:dyDescent="0.2">
      <c r="A914" s="242">
        <v>217</v>
      </c>
      <c r="B914" s="266" t="s">
        <v>1294</v>
      </c>
      <c r="C914" s="267" t="s">
        <v>1294</v>
      </c>
      <c r="D914" s="269" t="s">
        <v>163</v>
      </c>
      <c r="E914" s="269"/>
      <c r="F914" s="269"/>
      <c r="G914" s="269"/>
      <c r="H914" s="270"/>
      <c r="I914" s="197" t="s">
        <v>1295</v>
      </c>
      <c r="J914" s="226" t="s">
        <v>224</v>
      </c>
      <c r="K914" s="403">
        <v>400000</v>
      </c>
      <c r="L914" s="406" t="s">
        <v>166</v>
      </c>
      <c r="M914" s="226" t="s">
        <v>1296</v>
      </c>
    </row>
    <row r="915" spans="1:13" s="141" customFormat="1" ht="53.25" customHeight="1" x14ac:dyDescent="0.2">
      <c r="A915" s="242">
        <v>218</v>
      </c>
      <c r="B915" s="266" t="s">
        <v>1297</v>
      </c>
      <c r="C915" s="267" t="s">
        <v>1297</v>
      </c>
      <c r="D915" s="269" t="s">
        <v>163</v>
      </c>
      <c r="E915" s="269"/>
      <c r="F915" s="269"/>
      <c r="G915" s="269"/>
      <c r="H915" s="270"/>
      <c r="I915" s="197" t="s">
        <v>1298</v>
      </c>
      <c r="J915" s="226" t="s">
        <v>224</v>
      </c>
      <c r="K915" s="408">
        <v>400000</v>
      </c>
      <c r="L915" s="406" t="s">
        <v>166</v>
      </c>
      <c r="M915" s="226" t="s">
        <v>1299</v>
      </c>
    </row>
    <row r="916" spans="1:13" s="141" customFormat="1" ht="85.5" customHeight="1" x14ac:dyDescent="0.2">
      <c r="A916" s="242">
        <v>219</v>
      </c>
      <c r="B916" s="266" t="s">
        <v>1300</v>
      </c>
      <c r="C916" s="267" t="s">
        <v>1300</v>
      </c>
      <c r="D916" s="269" t="s">
        <v>163</v>
      </c>
      <c r="E916" s="269"/>
      <c r="F916" s="269"/>
      <c r="G916" s="269"/>
      <c r="H916" s="270"/>
      <c r="I916" s="197" t="s">
        <v>1295</v>
      </c>
      <c r="J916" s="226" t="s">
        <v>224</v>
      </c>
      <c r="K916" s="408">
        <v>71000</v>
      </c>
      <c r="L916" s="406" t="s">
        <v>166</v>
      </c>
      <c r="M916" s="226" t="s">
        <v>1301</v>
      </c>
    </row>
    <row r="917" spans="1:13" s="141" customFormat="1" ht="53.25" customHeight="1" x14ac:dyDescent="0.2">
      <c r="A917" s="242">
        <v>220</v>
      </c>
      <c r="B917" s="266" t="s">
        <v>1302</v>
      </c>
      <c r="C917" s="267" t="s">
        <v>1302</v>
      </c>
      <c r="D917" s="269" t="s">
        <v>163</v>
      </c>
      <c r="E917" s="269"/>
      <c r="F917" s="269"/>
      <c r="G917" s="269"/>
      <c r="H917" s="270"/>
      <c r="I917" s="197" t="s">
        <v>1298</v>
      </c>
      <c r="J917" s="226" t="s">
        <v>224</v>
      </c>
      <c r="K917" s="408">
        <v>300000</v>
      </c>
      <c r="L917" s="406" t="s">
        <v>166</v>
      </c>
      <c r="M917" s="226" t="s">
        <v>1303</v>
      </c>
    </row>
    <row r="918" spans="1:13" s="141" customFormat="1" ht="53.25" customHeight="1" x14ac:dyDescent="0.2">
      <c r="A918" s="242">
        <v>221</v>
      </c>
      <c r="B918" s="266" t="s">
        <v>1304</v>
      </c>
      <c r="C918" s="267" t="s">
        <v>1304</v>
      </c>
      <c r="D918" s="269" t="s">
        <v>163</v>
      </c>
      <c r="E918" s="269"/>
      <c r="F918" s="269"/>
      <c r="G918" s="269"/>
      <c r="H918" s="270"/>
      <c r="I918" s="197" t="s">
        <v>1305</v>
      </c>
      <c r="J918" s="226" t="s">
        <v>224</v>
      </c>
      <c r="K918" s="408">
        <v>300000</v>
      </c>
      <c r="L918" s="406" t="s">
        <v>166</v>
      </c>
      <c r="M918" s="226" t="s">
        <v>1306</v>
      </c>
    </row>
    <row r="919" spans="1:13" s="141" customFormat="1" ht="87.75" customHeight="1" x14ac:dyDescent="0.2">
      <c r="A919" s="242">
        <v>222</v>
      </c>
      <c r="B919" s="266" t="s">
        <v>1307</v>
      </c>
      <c r="C919" s="267" t="s">
        <v>1308</v>
      </c>
      <c r="D919" s="269" t="s">
        <v>163</v>
      </c>
      <c r="E919" s="269"/>
      <c r="F919" s="269"/>
      <c r="G919" s="269"/>
      <c r="H919" s="270"/>
      <c r="I919" s="176" t="s">
        <v>1309</v>
      </c>
      <c r="J919" s="177" t="s">
        <v>224</v>
      </c>
      <c r="K919" s="402">
        <v>300000</v>
      </c>
      <c r="L919" s="406" t="s">
        <v>166</v>
      </c>
      <c r="M919" s="226" t="s">
        <v>1310</v>
      </c>
    </row>
    <row r="920" spans="1:13" s="141" customFormat="1" x14ac:dyDescent="0.2">
      <c r="A920" s="263">
        <v>223</v>
      </c>
      <c r="B920" s="173" t="s">
        <v>1311</v>
      </c>
      <c r="C920" s="174"/>
      <c r="D920" s="175" t="s">
        <v>25</v>
      </c>
      <c r="E920" s="175"/>
      <c r="F920" s="175" t="s">
        <v>1312</v>
      </c>
      <c r="G920" s="175" t="s">
        <v>1313</v>
      </c>
      <c r="H920" s="175" t="s">
        <v>1172</v>
      </c>
      <c r="I920" s="409" t="s">
        <v>1314</v>
      </c>
      <c r="J920" s="410" t="s">
        <v>211</v>
      </c>
      <c r="K920" s="383">
        <f>50000*25%</f>
        <v>12500</v>
      </c>
      <c r="L920" s="180" t="s">
        <v>1313</v>
      </c>
      <c r="M920" s="180" t="s">
        <v>1315</v>
      </c>
    </row>
    <row r="921" spans="1:13" s="141" customFormat="1" x14ac:dyDescent="0.2">
      <c r="A921" s="255"/>
      <c r="B921" s="183"/>
      <c r="C921" s="184"/>
      <c r="D921" s="185"/>
      <c r="E921" s="185"/>
      <c r="F921" s="185"/>
      <c r="G921" s="185"/>
      <c r="H921" s="185"/>
      <c r="I921" s="411" t="s">
        <v>1316</v>
      </c>
      <c r="J921" s="412" t="s">
        <v>211</v>
      </c>
      <c r="K921" s="225">
        <f>50000*25%</f>
        <v>12500</v>
      </c>
      <c r="L921" s="190"/>
      <c r="M921" s="190"/>
    </row>
    <row r="922" spans="1:13" s="141" customFormat="1" x14ac:dyDescent="0.2">
      <c r="A922" s="255"/>
      <c r="B922" s="183"/>
      <c r="C922" s="184"/>
      <c r="D922" s="185"/>
      <c r="E922" s="185"/>
      <c r="F922" s="185"/>
      <c r="G922" s="185"/>
      <c r="H922" s="185"/>
      <c r="I922" s="413" t="s">
        <v>1317</v>
      </c>
      <c r="J922" s="412" t="s">
        <v>196</v>
      </c>
      <c r="K922" s="393">
        <f>50000*25%</f>
        <v>12500</v>
      </c>
      <c r="L922" s="190"/>
      <c r="M922" s="190"/>
    </row>
    <row r="923" spans="1:13" s="141" customFormat="1" x14ac:dyDescent="0.2">
      <c r="A923" s="255"/>
      <c r="B923" s="183"/>
      <c r="C923" s="184"/>
      <c r="D923" s="185"/>
      <c r="E923" s="185"/>
      <c r="F923" s="185"/>
      <c r="G923" s="185"/>
      <c r="H923" s="185"/>
      <c r="I923" s="364" t="s">
        <v>1318</v>
      </c>
      <c r="J923" s="364" t="s">
        <v>1235</v>
      </c>
      <c r="K923" s="225">
        <f>50000*25%</f>
        <v>12500</v>
      </c>
      <c r="L923" s="190"/>
      <c r="M923" s="190"/>
    </row>
    <row r="924" spans="1:13" s="141" customFormat="1" x14ac:dyDescent="0.2">
      <c r="A924" s="256"/>
      <c r="B924" s="194"/>
      <c r="C924" s="195"/>
      <c r="D924" s="196"/>
      <c r="E924" s="196"/>
      <c r="F924" s="196"/>
      <c r="G924" s="196"/>
      <c r="H924" s="196"/>
      <c r="I924" s="414"/>
      <c r="J924" s="357"/>
      <c r="K924" s="257">
        <f>SUM(K920:K923)</f>
        <v>50000</v>
      </c>
      <c r="L924" s="201"/>
      <c r="M924" s="201"/>
    </row>
    <row r="925" spans="1:13" s="141" customFormat="1" ht="43.5" customHeight="1" x14ac:dyDescent="0.2">
      <c r="A925" s="317">
        <v>224</v>
      </c>
      <c r="B925" s="266" t="s">
        <v>1319</v>
      </c>
      <c r="C925" s="267" t="s">
        <v>1319</v>
      </c>
      <c r="D925" s="268" t="s">
        <v>107</v>
      </c>
      <c r="E925" s="269"/>
      <c r="F925" s="269"/>
      <c r="G925" s="269"/>
      <c r="H925" s="270"/>
      <c r="I925" s="289" t="s">
        <v>1320</v>
      </c>
      <c r="J925" s="326" t="s">
        <v>224</v>
      </c>
      <c r="K925" s="291">
        <v>20000</v>
      </c>
      <c r="L925" s="319" t="s">
        <v>111</v>
      </c>
      <c r="M925" s="226" t="s">
        <v>1321</v>
      </c>
    </row>
    <row r="926" spans="1:13" s="141" customFormat="1" ht="67.5" customHeight="1" x14ac:dyDescent="0.2">
      <c r="A926" s="415">
        <v>225</v>
      </c>
      <c r="B926" s="266" t="s">
        <v>1322</v>
      </c>
      <c r="C926" s="267" t="s">
        <v>1322</v>
      </c>
      <c r="D926" s="268" t="s">
        <v>107</v>
      </c>
      <c r="E926" s="269"/>
      <c r="F926" s="269"/>
      <c r="G926" s="269"/>
      <c r="H926" s="270"/>
      <c r="I926" s="176" t="s">
        <v>1323</v>
      </c>
      <c r="J926" s="147" t="s">
        <v>224</v>
      </c>
      <c r="K926" s="393">
        <v>10000</v>
      </c>
      <c r="L926" s="319" t="s">
        <v>111</v>
      </c>
      <c r="M926" s="226" t="s">
        <v>1324</v>
      </c>
    </row>
    <row r="927" spans="1:13" s="141" customFormat="1" x14ac:dyDescent="0.2">
      <c r="A927" s="263">
        <v>226</v>
      </c>
      <c r="B927" s="173" t="s">
        <v>1325</v>
      </c>
      <c r="C927" s="174"/>
      <c r="D927" s="263" t="s">
        <v>107</v>
      </c>
      <c r="E927" s="175"/>
      <c r="F927" s="175"/>
      <c r="G927" s="175"/>
      <c r="H927" s="175"/>
      <c r="I927" s="322" t="s">
        <v>1326</v>
      </c>
      <c r="J927" s="397" t="s">
        <v>224</v>
      </c>
      <c r="K927" s="383">
        <f>10000*85%</f>
        <v>8500</v>
      </c>
      <c r="L927" s="180" t="s">
        <v>111</v>
      </c>
      <c r="M927" s="180" t="s">
        <v>1327</v>
      </c>
    </row>
    <row r="928" spans="1:13" s="141" customFormat="1" x14ac:dyDescent="0.2">
      <c r="A928" s="255"/>
      <c r="B928" s="183"/>
      <c r="C928" s="184"/>
      <c r="D928" s="255"/>
      <c r="E928" s="185"/>
      <c r="F928" s="185"/>
      <c r="G928" s="185"/>
      <c r="H928" s="185"/>
      <c r="I928" s="186" t="s">
        <v>1328</v>
      </c>
      <c r="J928" s="187" t="s">
        <v>224</v>
      </c>
      <c r="K928" s="261">
        <f>10000*5%</f>
        <v>500</v>
      </c>
      <c r="L928" s="190"/>
      <c r="M928" s="190"/>
    </row>
    <row r="929" spans="1:13" s="141" customFormat="1" x14ac:dyDescent="0.2">
      <c r="A929" s="255"/>
      <c r="B929" s="183"/>
      <c r="C929" s="184"/>
      <c r="D929" s="255"/>
      <c r="E929" s="185"/>
      <c r="F929" s="185"/>
      <c r="G929" s="185"/>
      <c r="H929" s="185"/>
      <c r="I929" s="186" t="s">
        <v>1329</v>
      </c>
      <c r="J929" s="147" t="s">
        <v>224</v>
      </c>
      <c r="K929" s="261">
        <f t="shared" ref="K929:K930" si="20">10000*5%</f>
        <v>500</v>
      </c>
      <c r="L929" s="190"/>
      <c r="M929" s="190"/>
    </row>
    <row r="930" spans="1:13" s="141" customFormat="1" x14ac:dyDescent="0.2">
      <c r="A930" s="255"/>
      <c r="B930" s="183"/>
      <c r="C930" s="184"/>
      <c r="D930" s="255"/>
      <c r="E930" s="185"/>
      <c r="F930" s="185"/>
      <c r="G930" s="185"/>
      <c r="H930" s="185"/>
      <c r="I930" s="186" t="s">
        <v>1330</v>
      </c>
      <c r="J930" s="147" t="s">
        <v>224</v>
      </c>
      <c r="K930" s="225">
        <f t="shared" si="20"/>
        <v>500</v>
      </c>
      <c r="L930" s="190"/>
      <c r="M930" s="190"/>
    </row>
    <row r="931" spans="1:13" s="141" customFormat="1" x14ac:dyDescent="0.2">
      <c r="A931" s="256"/>
      <c r="B931" s="194"/>
      <c r="C931" s="195"/>
      <c r="D931" s="256"/>
      <c r="E931" s="196"/>
      <c r="F931" s="196"/>
      <c r="G931" s="196"/>
      <c r="H931" s="196"/>
      <c r="I931" s="206"/>
      <c r="J931" s="198"/>
      <c r="K931" s="257">
        <f>SUM(K927:K930)</f>
        <v>10000</v>
      </c>
      <c r="L931" s="201"/>
      <c r="M931" s="201"/>
    </row>
    <row r="932" spans="1:13" s="141" customFormat="1" x14ac:dyDescent="0.2">
      <c r="A932" s="263">
        <v>227</v>
      </c>
      <c r="B932" s="173" t="s">
        <v>1331</v>
      </c>
      <c r="C932" s="174"/>
      <c r="D932" s="263" t="s">
        <v>107</v>
      </c>
      <c r="E932" s="175"/>
      <c r="F932" s="175"/>
      <c r="G932" s="175"/>
      <c r="H932" s="258"/>
      <c r="I932" s="228" t="s">
        <v>1332</v>
      </c>
      <c r="J932" s="397" t="s">
        <v>224</v>
      </c>
      <c r="K932" s="276">
        <f>10000*80%</f>
        <v>8000</v>
      </c>
      <c r="L932" s="174" t="s">
        <v>111</v>
      </c>
      <c r="M932" s="180" t="s">
        <v>1333</v>
      </c>
    </row>
    <row r="933" spans="1:13" s="141" customFormat="1" x14ac:dyDescent="0.2">
      <c r="A933" s="255"/>
      <c r="B933" s="183"/>
      <c r="C933" s="184"/>
      <c r="D933" s="255"/>
      <c r="E933" s="185"/>
      <c r="F933" s="185"/>
      <c r="G933" s="185"/>
      <c r="H933" s="260"/>
      <c r="I933" s="176" t="s">
        <v>1334</v>
      </c>
      <c r="J933" s="187" t="s">
        <v>224</v>
      </c>
      <c r="K933" s="393">
        <f>10000*5%</f>
        <v>500</v>
      </c>
      <c r="L933" s="184"/>
      <c r="M933" s="190"/>
    </row>
    <row r="934" spans="1:13" s="141" customFormat="1" x14ac:dyDescent="0.2">
      <c r="A934" s="255"/>
      <c r="B934" s="183"/>
      <c r="C934" s="184"/>
      <c r="D934" s="255"/>
      <c r="E934" s="185"/>
      <c r="F934" s="185"/>
      <c r="G934" s="185"/>
      <c r="H934" s="260"/>
      <c r="I934" s="186" t="s">
        <v>1335</v>
      </c>
      <c r="J934" s="187" t="s">
        <v>224</v>
      </c>
      <c r="K934" s="261">
        <f t="shared" ref="K934:K936" si="21">10000*5%</f>
        <v>500</v>
      </c>
      <c r="L934" s="184"/>
      <c r="M934" s="190"/>
    </row>
    <row r="935" spans="1:13" s="141" customFormat="1" x14ac:dyDescent="0.2">
      <c r="A935" s="255"/>
      <c r="B935" s="183"/>
      <c r="C935" s="184"/>
      <c r="D935" s="255"/>
      <c r="E935" s="185"/>
      <c r="F935" s="185"/>
      <c r="G935" s="185"/>
      <c r="H935" s="260"/>
      <c r="I935" s="186" t="s">
        <v>1336</v>
      </c>
      <c r="J935" s="187" t="s">
        <v>224</v>
      </c>
      <c r="K935" s="261">
        <f t="shared" si="21"/>
        <v>500</v>
      </c>
      <c r="L935" s="184"/>
      <c r="M935" s="190"/>
    </row>
    <row r="936" spans="1:13" s="141" customFormat="1" x14ac:dyDescent="0.2">
      <c r="A936" s="255"/>
      <c r="B936" s="183"/>
      <c r="C936" s="184"/>
      <c r="D936" s="255"/>
      <c r="E936" s="185"/>
      <c r="F936" s="185"/>
      <c r="G936" s="185"/>
      <c r="H936" s="260"/>
      <c r="I936" s="186" t="s">
        <v>1337</v>
      </c>
      <c r="J936" s="187" t="s">
        <v>224</v>
      </c>
      <c r="K936" s="261">
        <f t="shared" si="21"/>
        <v>500</v>
      </c>
      <c r="L936" s="184"/>
      <c r="M936" s="190"/>
    </row>
    <row r="937" spans="1:13" s="141" customFormat="1" x14ac:dyDescent="0.2">
      <c r="A937" s="256"/>
      <c r="B937" s="194"/>
      <c r="C937" s="195"/>
      <c r="D937" s="256"/>
      <c r="E937" s="196"/>
      <c r="F937" s="196"/>
      <c r="G937" s="196"/>
      <c r="H937" s="262"/>
      <c r="I937" s="206"/>
      <c r="J937" s="198"/>
      <c r="K937" s="257">
        <f>SUM(K932:K936)</f>
        <v>10000</v>
      </c>
      <c r="L937" s="195"/>
      <c r="M937" s="201"/>
    </row>
    <row r="938" spans="1:13" s="141" customFormat="1" ht="54" customHeight="1" x14ac:dyDescent="0.2">
      <c r="A938" s="415">
        <v>228</v>
      </c>
      <c r="B938" s="266" t="s">
        <v>1338</v>
      </c>
      <c r="C938" s="267" t="s">
        <v>1338</v>
      </c>
      <c r="D938" s="268" t="s">
        <v>107</v>
      </c>
      <c r="E938" s="269"/>
      <c r="F938" s="269"/>
      <c r="G938" s="269"/>
      <c r="H938" s="270"/>
      <c r="I938" s="289" t="s">
        <v>1339</v>
      </c>
      <c r="J938" s="326" t="s">
        <v>224</v>
      </c>
      <c r="K938" s="291">
        <v>8000</v>
      </c>
      <c r="L938" s="319" t="s">
        <v>111</v>
      </c>
      <c r="M938" s="226" t="s">
        <v>1340</v>
      </c>
    </row>
    <row r="939" spans="1:13" s="141" customFormat="1" ht="72.75" customHeight="1" x14ac:dyDescent="0.2">
      <c r="A939" s="415">
        <v>229</v>
      </c>
      <c r="B939" s="266" t="s">
        <v>1341</v>
      </c>
      <c r="C939" s="267" t="s">
        <v>1341</v>
      </c>
      <c r="D939" s="268" t="s">
        <v>107</v>
      </c>
      <c r="E939" s="269"/>
      <c r="F939" s="269"/>
      <c r="G939" s="269"/>
      <c r="H939" s="270"/>
      <c r="I939" s="176" t="s">
        <v>1342</v>
      </c>
      <c r="J939" s="147" t="s">
        <v>224</v>
      </c>
      <c r="K939" s="393">
        <v>18000</v>
      </c>
      <c r="L939" s="319" t="s">
        <v>111</v>
      </c>
      <c r="M939" s="226" t="s">
        <v>1343</v>
      </c>
    </row>
    <row r="940" spans="1:13" s="141" customFormat="1" ht="65.25" customHeight="1" x14ac:dyDescent="0.2">
      <c r="A940" s="415">
        <v>230</v>
      </c>
      <c r="B940" s="266" t="s">
        <v>1344</v>
      </c>
      <c r="C940" s="267" t="s">
        <v>1344</v>
      </c>
      <c r="D940" s="268" t="s">
        <v>107</v>
      </c>
      <c r="E940" s="269"/>
      <c r="F940" s="269"/>
      <c r="G940" s="269"/>
      <c r="H940" s="270"/>
      <c r="I940" s="289" t="s">
        <v>1345</v>
      </c>
      <c r="J940" s="326" t="s">
        <v>224</v>
      </c>
      <c r="K940" s="291">
        <v>50000</v>
      </c>
      <c r="L940" s="319" t="s">
        <v>111</v>
      </c>
      <c r="M940" s="226" t="s">
        <v>1346</v>
      </c>
    </row>
    <row r="941" spans="1:13" s="141" customFormat="1" x14ac:dyDescent="0.2">
      <c r="A941" s="263">
        <v>231</v>
      </c>
      <c r="B941" s="173" t="s">
        <v>1347</v>
      </c>
      <c r="C941" s="174"/>
      <c r="D941" s="263" t="s">
        <v>107</v>
      </c>
      <c r="E941" s="175"/>
      <c r="F941" s="175"/>
      <c r="G941" s="175"/>
      <c r="H941" s="258"/>
      <c r="I941" s="322" t="s">
        <v>1348</v>
      </c>
      <c r="J941" s="397" t="s">
        <v>224</v>
      </c>
      <c r="K941" s="383">
        <f>63000*80%</f>
        <v>50400</v>
      </c>
      <c r="L941" s="174" t="s">
        <v>111</v>
      </c>
      <c r="M941" s="180" t="s">
        <v>1349</v>
      </c>
    </row>
    <row r="942" spans="1:13" s="141" customFormat="1" x14ac:dyDescent="0.2">
      <c r="A942" s="255"/>
      <c r="B942" s="183"/>
      <c r="C942" s="184"/>
      <c r="D942" s="255"/>
      <c r="E942" s="185"/>
      <c r="F942" s="185"/>
      <c r="G942" s="185"/>
      <c r="H942" s="260"/>
      <c r="I942" s="186" t="s">
        <v>1350</v>
      </c>
      <c r="J942" s="187" t="s">
        <v>224</v>
      </c>
      <c r="K942" s="416">
        <f>63000*20%</f>
        <v>12600</v>
      </c>
      <c r="L942" s="184"/>
      <c r="M942" s="190"/>
    </row>
    <row r="943" spans="1:13" s="141" customFormat="1" x14ac:dyDescent="0.2">
      <c r="A943" s="256"/>
      <c r="B943" s="194"/>
      <c r="C943" s="195"/>
      <c r="D943" s="256"/>
      <c r="E943" s="196"/>
      <c r="F943" s="196"/>
      <c r="G943" s="196"/>
      <c r="H943" s="262"/>
      <c r="I943" s="206"/>
      <c r="J943" s="392"/>
      <c r="K943" s="417">
        <f>SUM(K941:K942)</f>
        <v>63000</v>
      </c>
      <c r="L943" s="195"/>
      <c r="M943" s="201"/>
    </row>
    <row r="944" spans="1:13" s="141" customFormat="1" x14ac:dyDescent="0.2">
      <c r="A944" s="263">
        <v>232</v>
      </c>
      <c r="B944" s="173" t="s">
        <v>1351</v>
      </c>
      <c r="C944" s="174"/>
      <c r="D944" s="263" t="s">
        <v>163</v>
      </c>
      <c r="E944" s="175"/>
      <c r="F944" s="175"/>
      <c r="G944" s="175"/>
      <c r="H944" s="258" t="s">
        <v>137</v>
      </c>
      <c r="I944" s="176" t="s">
        <v>1352</v>
      </c>
      <c r="J944" s="147" t="s">
        <v>224</v>
      </c>
      <c r="K944" s="276">
        <f>193950*40%</f>
        <v>77580</v>
      </c>
      <c r="L944" s="174" t="s">
        <v>324</v>
      </c>
      <c r="M944" s="180" t="s">
        <v>1353</v>
      </c>
    </row>
    <row r="945" spans="1:13" s="141" customFormat="1" x14ac:dyDescent="0.2">
      <c r="A945" s="255"/>
      <c r="B945" s="183"/>
      <c r="C945" s="184"/>
      <c r="D945" s="255"/>
      <c r="E945" s="185"/>
      <c r="F945" s="185"/>
      <c r="G945" s="185"/>
      <c r="H945" s="260"/>
      <c r="I945" s="186" t="s">
        <v>1354</v>
      </c>
      <c r="J945" s="187" t="s">
        <v>224</v>
      </c>
      <c r="K945" s="393">
        <f>193950*30%</f>
        <v>58185</v>
      </c>
      <c r="L945" s="184"/>
      <c r="M945" s="190"/>
    </row>
    <row r="946" spans="1:13" s="141" customFormat="1" x14ac:dyDescent="0.2">
      <c r="A946" s="255"/>
      <c r="B946" s="183"/>
      <c r="C946" s="184"/>
      <c r="D946" s="255"/>
      <c r="E946" s="185"/>
      <c r="F946" s="185"/>
      <c r="G946" s="185"/>
      <c r="H946" s="260"/>
      <c r="I946" s="186" t="s">
        <v>1284</v>
      </c>
      <c r="J946" s="187" t="s">
        <v>224</v>
      </c>
      <c r="K946" s="225">
        <f>193950*30%</f>
        <v>58185</v>
      </c>
      <c r="L946" s="184"/>
      <c r="M946" s="190"/>
    </row>
    <row r="947" spans="1:13" s="141" customFormat="1" x14ac:dyDescent="0.2">
      <c r="A947" s="256"/>
      <c r="B947" s="194"/>
      <c r="C947" s="195"/>
      <c r="D947" s="256"/>
      <c r="E947" s="196"/>
      <c r="F947" s="196"/>
      <c r="G947" s="196"/>
      <c r="H947" s="262"/>
      <c r="I947" s="206"/>
      <c r="J947" s="147"/>
      <c r="K947" s="393">
        <f>SUM(K944:K946)</f>
        <v>193950</v>
      </c>
      <c r="L947" s="195"/>
      <c r="M947" s="201"/>
    </row>
    <row r="948" spans="1:13" s="141" customFormat="1" ht="24" customHeight="1" x14ac:dyDescent="0.2">
      <c r="A948" s="263">
        <v>233</v>
      </c>
      <c r="B948" s="173" t="s">
        <v>1355</v>
      </c>
      <c r="C948" s="174"/>
      <c r="D948" s="263" t="s">
        <v>25</v>
      </c>
      <c r="E948" s="175"/>
      <c r="F948" s="175"/>
      <c r="G948" s="175" t="s">
        <v>1179</v>
      </c>
      <c r="H948" s="175"/>
      <c r="I948" s="322" t="s">
        <v>1356</v>
      </c>
      <c r="J948" s="272" t="s">
        <v>224</v>
      </c>
      <c r="K948" s="276">
        <f>400000*60%</f>
        <v>240000</v>
      </c>
      <c r="L948" s="180" t="s">
        <v>1179</v>
      </c>
      <c r="M948" s="180" t="s">
        <v>1357</v>
      </c>
    </row>
    <row r="949" spans="1:13" s="141" customFormat="1" ht="24" customHeight="1" x14ac:dyDescent="0.2">
      <c r="A949" s="255"/>
      <c r="B949" s="183"/>
      <c r="C949" s="184"/>
      <c r="D949" s="255"/>
      <c r="E949" s="185"/>
      <c r="F949" s="185"/>
      <c r="G949" s="185"/>
      <c r="H949" s="185"/>
      <c r="I949" s="192" t="s">
        <v>1350</v>
      </c>
      <c r="J949" s="191" t="s">
        <v>224</v>
      </c>
      <c r="K949" s="371">
        <f>400000*20%</f>
        <v>80000</v>
      </c>
      <c r="L949" s="190"/>
      <c r="M949" s="190"/>
    </row>
    <row r="950" spans="1:13" s="141" customFormat="1" ht="24" customHeight="1" x14ac:dyDescent="0.2">
      <c r="A950" s="255"/>
      <c r="B950" s="183"/>
      <c r="C950" s="184"/>
      <c r="D950" s="255"/>
      <c r="E950" s="185"/>
      <c r="F950" s="185"/>
      <c r="G950" s="185"/>
      <c r="H950" s="185"/>
      <c r="I950" s="176" t="s">
        <v>1358</v>
      </c>
      <c r="J950" s="191" t="s">
        <v>224</v>
      </c>
      <c r="K950" s="225">
        <f>400000*20%</f>
        <v>80000</v>
      </c>
      <c r="L950" s="190"/>
      <c r="M950" s="190"/>
    </row>
    <row r="951" spans="1:13" s="141" customFormat="1" ht="24" customHeight="1" x14ac:dyDescent="0.2">
      <c r="A951" s="256"/>
      <c r="B951" s="194"/>
      <c r="C951" s="195"/>
      <c r="D951" s="256"/>
      <c r="E951" s="196"/>
      <c r="F951" s="196"/>
      <c r="G951" s="196"/>
      <c r="H951" s="196"/>
      <c r="I951" s="206"/>
      <c r="J951" s="198"/>
      <c r="K951" s="371">
        <f>SUM(K948:K950)</f>
        <v>400000</v>
      </c>
      <c r="L951" s="201"/>
      <c r="M951" s="201"/>
    </row>
    <row r="952" spans="1:13" s="141" customFormat="1" ht="24" customHeight="1" x14ac:dyDescent="0.2">
      <c r="A952" s="415">
        <v>234</v>
      </c>
      <c r="B952" s="418" t="s">
        <v>1359</v>
      </c>
      <c r="C952" s="419"/>
      <c r="D952" s="321" t="s">
        <v>107</v>
      </c>
      <c r="E952" s="321"/>
      <c r="F952" s="321"/>
      <c r="G952" s="321"/>
      <c r="H952" s="321"/>
      <c r="I952" s="289" t="s">
        <v>1360</v>
      </c>
      <c r="J952" s="290" t="s">
        <v>224</v>
      </c>
      <c r="K952" s="291">
        <v>50000</v>
      </c>
      <c r="L952" s="319" t="s">
        <v>111</v>
      </c>
      <c r="M952" s="272" t="s">
        <v>1361</v>
      </c>
    </row>
    <row r="953" spans="1:13" s="141" customFormat="1" ht="24" customHeight="1" x14ac:dyDescent="0.2">
      <c r="A953" s="415">
        <v>235</v>
      </c>
      <c r="B953" s="418" t="s">
        <v>1362</v>
      </c>
      <c r="C953" s="419"/>
      <c r="D953" s="321" t="s">
        <v>107</v>
      </c>
      <c r="E953" s="321"/>
      <c r="F953" s="321"/>
      <c r="G953" s="321"/>
      <c r="H953" s="321"/>
      <c r="I953" s="289" t="s">
        <v>1360</v>
      </c>
      <c r="J953" s="290" t="s">
        <v>224</v>
      </c>
      <c r="K953" s="291">
        <v>63000</v>
      </c>
      <c r="L953" s="319" t="s">
        <v>111</v>
      </c>
      <c r="M953" s="272" t="s">
        <v>1363</v>
      </c>
    </row>
    <row r="954" spans="1:13" s="141" customFormat="1" ht="51" customHeight="1" x14ac:dyDescent="0.2">
      <c r="A954" s="415">
        <v>236</v>
      </c>
      <c r="B954" s="324" t="s">
        <v>1364</v>
      </c>
      <c r="C954" s="325"/>
      <c r="D954" s="321" t="s">
        <v>107</v>
      </c>
      <c r="E954" s="321"/>
      <c r="F954" s="321"/>
      <c r="G954" s="321"/>
      <c r="H954" s="321"/>
      <c r="I954" s="289" t="s">
        <v>1365</v>
      </c>
      <c r="J954" s="290" t="s">
        <v>224</v>
      </c>
      <c r="K954" s="291">
        <v>10000</v>
      </c>
      <c r="L954" s="319" t="s">
        <v>111</v>
      </c>
      <c r="M954" s="272" t="s">
        <v>1366</v>
      </c>
    </row>
    <row r="955" spans="1:13" s="141" customFormat="1" ht="24" customHeight="1" x14ac:dyDescent="0.2">
      <c r="A955" s="263">
        <v>237</v>
      </c>
      <c r="B955" s="273" t="s">
        <v>1367</v>
      </c>
      <c r="C955" s="274"/>
      <c r="D955" s="175" t="s">
        <v>107</v>
      </c>
      <c r="E955" s="175"/>
      <c r="F955" s="175"/>
      <c r="G955" s="175"/>
      <c r="H955" s="175" t="s">
        <v>164</v>
      </c>
      <c r="I955" s="228" t="s">
        <v>1368</v>
      </c>
      <c r="J955" s="275" t="s">
        <v>224</v>
      </c>
      <c r="K955" s="276">
        <f>50000*80%</f>
        <v>40000</v>
      </c>
      <c r="L955" s="180" t="s">
        <v>111</v>
      </c>
      <c r="M955" s="180" t="s">
        <v>1369</v>
      </c>
    </row>
    <row r="956" spans="1:13" s="141" customFormat="1" ht="24" customHeight="1" x14ac:dyDescent="0.2">
      <c r="A956" s="255"/>
      <c r="B956" s="277"/>
      <c r="C956" s="278"/>
      <c r="D956" s="185"/>
      <c r="E956" s="185"/>
      <c r="F956" s="185"/>
      <c r="G956" s="185"/>
      <c r="H956" s="185"/>
      <c r="I956" s="192" t="s">
        <v>1370</v>
      </c>
      <c r="J956" s="279" t="s">
        <v>224</v>
      </c>
      <c r="K956" s="225">
        <f>50000*20%</f>
        <v>10000</v>
      </c>
      <c r="L956" s="190"/>
      <c r="M956" s="190"/>
    </row>
    <row r="957" spans="1:13" s="141" customFormat="1" ht="24" customHeight="1" x14ac:dyDescent="0.2">
      <c r="A957" s="256"/>
      <c r="B957" s="280"/>
      <c r="C957" s="281"/>
      <c r="D957" s="196"/>
      <c r="E957" s="196"/>
      <c r="F957" s="196"/>
      <c r="G957" s="196"/>
      <c r="H957" s="196"/>
      <c r="I957" s="206"/>
      <c r="J957" s="282"/>
      <c r="K957" s="257">
        <f>SUM(K955:K956)</f>
        <v>50000</v>
      </c>
      <c r="L957" s="201"/>
      <c r="M957" s="201"/>
    </row>
    <row r="958" spans="1:13" s="141" customFormat="1" ht="24" customHeight="1" x14ac:dyDescent="0.2">
      <c r="A958" s="263">
        <v>238</v>
      </c>
      <c r="B958" s="299" t="s">
        <v>1371</v>
      </c>
      <c r="C958" s="300"/>
      <c r="D958" s="175" t="s">
        <v>107</v>
      </c>
      <c r="E958" s="175"/>
      <c r="F958" s="175"/>
      <c r="G958" s="175"/>
      <c r="H958" s="175"/>
      <c r="I958" s="283" t="s">
        <v>1372</v>
      </c>
      <c r="J958" s="284" t="s">
        <v>224</v>
      </c>
      <c r="K958" s="285">
        <f>10000*50%</f>
        <v>5000</v>
      </c>
      <c r="L958" s="180" t="s">
        <v>111</v>
      </c>
      <c r="M958" s="180" t="s">
        <v>1373</v>
      </c>
    </row>
    <row r="959" spans="1:13" s="141" customFormat="1" ht="24" customHeight="1" x14ac:dyDescent="0.2">
      <c r="A959" s="255"/>
      <c r="B959" s="294"/>
      <c r="C959" s="295"/>
      <c r="D959" s="185"/>
      <c r="E959" s="185"/>
      <c r="F959" s="185"/>
      <c r="G959" s="185"/>
      <c r="H959" s="185"/>
      <c r="I959" s="192" t="s">
        <v>1374</v>
      </c>
      <c r="J959" s="279" t="s">
        <v>224</v>
      </c>
      <c r="K959" s="225">
        <f>10000*10%</f>
        <v>1000</v>
      </c>
      <c r="L959" s="190"/>
      <c r="M959" s="190"/>
    </row>
    <row r="960" spans="1:13" s="141" customFormat="1" ht="24" customHeight="1" x14ac:dyDescent="0.2">
      <c r="A960" s="255"/>
      <c r="B960" s="294"/>
      <c r="C960" s="295"/>
      <c r="D960" s="185"/>
      <c r="E960" s="185"/>
      <c r="F960" s="185"/>
      <c r="G960" s="185"/>
      <c r="H960" s="185"/>
      <c r="I960" s="192" t="s">
        <v>1375</v>
      </c>
      <c r="J960" s="279" t="s">
        <v>224</v>
      </c>
      <c r="K960" s="225">
        <f>10000*10%</f>
        <v>1000</v>
      </c>
      <c r="L960" s="190"/>
      <c r="M960" s="190"/>
    </row>
    <row r="961" spans="1:14" s="141" customFormat="1" ht="24" customHeight="1" x14ac:dyDescent="0.2">
      <c r="A961" s="255"/>
      <c r="B961" s="294"/>
      <c r="C961" s="295"/>
      <c r="D961" s="185"/>
      <c r="E961" s="185"/>
      <c r="F961" s="185"/>
      <c r="G961" s="185"/>
      <c r="H961" s="185"/>
      <c r="I961" s="192" t="s">
        <v>1376</v>
      </c>
      <c r="J961" s="279" t="s">
        <v>224</v>
      </c>
      <c r="K961" s="225">
        <f t="shared" ref="K961:K963" si="22">10000*10%</f>
        <v>1000</v>
      </c>
      <c r="L961" s="190"/>
      <c r="M961" s="190"/>
    </row>
    <row r="962" spans="1:14" s="141" customFormat="1" ht="24" customHeight="1" x14ac:dyDescent="0.2">
      <c r="A962" s="255"/>
      <c r="B962" s="294"/>
      <c r="C962" s="295"/>
      <c r="D962" s="185"/>
      <c r="E962" s="185"/>
      <c r="F962" s="185"/>
      <c r="G962" s="185"/>
      <c r="H962" s="185"/>
      <c r="I962" s="192" t="s">
        <v>1377</v>
      </c>
      <c r="J962" s="279" t="s">
        <v>224</v>
      </c>
      <c r="K962" s="225">
        <f t="shared" si="22"/>
        <v>1000</v>
      </c>
      <c r="L962" s="190"/>
      <c r="M962" s="190"/>
    </row>
    <row r="963" spans="1:14" s="141" customFormat="1" ht="24" customHeight="1" x14ac:dyDescent="0.2">
      <c r="A963" s="255"/>
      <c r="B963" s="294"/>
      <c r="C963" s="295"/>
      <c r="D963" s="185"/>
      <c r="E963" s="185"/>
      <c r="F963" s="185"/>
      <c r="G963" s="185"/>
      <c r="H963" s="185"/>
      <c r="I963" s="186" t="s">
        <v>1378</v>
      </c>
      <c r="J963" s="304" t="s">
        <v>224</v>
      </c>
      <c r="K963" s="225">
        <f t="shared" si="22"/>
        <v>1000</v>
      </c>
      <c r="L963" s="190"/>
      <c r="M963" s="190"/>
    </row>
    <row r="964" spans="1:14" s="141" customFormat="1" ht="24" customHeight="1" x14ac:dyDescent="0.2">
      <c r="A964" s="255"/>
      <c r="B964" s="294"/>
      <c r="C964" s="295"/>
      <c r="D964" s="185"/>
      <c r="E964" s="185"/>
      <c r="F964" s="185"/>
      <c r="G964" s="185"/>
      <c r="H964" s="185"/>
      <c r="I964" s="186"/>
      <c r="J964" s="304"/>
      <c r="K964" s="261">
        <f>SUM(K958:K963)</f>
        <v>10000</v>
      </c>
      <c r="L964" s="190"/>
      <c r="M964" s="190"/>
    </row>
    <row r="965" spans="1:14" s="141" customFormat="1" ht="50.25" customHeight="1" x14ac:dyDescent="0.2">
      <c r="A965" s="415">
        <v>239</v>
      </c>
      <c r="B965" s="324" t="s">
        <v>1379</v>
      </c>
      <c r="C965" s="325" t="s">
        <v>1379</v>
      </c>
      <c r="D965" s="321" t="s">
        <v>107</v>
      </c>
      <c r="E965" s="321"/>
      <c r="F965" s="321"/>
      <c r="G965" s="321"/>
      <c r="H965" s="347"/>
      <c r="I965" s="289" t="s">
        <v>1323</v>
      </c>
      <c r="J965" s="290" t="s">
        <v>224</v>
      </c>
      <c r="K965" s="420">
        <v>8000</v>
      </c>
      <c r="L965" s="290" t="s">
        <v>111</v>
      </c>
      <c r="M965" s="272" t="s">
        <v>1380</v>
      </c>
    </row>
    <row r="966" spans="1:14" s="141" customFormat="1" ht="48" customHeight="1" x14ac:dyDescent="0.2">
      <c r="A966" s="317">
        <v>240</v>
      </c>
      <c r="B966" s="324" t="s">
        <v>1381</v>
      </c>
      <c r="C966" s="325" t="s">
        <v>1381</v>
      </c>
      <c r="D966" s="321" t="s">
        <v>107</v>
      </c>
      <c r="E966" s="321"/>
      <c r="F966" s="321"/>
      <c r="G966" s="321"/>
      <c r="H966" s="421"/>
      <c r="I966" s="228" t="s">
        <v>1323</v>
      </c>
      <c r="J966" s="275" t="s">
        <v>224</v>
      </c>
      <c r="K966" s="346">
        <v>8000</v>
      </c>
      <c r="L966" s="319" t="s">
        <v>111</v>
      </c>
      <c r="M966" s="272" t="s">
        <v>1382</v>
      </c>
    </row>
    <row r="967" spans="1:14" s="141" customFormat="1" ht="48" customHeight="1" x14ac:dyDescent="0.2">
      <c r="A967" s="415">
        <v>241</v>
      </c>
      <c r="B967" s="398" t="s">
        <v>1383</v>
      </c>
      <c r="C967" s="398" t="s">
        <v>1383</v>
      </c>
      <c r="D967" s="347" t="s">
        <v>107</v>
      </c>
      <c r="E967" s="347"/>
      <c r="F967" s="347"/>
      <c r="G967" s="347"/>
      <c r="H967" s="347"/>
      <c r="I967" s="289" t="s">
        <v>1384</v>
      </c>
      <c r="J967" s="289" t="s">
        <v>224</v>
      </c>
      <c r="K967" s="291">
        <v>20000</v>
      </c>
      <c r="L967" s="290" t="s">
        <v>111</v>
      </c>
      <c r="M967" s="290" t="s">
        <v>1385</v>
      </c>
    </row>
    <row r="968" spans="1:14" s="141" customFormat="1" ht="48" customHeight="1" x14ac:dyDescent="0.2">
      <c r="A968" s="415">
        <v>242</v>
      </c>
      <c r="B968" s="398" t="s">
        <v>1386</v>
      </c>
      <c r="C968" s="398" t="s">
        <v>1386</v>
      </c>
      <c r="D968" s="347" t="s">
        <v>107</v>
      </c>
      <c r="E968" s="347"/>
      <c r="F968" s="347"/>
      <c r="G968" s="347"/>
      <c r="H968" s="347"/>
      <c r="I968" s="289" t="s">
        <v>1384</v>
      </c>
      <c r="J968" s="289" t="s">
        <v>224</v>
      </c>
      <c r="K968" s="291">
        <v>20000</v>
      </c>
      <c r="L968" s="290" t="s">
        <v>111</v>
      </c>
      <c r="M968" s="290" t="s">
        <v>1387</v>
      </c>
    </row>
    <row r="969" spans="1:14" s="141" customFormat="1" ht="48" customHeight="1" x14ac:dyDescent="0.2">
      <c r="A969" s="415">
        <v>243</v>
      </c>
      <c r="B969" s="398" t="s">
        <v>1388</v>
      </c>
      <c r="C969" s="398" t="s">
        <v>1388</v>
      </c>
      <c r="D969" s="347" t="s">
        <v>107</v>
      </c>
      <c r="E969" s="347"/>
      <c r="F969" s="347"/>
      <c r="G969" s="347"/>
      <c r="H969" s="347"/>
      <c r="I969" s="289" t="s">
        <v>1384</v>
      </c>
      <c r="J969" s="289" t="s">
        <v>224</v>
      </c>
      <c r="K969" s="291">
        <v>20000</v>
      </c>
      <c r="L969" s="290" t="s">
        <v>111</v>
      </c>
      <c r="M969" s="290" t="s">
        <v>1389</v>
      </c>
    </row>
    <row r="970" spans="1:14" s="141" customFormat="1" ht="24" customHeight="1" x14ac:dyDescent="0.2">
      <c r="A970" s="172">
        <v>244</v>
      </c>
      <c r="B970" s="173" t="s">
        <v>1390</v>
      </c>
      <c r="C970" s="174"/>
      <c r="D970" s="175" t="s">
        <v>107</v>
      </c>
      <c r="E970" s="175"/>
      <c r="F970" s="175"/>
      <c r="G970" s="175"/>
      <c r="H970" s="258" t="s">
        <v>1391</v>
      </c>
      <c r="I970" s="228" t="s">
        <v>1392</v>
      </c>
      <c r="J970" s="202" t="s">
        <v>1393</v>
      </c>
      <c r="K970" s="373">
        <f>18000*70%</f>
        <v>12600</v>
      </c>
      <c r="L970" s="174" t="s">
        <v>111</v>
      </c>
      <c r="M970" s="180" t="s">
        <v>1394</v>
      </c>
    </row>
    <row r="971" spans="1:14" s="141" customFormat="1" ht="24" customHeight="1" x14ac:dyDescent="0.2">
      <c r="A971" s="182"/>
      <c r="B971" s="183"/>
      <c r="C971" s="184"/>
      <c r="D971" s="185"/>
      <c r="E971" s="185"/>
      <c r="F971" s="185"/>
      <c r="G971" s="185"/>
      <c r="H971" s="260"/>
      <c r="I971" s="192" t="s">
        <v>1395</v>
      </c>
      <c r="J971" s="187" t="s">
        <v>1396</v>
      </c>
      <c r="K971" s="204">
        <f>18000*10%</f>
        <v>1800</v>
      </c>
      <c r="L971" s="184"/>
      <c r="M971" s="190"/>
      <c r="N971" s="181"/>
    </row>
    <row r="972" spans="1:14" s="141" customFormat="1" ht="24" customHeight="1" x14ac:dyDescent="0.2">
      <c r="A972" s="182"/>
      <c r="B972" s="183"/>
      <c r="C972" s="184"/>
      <c r="D972" s="185"/>
      <c r="E972" s="185"/>
      <c r="F972" s="185"/>
      <c r="G972" s="185"/>
      <c r="H972" s="260"/>
      <c r="I972" s="192" t="s">
        <v>1397</v>
      </c>
      <c r="J972" s="187" t="s">
        <v>1396</v>
      </c>
      <c r="K972" s="204">
        <f t="shared" ref="K972:K973" si="23">18000*10%</f>
        <v>1800</v>
      </c>
      <c r="L972" s="184"/>
      <c r="M972" s="190"/>
      <c r="N972" s="181"/>
    </row>
    <row r="973" spans="1:14" s="141" customFormat="1" ht="24" customHeight="1" x14ac:dyDescent="0.2">
      <c r="A973" s="182"/>
      <c r="B973" s="183"/>
      <c r="C973" s="184"/>
      <c r="D973" s="185"/>
      <c r="E973" s="185"/>
      <c r="F973" s="185"/>
      <c r="G973" s="185"/>
      <c r="H973" s="260"/>
      <c r="I973" s="192" t="s">
        <v>1398</v>
      </c>
      <c r="J973" s="187" t="s">
        <v>1027</v>
      </c>
      <c r="K973" s="204">
        <f t="shared" si="23"/>
        <v>1800</v>
      </c>
      <c r="L973" s="184"/>
      <c r="M973" s="190"/>
      <c r="N973" s="181"/>
    </row>
    <row r="974" spans="1:14" s="141" customFormat="1" x14ac:dyDescent="0.2">
      <c r="A974" s="182"/>
      <c r="B974" s="183"/>
      <c r="C974" s="184"/>
      <c r="D974" s="185"/>
      <c r="E974" s="185"/>
      <c r="F974" s="185"/>
      <c r="G974" s="185"/>
      <c r="H974" s="260"/>
      <c r="I974" s="414"/>
      <c r="J974" s="357"/>
      <c r="K974" s="257">
        <f>SUM(K970:K973)</f>
        <v>18000</v>
      </c>
      <c r="L974" s="184"/>
      <c r="M974" s="190"/>
    </row>
    <row r="975" spans="1:14" s="141" customFormat="1" ht="24" customHeight="1" x14ac:dyDescent="0.2">
      <c r="A975" s="172">
        <v>245</v>
      </c>
      <c r="B975" s="173" t="s">
        <v>1399</v>
      </c>
      <c r="C975" s="174"/>
      <c r="D975" s="175" t="s">
        <v>107</v>
      </c>
      <c r="E975" s="175"/>
      <c r="F975" s="175"/>
      <c r="G975" s="175"/>
      <c r="H975" s="258" t="s">
        <v>1391</v>
      </c>
      <c r="I975" s="228" t="s">
        <v>1400</v>
      </c>
      <c r="J975" s="202" t="s">
        <v>1393</v>
      </c>
      <c r="K975" s="373">
        <f>16000*70%</f>
        <v>11200</v>
      </c>
      <c r="L975" s="174" t="s">
        <v>111</v>
      </c>
      <c r="M975" s="180" t="s">
        <v>1401</v>
      </c>
    </row>
    <row r="976" spans="1:14" s="141" customFormat="1" ht="24" customHeight="1" x14ac:dyDescent="0.2">
      <c r="A976" s="182"/>
      <c r="B976" s="183"/>
      <c r="C976" s="184"/>
      <c r="D976" s="185"/>
      <c r="E976" s="185"/>
      <c r="F976" s="185"/>
      <c r="G976" s="185"/>
      <c r="H976" s="260"/>
      <c r="I976" s="192" t="s">
        <v>1395</v>
      </c>
      <c r="J976" s="187" t="s">
        <v>1402</v>
      </c>
      <c r="K976" s="204">
        <f>16000*10%</f>
        <v>1600</v>
      </c>
      <c r="L976" s="184"/>
      <c r="M976" s="190"/>
    </row>
    <row r="977" spans="1:14" s="141" customFormat="1" ht="24" customHeight="1" x14ac:dyDescent="0.2">
      <c r="A977" s="182"/>
      <c r="B977" s="183"/>
      <c r="C977" s="184"/>
      <c r="D977" s="185"/>
      <c r="E977" s="185"/>
      <c r="F977" s="185"/>
      <c r="G977" s="185"/>
      <c r="H977" s="260"/>
      <c r="I977" s="192" t="s">
        <v>1397</v>
      </c>
      <c r="J977" s="187" t="s">
        <v>1402</v>
      </c>
      <c r="K977" s="204">
        <f t="shared" ref="K977:K978" si="24">16000*10%</f>
        <v>1600</v>
      </c>
      <c r="L977" s="184"/>
      <c r="M977" s="190"/>
    </row>
    <row r="978" spans="1:14" s="141" customFormat="1" ht="24" customHeight="1" x14ac:dyDescent="0.2">
      <c r="A978" s="182"/>
      <c r="B978" s="183"/>
      <c r="C978" s="184"/>
      <c r="D978" s="185"/>
      <c r="E978" s="185"/>
      <c r="F978" s="185"/>
      <c r="G978" s="185"/>
      <c r="H978" s="260"/>
      <c r="I978" s="192" t="s">
        <v>1403</v>
      </c>
      <c r="J978" s="187" t="s">
        <v>657</v>
      </c>
      <c r="K978" s="204">
        <f t="shared" si="24"/>
        <v>1600</v>
      </c>
      <c r="L978" s="184"/>
      <c r="M978" s="190"/>
      <c r="N978" s="181"/>
    </row>
    <row r="979" spans="1:14" s="141" customFormat="1" x14ac:dyDescent="0.2">
      <c r="A979" s="182"/>
      <c r="B979" s="183"/>
      <c r="C979" s="184"/>
      <c r="D979" s="185"/>
      <c r="E979" s="185"/>
      <c r="F979" s="185"/>
      <c r="G979" s="185"/>
      <c r="H979" s="260"/>
      <c r="I979" s="414"/>
      <c r="J979" s="357"/>
      <c r="K979" s="257">
        <f>SUM(K975:K978)</f>
        <v>16000</v>
      </c>
      <c r="L979" s="184"/>
      <c r="M979" s="190"/>
    </row>
    <row r="980" spans="1:14" s="141" customFormat="1" ht="24" customHeight="1" x14ac:dyDescent="0.2">
      <c r="A980" s="172">
        <v>246</v>
      </c>
      <c r="B980" s="173" t="s">
        <v>1404</v>
      </c>
      <c r="C980" s="174"/>
      <c r="D980" s="175" t="s">
        <v>107</v>
      </c>
      <c r="E980" s="175"/>
      <c r="F980" s="175"/>
      <c r="G980" s="175"/>
      <c r="H980" s="258" t="s">
        <v>108</v>
      </c>
      <c r="I980" s="228" t="s">
        <v>1405</v>
      </c>
      <c r="J980" s="202" t="s">
        <v>1396</v>
      </c>
      <c r="K980" s="373">
        <f>16000*70%</f>
        <v>11200</v>
      </c>
      <c r="L980" s="174" t="s">
        <v>111</v>
      </c>
      <c r="M980" s="180" t="s">
        <v>1406</v>
      </c>
    </row>
    <row r="981" spans="1:14" s="141" customFormat="1" ht="23.25" customHeight="1" x14ac:dyDescent="0.2">
      <c r="A981" s="182"/>
      <c r="B981" s="183"/>
      <c r="C981" s="184"/>
      <c r="D981" s="185"/>
      <c r="E981" s="185"/>
      <c r="F981" s="185"/>
      <c r="G981" s="185"/>
      <c r="H981" s="260"/>
      <c r="I981" s="192" t="s">
        <v>1397</v>
      </c>
      <c r="J981" s="187" t="s">
        <v>1402</v>
      </c>
      <c r="K981" s="204">
        <f>16000*10%</f>
        <v>1600</v>
      </c>
      <c r="L981" s="184"/>
      <c r="M981" s="190"/>
    </row>
    <row r="982" spans="1:14" s="141" customFormat="1" ht="23.25" customHeight="1" x14ac:dyDescent="0.2">
      <c r="A982" s="182"/>
      <c r="B982" s="183"/>
      <c r="C982" s="184"/>
      <c r="D982" s="185"/>
      <c r="E982" s="185"/>
      <c r="F982" s="185"/>
      <c r="G982" s="185"/>
      <c r="H982" s="260"/>
      <c r="I982" s="192" t="s">
        <v>1407</v>
      </c>
      <c r="J982" s="187" t="s">
        <v>657</v>
      </c>
      <c r="K982" s="204">
        <f>16000*20%</f>
        <v>3200</v>
      </c>
      <c r="L982" s="184"/>
      <c r="M982" s="190"/>
    </row>
    <row r="983" spans="1:14" s="141" customFormat="1" ht="23.25" customHeight="1" x14ac:dyDescent="0.2">
      <c r="A983" s="182"/>
      <c r="B983" s="183"/>
      <c r="C983" s="184"/>
      <c r="D983" s="185"/>
      <c r="E983" s="185"/>
      <c r="F983" s="185"/>
      <c r="G983" s="185"/>
      <c r="H983" s="260"/>
      <c r="I983" s="192"/>
      <c r="J983" s="187"/>
      <c r="K983" s="204">
        <f>SUM(K980:K982)</f>
        <v>16000</v>
      </c>
      <c r="L983" s="184"/>
      <c r="M983" s="190"/>
    </row>
    <row r="984" spans="1:14" s="141" customFormat="1" ht="23.25" customHeight="1" x14ac:dyDescent="0.2">
      <c r="A984" s="172">
        <v>247</v>
      </c>
      <c r="B984" s="173" t="s">
        <v>1408</v>
      </c>
      <c r="C984" s="174"/>
      <c r="D984" s="263" t="s">
        <v>107</v>
      </c>
      <c r="E984" s="175"/>
      <c r="F984" s="175"/>
      <c r="G984" s="175"/>
      <c r="H984" s="258"/>
      <c r="I984" s="322" t="s">
        <v>1409</v>
      </c>
      <c r="J984" s="397" t="s">
        <v>818</v>
      </c>
      <c r="K984" s="383">
        <f>16000*50%</f>
        <v>8000</v>
      </c>
      <c r="L984" s="174" t="s">
        <v>111</v>
      </c>
      <c r="M984" s="180" t="s">
        <v>1410</v>
      </c>
    </row>
    <row r="985" spans="1:14" s="141" customFormat="1" ht="23.25" customHeight="1" x14ac:dyDescent="0.2">
      <c r="A985" s="182"/>
      <c r="B985" s="183"/>
      <c r="C985" s="184"/>
      <c r="D985" s="255"/>
      <c r="E985" s="185"/>
      <c r="F985" s="185"/>
      <c r="G985" s="185"/>
      <c r="H985" s="260"/>
      <c r="I985" s="186" t="s">
        <v>1411</v>
      </c>
      <c r="J985" s="187" t="s">
        <v>829</v>
      </c>
      <c r="K985" s="225">
        <f>16000*10%</f>
        <v>1600</v>
      </c>
      <c r="L985" s="184"/>
      <c r="M985" s="190"/>
    </row>
    <row r="986" spans="1:14" s="141" customFormat="1" ht="23.25" customHeight="1" x14ac:dyDescent="0.2">
      <c r="A986" s="182"/>
      <c r="B986" s="183"/>
      <c r="C986" s="184"/>
      <c r="D986" s="255"/>
      <c r="E986" s="185"/>
      <c r="F986" s="185"/>
      <c r="G986" s="185"/>
      <c r="H986" s="260"/>
      <c r="I986" s="186" t="s">
        <v>1412</v>
      </c>
      <c r="J986" s="187" t="s">
        <v>818</v>
      </c>
      <c r="K986" s="393">
        <f t="shared" ref="K986:K989" si="25">16000*10%</f>
        <v>1600</v>
      </c>
      <c r="L986" s="184"/>
      <c r="M986" s="190"/>
    </row>
    <row r="987" spans="1:14" s="141" customFormat="1" ht="23.25" customHeight="1" x14ac:dyDescent="0.2">
      <c r="A987" s="182"/>
      <c r="B987" s="183"/>
      <c r="C987" s="184"/>
      <c r="D987" s="255"/>
      <c r="E987" s="185"/>
      <c r="F987" s="185"/>
      <c r="G987" s="185"/>
      <c r="H987" s="260"/>
      <c r="I987" s="186" t="s">
        <v>1413</v>
      </c>
      <c r="J987" s="187" t="s">
        <v>818</v>
      </c>
      <c r="K987" s="225">
        <f t="shared" si="25"/>
        <v>1600</v>
      </c>
      <c r="L987" s="184"/>
      <c r="M987" s="190"/>
    </row>
    <row r="988" spans="1:14" s="141" customFormat="1" ht="23.25" customHeight="1" x14ac:dyDescent="0.2">
      <c r="A988" s="182"/>
      <c r="B988" s="183"/>
      <c r="C988" s="184"/>
      <c r="D988" s="255"/>
      <c r="E988" s="185"/>
      <c r="F988" s="185"/>
      <c r="G988" s="185"/>
      <c r="H988" s="260"/>
      <c r="I988" s="186" t="s">
        <v>1414</v>
      </c>
      <c r="J988" s="187" t="s">
        <v>818</v>
      </c>
      <c r="K988" s="393">
        <f t="shared" si="25"/>
        <v>1600</v>
      </c>
      <c r="L988" s="184"/>
      <c r="M988" s="190"/>
    </row>
    <row r="989" spans="1:14" s="141" customFormat="1" ht="23.25" customHeight="1" x14ac:dyDescent="0.2">
      <c r="A989" s="182"/>
      <c r="B989" s="183"/>
      <c r="C989" s="184"/>
      <c r="D989" s="255"/>
      <c r="E989" s="185"/>
      <c r="F989" s="185"/>
      <c r="G989" s="185"/>
      <c r="H989" s="260"/>
      <c r="I989" s="192" t="s">
        <v>1415</v>
      </c>
      <c r="J989" s="187" t="s">
        <v>196</v>
      </c>
      <c r="K989" s="225">
        <f t="shared" si="25"/>
        <v>1600</v>
      </c>
      <c r="L989" s="184"/>
      <c r="M989" s="190"/>
    </row>
    <row r="990" spans="1:14" s="141" customFormat="1" ht="23.25" customHeight="1" x14ac:dyDescent="0.2">
      <c r="A990" s="193"/>
      <c r="B990" s="194"/>
      <c r="C990" s="195"/>
      <c r="D990" s="256"/>
      <c r="E990" s="196"/>
      <c r="F990" s="196"/>
      <c r="G990" s="196"/>
      <c r="H990" s="262"/>
      <c r="I990" s="197"/>
      <c r="J990" s="198"/>
      <c r="K990" s="298">
        <f>SUM(K984:K989)</f>
        <v>16000</v>
      </c>
      <c r="L990" s="195"/>
      <c r="M990" s="201"/>
    </row>
    <row r="991" spans="1:14" s="141" customFormat="1" ht="23.25" customHeight="1" x14ac:dyDescent="0.2">
      <c r="A991" s="172">
        <v>248</v>
      </c>
      <c r="B991" s="173" t="s">
        <v>1416</v>
      </c>
      <c r="C991" s="174"/>
      <c r="D991" s="263" t="s">
        <v>107</v>
      </c>
      <c r="E991" s="175"/>
      <c r="F991" s="175"/>
      <c r="G991" s="175"/>
      <c r="H991" s="258"/>
      <c r="I991" s="228" t="s">
        <v>1409</v>
      </c>
      <c r="J991" s="202" t="s">
        <v>818</v>
      </c>
      <c r="K991" s="276">
        <f>16000*50%</f>
        <v>8000</v>
      </c>
      <c r="L991" s="174" t="s">
        <v>111</v>
      </c>
      <c r="M991" s="180" t="s">
        <v>1417</v>
      </c>
    </row>
    <row r="992" spans="1:14" s="141" customFormat="1" ht="23.25" customHeight="1" x14ac:dyDescent="0.2">
      <c r="A992" s="182"/>
      <c r="B992" s="183"/>
      <c r="C992" s="184"/>
      <c r="D992" s="255"/>
      <c r="E992" s="185"/>
      <c r="F992" s="185"/>
      <c r="G992" s="185"/>
      <c r="H992" s="260"/>
      <c r="I992" s="176" t="s">
        <v>1418</v>
      </c>
      <c r="J992" s="147" t="s">
        <v>1419</v>
      </c>
      <c r="K992" s="393">
        <f>16000*10%</f>
        <v>1600</v>
      </c>
      <c r="L992" s="184"/>
      <c r="M992" s="190"/>
    </row>
    <row r="993" spans="1:14" s="141" customFormat="1" ht="23.25" customHeight="1" x14ac:dyDescent="0.2">
      <c r="A993" s="182"/>
      <c r="B993" s="183"/>
      <c r="C993" s="184"/>
      <c r="D993" s="255"/>
      <c r="E993" s="185"/>
      <c r="F993" s="185"/>
      <c r="G993" s="185"/>
      <c r="H993" s="260"/>
      <c r="I993" s="192" t="s">
        <v>1420</v>
      </c>
      <c r="J993" s="187" t="s">
        <v>818</v>
      </c>
      <c r="K993" s="261">
        <f t="shared" ref="K993:K996" si="26">16000*10%</f>
        <v>1600</v>
      </c>
      <c r="L993" s="184"/>
      <c r="M993" s="190"/>
    </row>
    <row r="994" spans="1:14" s="141" customFormat="1" ht="23.25" customHeight="1" x14ac:dyDescent="0.2">
      <c r="A994" s="182"/>
      <c r="B994" s="183"/>
      <c r="C994" s="184"/>
      <c r="D994" s="255"/>
      <c r="E994" s="185"/>
      <c r="F994" s="185"/>
      <c r="G994" s="185"/>
      <c r="H994" s="260"/>
      <c r="I994" s="192" t="s">
        <v>1421</v>
      </c>
      <c r="J994" s="187" t="s">
        <v>818</v>
      </c>
      <c r="K994" s="261">
        <f t="shared" si="26"/>
        <v>1600</v>
      </c>
      <c r="L994" s="184"/>
      <c r="M994" s="190"/>
    </row>
    <row r="995" spans="1:14" s="141" customFormat="1" ht="23.25" customHeight="1" x14ac:dyDescent="0.2">
      <c r="A995" s="182"/>
      <c r="B995" s="183"/>
      <c r="C995" s="184"/>
      <c r="D995" s="255"/>
      <c r="E995" s="185"/>
      <c r="F995" s="185"/>
      <c r="G995" s="185"/>
      <c r="H995" s="260"/>
      <c r="I995" s="176" t="s">
        <v>1422</v>
      </c>
      <c r="J995" s="187" t="s">
        <v>818</v>
      </c>
      <c r="K995" s="225">
        <f t="shared" si="26"/>
        <v>1600</v>
      </c>
      <c r="L995" s="184"/>
      <c r="M995" s="190"/>
    </row>
    <row r="996" spans="1:14" s="141" customFormat="1" ht="23.25" customHeight="1" x14ac:dyDescent="0.2">
      <c r="A996" s="182"/>
      <c r="B996" s="183"/>
      <c r="C996" s="184"/>
      <c r="D996" s="255"/>
      <c r="E996" s="185"/>
      <c r="F996" s="185"/>
      <c r="G996" s="185"/>
      <c r="H996" s="260"/>
      <c r="I996" s="186" t="s">
        <v>1423</v>
      </c>
      <c r="J996" s="187" t="s">
        <v>818</v>
      </c>
      <c r="K996" s="393">
        <f t="shared" si="26"/>
        <v>1600</v>
      </c>
      <c r="L996" s="184"/>
      <c r="M996" s="190"/>
    </row>
    <row r="997" spans="1:14" s="141" customFormat="1" ht="23.25" customHeight="1" x14ac:dyDescent="0.2">
      <c r="A997" s="193"/>
      <c r="B997" s="194"/>
      <c r="C997" s="195"/>
      <c r="D997" s="256"/>
      <c r="E997" s="196"/>
      <c r="F997" s="196"/>
      <c r="G997" s="196"/>
      <c r="H997" s="262"/>
      <c r="I997" s="206"/>
      <c r="J997" s="198"/>
      <c r="K997" s="257">
        <f>SUM(K991:K996)</f>
        <v>16000</v>
      </c>
      <c r="L997" s="195"/>
      <c r="M997" s="201"/>
    </row>
    <row r="998" spans="1:14" s="141" customFormat="1" ht="46.5" customHeight="1" x14ac:dyDescent="0.2">
      <c r="A998" s="242">
        <v>249</v>
      </c>
      <c r="B998" s="266" t="s">
        <v>1424</v>
      </c>
      <c r="C998" s="267" t="s">
        <v>1424</v>
      </c>
      <c r="D998" s="268" t="s">
        <v>107</v>
      </c>
      <c r="E998" s="269"/>
      <c r="F998" s="269"/>
      <c r="G998" s="269"/>
      <c r="H998" s="270"/>
      <c r="I998" s="289" t="s">
        <v>1425</v>
      </c>
      <c r="J998" s="326" t="s">
        <v>818</v>
      </c>
      <c r="K998" s="291">
        <v>18000</v>
      </c>
      <c r="L998" s="319" t="s">
        <v>111</v>
      </c>
      <c r="M998" s="226" t="s">
        <v>1426</v>
      </c>
    </row>
    <row r="999" spans="1:14" s="141" customFormat="1" ht="52.5" customHeight="1" x14ac:dyDescent="0.2">
      <c r="A999" s="415">
        <v>250</v>
      </c>
      <c r="B999" s="173" t="s">
        <v>1427</v>
      </c>
      <c r="C999" s="174"/>
      <c r="D999" s="317" t="s">
        <v>25</v>
      </c>
      <c r="E999" s="318"/>
      <c r="F999" s="318"/>
      <c r="G999" s="318" t="s">
        <v>1428</v>
      </c>
      <c r="H999" s="422"/>
      <c r="I999" s="322" t="s">
        <v>1429</v>
      </c>
      <c r="J999" s="272" t="s">
        <v>818</v>
      </c>
      <c r="K999" s="383">
        <v>900000</v>
      </c>
      <c r="L999" s="272" t="s">
        <v>1428</v>
      </c>
      <c r="M999" s="177" t="s">
        <v>1430</v>
      </c>
      <c r="N999" s="181"/>
    </row>
    <row r="1000" spans="1:14" s="141" customFormat="1" ht="29.25" customHeight="1" x14ac:dyDescent="0.2">
      <c r="A1000" s="263">
        <v>251</v>
      </c>
      <c r="B1000" s="173" t="s">
        <v>1431</v>
      </c>
      <c r="C1000" s="174"/>
      <c r="D1000" s="263" t="s">
        <v>25</v>
      </c>
      <c r="E1000" s="175"/>
      <c r="F1000" s="175"/>
      <c r="G1000" s="175" t="s">
        <v>1432</v>
      </c>
      <c r="H1000" s="175"/>
      <c r="I1000" s="322" t="s">
        <v>1433</v>
      </c>
      <c r="J1000" s="272" t="s">
        <v>818</v>
      </c>
      <c r="K1000" s="423">
        <f>500000*50%</f>
        <v>250000</v>
      </c>
      <c r="L1000" s="180" t="s">
        <v>1432</v>
      </c>
      <c r="M1000" s="180" t="s">
        <v>1434</v>
      </c>
    </row>
    <row r="1001" spans="1:14" s="141" customFormat="1" ht="27.75" customHeight="1" x14ac:dyDescent="0.2">
      <c r="A1001" s="255"/>
      <c r="B1001" s="183"/>
      <c r="C1001" s="184"/>
      <c r="D1001" s="255"/>
      <c r="E1001" s="185"/>
      <c r="F1001" s="185"/>
      <c r="G1001" s="185"/>
      <c r="H1001" s="185"/>
      <c r="I1001" s="192" t="s">
        <v>1435</v>
      </c>
      <c r="J1001" s="187" t="s">
        <v>1436</v>
      </c>
      <c r="K1001" s="424">
        <f>500000*25%</f>
        <v>125000</v>
      </c>
      <c r="L1001" s="190"/>
      <c r="M1001" s="190"/>
    </row>
    <row r="1002" spans="1:14" s="141" customFormat="1" ht="27" customHeight="1" x14ac:dyDescent="0.2">
      <c r="A1002" s="255"/>
      <c r="B1002" s="183"/>
      <c r="C1002" s="184"/>
      <c r="D1002" s="255"/>
      <c r="E1002" s="185"/>
      <c r="F1002" s="185"/>
      <c r="G1002" s="185"/>
      <c r="H1002" s="185"/>
      <c r="I1002" s="186" t="s">
        <v>1437</v>
      </c>
      <c r="J1002" s="187" t="s">
        <v>1436</v>
      </c>
      <c r="K1002" s="425">
        <f>500000*25%</f>
        <v>125000</v>
      </c>
      <c r="L1002" s="190"/>
      <c r="M1002" s="190"/>
    </row>
    <row r="1003" spans="1:14" s="141" customFormat="1" ht="27.75" customHeight="1" x14ac:dyDescent="0.2">
      <c r="A1003" s="255"/>
      <c r="B1003" s="183"/>
      <c r="C1003" s="184"/>
      <c r="D1003" s="256"/>
      <c r="E1003" s="196"/>
      <c r="F1003" s="185"/>
      <c r="G1003" s="185"/>
      <c r="H1003" s="185"/>
      <c r="I1003" s="206"/>
      <c r="J1003" s="198"/>
      <c r="K1003" s="298">
        <v>500000</v>
      </c>
      <c r="L1003" s="190"/>
      <c r="M1003" s="190"/>
    </row>
    <row r="1004" spans="1:14" s="141" customFormat="1" ht="27.75" customHeight="1" x14ac:dyDescent="0.2">
      <c r="A1004" s="426">
        <v>252</v>
      </c>
      <c r="B1004" s="258" t="s">
        <v>1438</v>
      </c>
      <c r="C1004" s="234"/>
      <c r="D1004" s="263" t="s">
        <v>25</v>
      </c>
      <c r="E1004" s="175"/>
      <c r="F1004" s="175"/>
      <c r="G1004" s="175" t="s">
        <v>1439</v>
      </c>
      <c r="H1004" s="427"/>
      <c r="I1004" s="228" t="s">
        <v>1440</v>
      </c>
      <c r="J1004" s="202" t="s">
        <v>818</v>
      </c>
      <c r="K1004" s="383">
        <f>300000*65%</f>
        <v>195000</v>
      </c>
      <c r="L1004" s="398" t="s">
        <v>1439</v>
      </c>
      <c r="M1004" s="398" t="s">
        <v>1434</v>
      </c>
    </row>
    <row r="1005" spans="1:14" s="141" customFormat="1" ht="27.75" customHeight="1" x14ac:dyDescent="0.2">
      <c r="A1005" s="426"/>
      <c r="B1005" s="260"/>
      <c r="C1005" s="236"/>
      <c r="D1005" s="255"/>
      <c r="E1005" s="185"/>
      <c r="F1005" s="185"/>
      <c r="G1005" s="185"/>
      <c r="H1005" s="427"/>
      <c r="I1005" s="192" t="s">
        <v>1441</v>
      </c>
      <c r="J1005" s="187" t="s">
        <v>1436</v>
      </c>
      <c r="K1005" s="225">
        <f>300000*15%</f>
        <v>45000</v>
      </c>
      <c r="L1005" s="398"/>
      <c r="M1005" s="398"/>
    </row>
    <row r="1006" spans="1:14" s="141" customFormat="1" ht="27.75" customHeight="1" x14ac:dyDescent="0.2">
      <c r="A1006" s="426"/>
      <c r="B1006" s="260"/>
      <c r="C1006" s="236"/>
      <c r="D1006" s="255"/>
      <c r="E1006" s="185"/>
      <c r="F1006" s="185"/>
      <c r="G1006" s="185"/>
      <c r="H1006" s="427"/>
      <c r="I1006" s="176" t="s">
        <v>1442</v>
      </c>
      <c r="J1006" s="177" t="s">
        <v>1436</v>
      </c>
      <c r="K1006" s="393">
        <f>300000*10%</f>
        <v>30000</v>
      </c>
      <c r="L1006" s="398"/>
      <c r="M1006" s="398"/>
    </row>
    <row r="1007" spans="1:14" s="141" customFormat="1" ht="27.75" customHeight="1" x14ac:dyDescent="0.2">
      <c r="A1007" s="426"/>
      <c r="B1007" s="260"/>
      <c r="C1007" s="236"/>
      <c r="D1007" s="255"/>
      <c r="E1007" s="185"/>
      <c r="F1007" s="185"/>
      <c r="G1007" s="185"/>
      <c r="H1007" s="427"/>
      <c r="I1007" s="192" t="s">
        <v>1443</v>
      </c>
      <c r="J1007" s="187" t="s">
        <v>1444</v>
      </c>
      <c r="K1007" s="261">
        <f>300000*10%</f>
        <v>30000</v>
      </c>
      <c r="L1007" s="398"/>
      <c r="M1007" s="398"/>
    </row>
    <row r="1008" spans="1:14" s="141" customFormat="1" ht="27.75" customHeight="1" x14ac:dyDescent="0.2">
      <c r="A1008" s="426"/>
      <c r="B1008" s="262"/>
      <c r="C1008" s="238"/>
      <c r="D1008" s="256"/>
      <c r="E1008" s="196"/>
      <c r="F1008" s="196"/>
      <c r="G1008" s="196"/>
      <c r="H1008" s="427"/>
      <c r="I1008" s="206"/>
      <c r="J1008" s="198"/>
      <c r="K1008" s="298">
        <v>300000</v>
      </c>
      <c r="L1008" s="398"/>
      <c r="M1008" s="398"/>
    </row>
    <row r="1009" spans="1:13" s="141" customFormat="1" ht="78" customHeight="1" x14ac:dyDescent="0.2">
      <c r="A1009" s="320">
        <v>253</v>
      </c>
      <c r="B1009" s="324" t="s">
        <v>1445</v>
      </c>
      <c r="C1009" s="325"/>
      <c r="D1009" s="321" t="s">
        <v>107</v>
      </c>
      <c r="E1009" s="321"/>
      <c r="F1009" s="321"/>
      <c r="G1009" s="321"/>
      <c r="H1009" s="321"/>
      <c r="I1009" s="289" t="s">
        <v>1446</v>
      </c>
      <c r="J1009" s="326" t="s">
        <v>818</v>
      </c>
      <c r="K1009" s="291">
        <v>18000</v>
      </c>
      <c r="L1009" s="319" t="s">
        <v>111</v>
      </c>
      <c r="M1009" s="272" t="s">
        <v>1447</v>
      </c>
    </row>
    <row r="1010" spans="1:13" s="141" customFormat="1" ht="27.75" customHeight="1" x14ac:dyDescent="0.2">
      <c r="A1010" s="263">
        <v>254</v>
      </c>
      <c r="B1010" s="273" t="s">
        <v>1448</v>
      </c>
      <c r="C1010" s="274"/>
      <c r="D1010" s="175" t="s">
        <v>107</v>
      </c>
      <c r="E1010" s="175"/>
      <c r="F1010" s="175"/>
      <c r="G1010" s="175"/>
      <c r="H1010" s="175" t="s">
        <v>137</v>
      </c>
      <c r="I1010" s="283" t="s">
        <v>1449</v>
      </c>
      <c r="J1010" s="284" t="s">
        <v>818</v>
      </c>
      <c r="K1010" s="285">
        <f>63000*70%</f>
        <v>44100</v>
      </c>
      <c r="L1010" s="180" t="s">
        <v>111</v>
      </c>
      <c r="M1010" s="180" t="s">
        <v>1450</v>
      </c>
    </row>
    <row r="1011" spans="1:13" s="141" customFormat="1" ht="27.75" customHeight="1" x14ac:dyDescent="0.2">
      <c r="A1011" s="255"/>
      <c r="B1011" s="277"/>
      <c r="C1011" s="278"/>
      <c r="D1011" s="185"/>
      <c r="E1011" s="185"/>
      <c r="F1011" s="185"/>
      <c r="G1011" s="185"/>
      <c r="H1011" s="185"/>
      <c r="I1011" s="192" t="s">
        <v>1451</v>
      </c>
      <c r="J1011" s="279" t="s">
        <v>1436</v>
      </c>
      <c r="K1011" s="225">
        <f>63000*30%</f>
        <v>18900</v>
      </c>
      <c r="L1011" s="190"/>
      <c r="M1011" s="190"/>
    </row>
    <row r="1012" spans="1:13" s="141" customFormat="1" ht="27.75" customHeight="1" x14ac:dyDescent="0.2">
      <c r="A1012" s="256"/>
      <c r="B1012" s="280"/>
      <c r="C1012" s="281"/>
      <c r="D1012" s="196"/>
      <c r="E1012" s="196"/>
      <c r="F1012" s="196"/>
      <c r="G1012" s="196"/>
      <c r="H1012" s="196"/>
      <c r="I1012" s="186"/>
      <c r="J1012" s="304"/>
      <c r="K1012" s="261">
        <f>SUM(K1010:K1011)</f>
        <v>63000</v>
      </c>
      <c r="L1012" s="190"/>
      <c r="M1012" s="190"/>
    </row>
    <row r="1013" spans="1:13" s="141" customFormat="1" ht="27.75" customHeight="1" x14ac:dyDescent="0.2">
      <c r="A1013" s="263">
        <v>255</v>
      </c>
      <c r="B1013" s="299" t="s">
        <v>1452</v>
      </c>
      <c r="C1013" s="300"/>
      <c r="D1013" s="175" t="s">
        <v>25</v>
      </c>
      <c r="E1013" s="175"/>
      <c r="F1013" s="175"/>
      <c r="G1013" s="175" t="s">
        <v>1439</v>
      </c>
      <c r="H1013" s="175"/>
      <c r="I1013" s="322" t="s">
        <v>1453</v>
      </c>
      <c r="J1013" s="272" t="s">
        <v>818</v>
      </c>
      <c r="K1013" s="383">
        <f>500000*60%</f>
        <v>300000</v>
      </c>
      <c r="L1013" s="180" t="s">
        <v>1439</v>
      </c>
      <c r="M1013" s="180" t="s">
        <v>1454</v>
      </c>
    </row>
    <row r="1014" spans="1:13" s="141" customFormat="1" ht="27.75" customHeight="1" x14ac:dyDescent="0.2">
      <c r="A1014" s="255"/>
      <c r="B1014" s="294"/>
      <c r="C1014" s="295"/>
      <c r="D1014" s="185"/>
      <c r="E1014" s="185"/>
      <c r="F1014" s="185"/>
      <c r="G1014" s="185"/>
      <c r="H1014" s="185"/>
      <c r="I1014" s="186" t="s">
        <v>1455</v>
      </c>
      <c r="J1014" s="191" t="s">
        <v>1436</v>
      </c>
      <c r="K1014" s="225">
        <f>500000*10%</f>
        <v>50000</v>
      </c>
      <c r="L1014" s="190"/>
      <c r="M1014" s="190"/>
    </row>
    <row r="1015" spans="1:13" s="141" customFormat="1" ht="27.75" customHeight="1" x14ac:dyDescent="0.2">
      <c r="A1015" s="255"/>
      <c r="B1015" s="294"/>
      <c r="C1015" s="295"/>
      <c r="D1015" s="185"/>
      <c r="E1015" s="185"/>
      <c r="F1015" s="185"/>
      <c r="G1015" s="185"/>
      <c r="H1015" s="185"/>
      <c r="I1015" s="192" t="s">
        <v>1456</v>
      </c>
      <c r="J1015" s="187" t="s">
        <v>1436</v>
      </c>
      <c r="K1015" s="393">
        <f>500000*30%</f>
        <v>150000</v>
      </c>
      <c r="L1015" s="190"/>
      <c r="M1015" s="190"/>
    </row>
    <row r="1016" spans="1:13" s="141" customFormat="1" ht="27.75" customHeight="1" x14ac:dyDescent="0.2">
      <c r="A1016" s="256"/>
      <c r="B1016" s="296"/>
      <c r="C1016" s="297"/>
      <c r="D1016" s="196"/>
      <c r="E1016" s="196"/>
      <c r="F1016" s="196"/>
      <c r="G1016" s="196"/>
      <c r="H1016" s="196"/>
      <c r="I1016" s="197"/>
      <c r="J1016" s="226"/>
      <c r="K1016" s="257">
        <f>SUM(K1013:K1015)</f>
        <v>500000</v>
      </c>
      <c r="L1016" s="201"/>
      <c r="M1016" s="201"/>
    </row>
    <row r="1017" spans="1:13" s="141" customFormat="1" ht="21.75" customHeight="1" x14ac:dyDescent="0.2">
      <c r="A1017" s="263">
        <v>256</v>
      </c>
      <c r="B1017" s="292" t="s">
        <v>1457</v>
      </c>
      <c r="C1017" s="293"/>
      <c r="D1017" s="175" t="s">
        <v>25</v>
      </c>
      <c r="E1017" s="175"/>
      <c r="F1017" s="175"/>
      <c r="G1017" s="175" t="s">
        <v>1458</v>
      </c>
      <c r="H1017" s="175"/>
      <c r="I1017" s="228" t="s">
        <v>1459</v>
      </c>
      <c r="J1017" s="202" t="s">
        <v>1419</v>
      </c>
      <c r="K1017" s="276">
        <f>300000*50%</f>
        <v>150000</v>
      </c>
      <c r="L1017" s="180" t="s">
        <v>1458</v>
      </c>
      <c r="M1017" s="180" t="s">
        <v>1460</v>
      </c>
    </row>
    <row r="1018" spans="1:13" s="141" customFormat="1" ht="21.75" customHeight="1" x14ac:dyDescent="0.2">
      <c r="A1018" s="255"/>
      <c r="B1018" s="294"/>
      <c r="C1018" s="295"/>
      <c r="D1018" s="185"/>
      <c r="E1018" s="185"/>
      <c r="F1018" s="185"/>
      <c r="G1018" s="185"/>
      <c r="H1018" s="185"/>
      <c r="I1018" s="192" t="s">
        <v>1461</v>
      </c>
      <c r="J1018" s="187" t="s">
        <v>1436</v>
      </c>
      <c r="K1018" s="225">
        <f>300000*40%</f>
        <v>120000</v>
      </c>
      <c r="L1018" s="190"/>
      <c r="M1018" s="190"/>
    </row>
    <row r="1019" spans="1:13" s="141" customFormat="1" ht="21.75" customHeight="1" x14ac:dyDescent="0.2">
      <c r="A1019" s="255"/>
      <c r="B1019" s="294"/>
      <c r="C1019" s="295"/>
      <c r="D1019" s="185"/>
      <c r="E1019" s="185"/>
      <c r="F1019" s="185"/>
      <c r="G1019" s="185"/>
      <c r="H1019" s="185"/>
      <c r="I1019" s="192" t="s">
        <v>1462</v>
      </c>
      <c r="J1019" s="177" t="s">
        <v>1436</v>
      </c>
      <c r="K1019" s="225">
        <f>300000*10%</f>
        <v>30000</v>
      </c>
      <c r="L1019" s="190"/>
      <c r="M1019" s="190"/>
    </row>
    <row r="1020" spans="1:13" s="141" customFormat="1" ht="21.75" customHeight="1" x14ac:dyDescent="0.2">
      <c r="A1020" s="255"/>
      <c r="B1020" s="294"/>
      <c r="C1020" s="295"/>
      <c r="D1020" s="185"/>
      <c r="E1020" s="185"/>
      <c r="F1020" s="185"/>
      <c r="G1020" s="185"/>
      <c r="H1020" s="185"/>
      <c r="I1020" s="176"/>
      <c r="J1020" s="191"/>
      <c r="K1020" s="371">
        <f>SUM(K1017:K1019)</f>
        <v>300000</v>
      </c>
      <c r="L1020" s="190"/>
      <c r="M1020" s="190"/>
    </row>
    <row r="1021" spans="1:13" s="141" customFormat="1" ht="109.5" customHeight="1" x14ac:dyDescent="0.2">
      <c r="A1021" s="415">
        <v>257</v>
      </c>
      <c r="B1021" s="428" t="s">
        <v>1463</v>
      </c>
      <c r="C1021" s="429"/>
      <c r="D1021" s="347" t="s">
        <v>25</v>
      </c>
      <c r="E1021" s="347"/>
      <c r="F1021" s="347"/>
      <c r="G1021" s="347" t="s">
        <v>1179</v>
      </c>
      <c r="H1021" s="430" t="s">
        <v>361</v>
      </c>
      <c r="I1021" s="431" t="s">
        <v>1464</v>
      </c>
      <c r="J1021" s="251" t="s">
        <v>1465</v>
      </c>
      <c r="K1021" s="432">
        <v>500000</v>
      </c>
      <c r="L1021" s="406" t="s">
        <v>1179</v>
      </c>
      <c r="M1021" s="290" t="s">
        <v>1466</v>
      </c>
    </row>
    <row r="1022" spans="1:13" s="141" customFormat="1" ht="21.75" customHeight="1" x14ac:dyDescent="0.2">
      <c r="A1022" s="172">
        <v>258</v>
      </c>
      <c r="B1022" s="173" t="s">
        <v>1467</v>
      </c>
      <c r="C1022" s="174"/>
      <c r="D1022" s="175" t="s">
        <v>163</v>
      </c>
      <c r="E1022" s="175"/>
      <c r="F1022" s="175"/>
      <c r="G1022" s="175"/>
      <c r="H1022" s="258" t="s">
        <v>1011</v>
      </c>
      <c r="I1022" s="228" t="s">
        <v>1468</v>
      </c>
      <c r="J1022" s="202" t="s">
        <v>1469</v>
      </c>
      <c r="K1022" s="373">
        <f>K1027*45%</f>
        <v>67500</v>
      </c>
      <c r="L1022" s="174" t="s">
        <v>166</v>
      </c>
      <c r="M1022" s="180" t="s">
        <v>1470</v>
      </c>
    </row>
    <row r="1023" spans="1:13" s="141" customFormat="1" ht="21.75" customHeight="1" x14ac:dyDescent="0.2">
      <c r="A1023" s="182"/>
      <c r="B1023" s="183"/>
      <c r="C1023" s="184"/>
      <c r="D1023" s="185"/>
      <c r="E1023" s="185"/>
      <c r="F1023" s="185"/>
      <c r="G1023" s="185"/>
      <c r="H1023" s="260"/>
      <c r="I1023" s="192" t="s">
        <v>1471</v>
      </c>
      <c r="J1023" s="187" t="s">
        <v>711</v>
      </c>
      <c r="K1023" s="204">
        <f>K1027*20%</f>
        <v>30000</v>
      </c>
      <c r="L1023" s="184"/>
      <c r="M1023" s="190"/>
    </row>
    <row r="1024" spans="1:13" s="141" customFormat="1" ht="21.75" customHeight="1" x14ac:dyDescent="0.2">
      <c r="A1024" s="182"/>
      <c r="B1024" s="183"/>
      <c r="C1024" s="184"/>
      <c r="D1024" s="185"/>
      <c r="E1024" s="185"/>
      <c r="F1024" s="185"/>
      <c r="G1024" s="185"/>
      <c r="H1024" s="260"/>
      <c r="I1024" s="192" t="s">
        <v>1472</v>
      </c>
      <c r="J1024" s="187" t="s">
        <v>274</v>
      </c>
      <c r="K1024" s="204">
        <f>K1027*15%</f>
        <v>22500</v>
      </c>
      <c r="L1024" s="184"/>
      <c r="M1024" s="190"/>
    </row>
    <row r="1025" spans="1:13" s="141" customFormat="1" ht="21.75" customHeight="1" x14ac:dyDescent="0.2">
      <c r="A1025" s="182"/>
      <c r="B1025" s="183"/>
      <c r="C1025" s="184"/>
      <c r="D1025" s="185"/>
      <c r="E1025" s="185"/>
      <c r="F1025" s="185"/>
      <c r="G1025" s="185"/>
      <c r="H1025" s="260"/>
      <c r="I1025" s="192" t="s">
        <v>1473</v>
      </c>
      <c r="J1025" s="187" t="s">
        <v>711</v>
      </c>
      <c r="K1025" s="204">
        <f>K1027*10%</f>
        <v>15000</v>
      </c>
      <c r="L1025" s="184"/>
      <c r="M1025" s="190"/>
    </row>
    <row r="1026" spans="1:13" s="141" customFormat="1" ht="21.75" customHeight="1" x14ac:dyDescent="0.2">
      <c r="A1026" s="182"/>
      <c r="B1026" s="183"/>
      <c r="C1026" s="184"/>
      <c r="D1026" s="185"/>
      <c r="E1026" s="185"/>
      <c r="F1026" s="185"/>
      <c r="G1026" s="185"/>
      <c r="H1026" s="260"/>
      <c r="I1026" s="192" t="s">
        <v>783</v>
      </c>
      <c r="J1026" s="187" t="s">
        <v>711</v>
      </c>
      <c r="K1026" s="204">
        <f>K1027*10%</f>
        <v>15000</v>
      </c>
      <c r="L1026" s="184"/>
      <c r="M1026" s="190"/>
    </row>
    <row r="1027" spans="1:13" s="141" customFormat="1" ht="21.75" customHeight="1" x14ac:dyDescent="0.2">
      <c r="A1027" s="193"/>
      <c r="B1027" s="194"/>
      <c r="C1027" s="195"/>
      <c r="D1027" s="196"/>
      <c r="E1027" s="196"/>
      <c r="F1027" s="196"/>
      <c r="G1027" s="196"/>
      <c r="H1027" s="262"/>
      <c r="I1027" s="206"/>
      <c r="J1027" s="198"/>
      <c r="K1027" s="374">
        <v>150000</v>
      </c>
      <c r="L1027" s="195"/>
      <c r="M1027" s="201"/>
    </row>
    <row r="1028" spans="1:13" s="141" customFormat="1" ht="22.5" customHeight="1" x14ac:dyDescent="0.2">
      <c r="A1028" s="172">
        <v>259</v>
      </c>
      <c r="B1028" s="173" t="s">
        <v>1474</v>
      </c>
      <c r="C1028" s="174"/>
      <c r="D1028" s="175" t="s">
        <v>163</v>
      </c>
      <c r="E1028" s="175"/>
      <c r="F1028" s="175"/>
      <c r="G1028" s="175"/>
      <c r="H1028" s="258" t="s">
        <v>1475</v>
      </c>
      <c r="I1028" s="228" t="s">
        <v>1476</v>
      </c>
      <c r="J1028" s="202" t="s">
        <v>1469</v>
      </c>
      <c r="K1028" s="373">
        <f>K1035*50%</f>
        <v>161100</v>
      </c>
      <c r="L1028" s="174" t="s">
        <v>166</v>
      </c>
      <c r="M1028" s="180" t="s">
        <v>1477</v>
      </c>
    </row>
    <row r="1029" spans="1:13" s="141" customFormat="1" x14ac:dyDescent="0.2">
      <c r="A1029" s="182"/>
      <c r="B1029" s="183"/>
      <c r="C1029" s="184"/>
      <c r="D1029" s="185"/>
      <c r="E1029" s="185"/>
      <c r="F1029" s="185"/>
      <c r="G1029" s="185"/>
      <c r="H1029" s="260"/>
      <c r="I1029" s="192" t="s">
        <v>1478</v>
      </c>
      <c r="J1029" s="187" t="s">
        <v>711</v>
      </c>
      <c r="K1029" s="204">
        <f>K1035*15%</f>
        <v>48330</v>
      </c>
      <c r="L1029" s="184"/>
      <c r="M1029" s="190"/>
    </row>
    <row r="1030" spans="1:13" s="141" customFormat="1" x14ac:dyDescent="0.2">
      <c r="A1030" s="182"/>
      <c r="B1030" s="183"/>
      <c r="C1030" s="184"/>
      <c r="D1030" s="185"/>
      <c r="E1030" s="185"/>
      <c r="F1030" s="185"/>
      <c r="G1030" s="185"/>
      <c r="H1030" s="260"/>
      <c r="I1030" s="192" t="s">
        <v>1479</v>
      </c>
      <c r="J1030" s="187" t="s">
        <v>711</v>
      </c>
      <c r="K1030" s="204">
        <f>K1035*15%</f>
        <v>48330</v>
      </c>
      <c r="L1030" s="184"/>
      <c r="M1030" s="190"/>
    </row>
    <row r="1031" spans="1:13" s="141" customFormat="1" x14ac:dyDescent="0.2">
      <c r="A1031" s="182"/>
      <c r="B1031" s="183"/>
      <c r="C1031" s="184"/>
      <c r="D1031" s="185"/>
      <c r="E1031" s="185"/>
      <c r="F1031" s="185"/>
      <c r="G1031" s="185"/>
      <c r="H1031" s="260"/>
      <c r="I1031" s="192" t="s">
        <v>1480</v>
      </c>
      <c r="J1031" s="187" t="s">
        <v>711</v>
      </c>
      <c r="K1031" s="204">
        <f>K1035*5%</f>
        <v>16110</v>
      </c>
      <c r="L1031" s="184"/>
      <c r="M1031" s="190"/>
    </row>
    <row r="1032" spans="1:13" s="141" customFormat="1" x14ac:dyDescent="0.2">
      <c r="A1032" s="182"/>
      <c r="B1032" s="183"/>
      <c r="C1032" s="184"/>
      <c r="D1032" s="185"/>
      <c r="E1032" s="185"/>
      <c r="F1032" s="185"/>
      <c r="G1032" s="185"/>
      <c r="H1032" s="260"/>
      <c r="I1032" s="192" t="s">
        <v>1481</v>
      </c>
      <c r="J1032" s="187" t="s">
        <v>711</v>
      </c>
      <c r="K1032" s="204">
        <f>K1035*5%</f>
        <v>16110</v>
      </c>
      <c r="L1032" s="184"/>
      <c r="M1032" s="190"/>
    </row>
    <row r="1033" spans="1:13" s="141" customFormat="1" x14ac:dyDescent="0.2">
      <c r="A1033" s="182"/>
      <c r="B1033" s="183"/>
      <c r="C1033" s="184"/>
      <c r="D1033" s="185"/>
      <c r="E1033" s="185"/>
      <c r="F1033" s="185"/>
      <c r="G1033" s="185"/>
      <c r="H1033" s="260"/>
      <c r="I1033" s="192" t="s">
        <v>1482</v>
      </c>
      <c r="J1033" s="187" t="s">
        <v>117</v>
      </c>
      <c r="K1033" s="204">
        <f>K1035*5%</f>
        <v>16110</v>
      </c>
      <c r="L1033" s="184"/>
      <c r="M1033" s="190"/>
    </row>
    <row r="1034" spans="1:13" s="141" customFormat="1" x14ac:dyDescent="0.2">
      <c r="A1034" s="182"/>
      <c r="B1034" s="183"/>
      <c r="C1034" s="184"/>
      <c r="D1034" s="185"/>
      <c r="E1034" s="185"/>
      <c r="F1034" s="185"/>
      <c r="G1034" s="185"/>
      <c r="H1034" s="260"/>
      <c r="I1034" s="192" t="s">
        <v>1483</v>
      </c>
      <c r="J1034" s="187" t="s">
        <v>572</v>
      </c>
      <c r="K1034" s="204">
        <f>K1035*5%</f>
        <v>16110</v>
      </c>
      <c r="L1034" s="184"/>
      <c r="M1034" s="190"/>
    </row>
    <row r="1035" spans="1:13" s="141" customFormat="1" x14ac:dyDescent="0.2">
      <c r="A1035" s="193"/>
      <c r="B1035" s="194"/>
      <c r="C1035" s="195"/>
      <c r="D1035" s="196"/>
      <c r="E1035" s="196"/>
      <c r="F1035" s="196"/>
      <c r="G1035" s="196"/>
      <c r="H1035" s="262"/>
      <c r="I1035" s="197"/>
      <c r="J1035" s="226"/>
      <c r="K1035" s="372">
        <v>322200</v>
      </c>
      <c r="L1035" s="195"/>
      <c r="M1035" s="201"/>
    </row>
    <row r="1036" spans="1:13" s="141" customFormat="1" ht="23.25" customHeight="1" x14ac:dyDescent="0.2">
      <c r="A1036" s="172">
        <v>260</v>
      </c>
      <c r="B1036" s="173" t="s">
        <v>1484</v>
      </c>
      <c r="C1036" s="174"/>
      <c r="D1036" s="175" t="s">
        <v>107</v>
      </c>
      <c r="E1036" s="175"/>
      <c r="F1036" s="175"/>
      <c r="G1036" s="175"/>
      <c r="H1036" s="258"/>
      <c r="I1036" s="228" t="s">
        <v>1485</v>
      </c>
      <c r="J1036" s="202" t="s">
        <v>1469</v>
      </c>
      <c r="K1036" s="373">
        <f>K1041*80%</f>
        <v>7200</v>
      </c>
      <c r="L1036" s="174" t="s">
        <v>111</v>
      </c>
      <c r="M1036" s="180" t="s">
        <v>1486</v>
      </c>
    </row>
    <row r="1037" spans="1:13" s="141" customFormat="1" x14ac:dyDescent="0.2">
      <c r="A1037" s="182"/>
      <c r="B1037" s="183"/>
      <c r="C1037" s="184"/>
      <c r="D1037" s="185"/>
      <c r="E1037" s="185"/>
      <c r="F1037" s="185"/>
      <c r="G1037" s="185"/>
      <c r="H1037" s="260"/>
      <c r="I1037" s="192" t="s">
        <v>1487</v>
      </c>
      <c r="J1037" s="187" t="s">
        <v>373</v>
      </c>
      <c r="K1037" s="204">
        <f>K1041*5%</f>
        <v>450</v>
      </c>
      <c r="L1037" s="184"/>
      <c r="M1037" s="190"/>
    </row>
    <row r="1038" spans="1:13" s="141" customFormat="1" x14ac:dyDescent="0.2">
      <c r="A1038" s="182"/>
      <c r="B1038" s="183"/>
      <c r="C1038" s="184"/>
      <c r="D1038" s="185"/>
      <c r="E1038" s="185"/>
      <c r="F1038" s="185"/>
      <c r="G1038" s="185"/>
      <c r="H1038" s="260"/>
      <c r="I1038" s="192" t="s">
        <v>1488</v>
      </c>
      <c r="J1038" s="187" t="s">
        <v>373</v>
      </c>
      <c r="K1038" s="204">
        <f>K1041*5%</f>
        <v>450</v>
      </c>
      <c r="L1038" s="184"/>
      <c r="M1038" s="190"/>
    </row>
    <row r="1039" spans="1:13" s="141" customFormat="1" x14ac:dyDescent="0.2">
      <c r="A1039" s="182"/>
      <c r="B1039" s="183"/>
      <c r="C1039" s="184"/>
      <c r="D1039" s="185"/>
      <c r="E1039" s="185"/>
      <c r="F1039" s="185"/>
      <c r="G1039" s="185"/>
      <c r="H1039" s="260"/>
      <c r="I1039" s="192" t="s">
        <v>1489</v>
      </c>
      <c r="J1039" s="187" t="s">
        <v>373</v>
      </c>
      <c r="K1039" s="204">
        <f>K1041*5%</f>
        <v>450</v>
      </c>
      <c r="L1039" s="184"/>
      <c r="M1039" s="190"/>
    </row>
    <row r="1040" spans="1:13" s="141" customFormat="1" x14ac:dyDescent="0.2">
      <c r="A1040" s="182"/>
      <c r="B1040" s="183"/>
      <c r="C1040" s="184"/>
      <c r="D1040" s="185"/>
      <c r="E1040" s="185"/>
      <c r="F1040" s="185"/>
      <c r="G1040" s="185"/>
      <c r="H1040" s="260"/>
      <c r="I1040" s="192" t="s">
        <v>1490</v>
      </c>
      <c r="J1040" s="187" t="s">
        <v>373</v>
      </c>
      <c r="K1040" s="204">
        <f>K1041*5%</f>
        <v>450</v>
      </c>
      <c r="L1040" s="184"/>
      <c r="M1040" s="190"/>
    </row>
    <row r="1041" spans="1:13" s="141" customFormat="1" x14ac:dyDescent="0.2">
      <c r="A1041" s="193"/>
      <c r="B1041" s="194"/>
      <c r="C1041" s="195"/>
      <c r="D1041" s="196"/>
      <c r="E1041" s="196"/>
      <c r="F1041" s="196"/>
      <c r="G1041" s="196"/>
      <c r="H1041" s="262"/>
      <c r="I1041" s="206"/>
      <c r="J1041" s="198"/>
      <c r="K1041" s="374">
        <v>9000</v>
      </c>
      <c r="L1041" s="195"/>
      <c r="M1041" s="201"/>
    </row>
    <row r="1042" spans="1:13" s="141" customFormat="1" ht="22.5" customHeight="1" x14ac:dyDescent="0.2">
      <c r="A1042" s="172">
        <v>261</v>
      </c>
      <c r="B1042" s="173" t="s">
        <v>1491</v>
      </c>
      <c r="C1042" s="174"/>
      <c r="D1042" s="175" t="s">
        <v>107</v>
      </c>
      <c r="E1042" s="175"/>
      <c r="F1042" s="175"/>
      <c r="G1042" s="175"/>
      <c r="H1042" s="258" t="s">
        <v>137</v>
      </c>
      <c r="I1042" s="228" t="s">
        <v>1492</v>
      </c>
      <c r="J1042" s="202" t="s">
        <v>1030</v>
      </c>
      <c r="K1042" s="373">
        <f>K1045*5%</f>
        <v>900</v>
      </c>
      <c r="L1042" s="174" t="s">
        <v>111</v>
      </c>
      <c r="M1042" s="180" t="s">
        <v>1493</v>
      </c>
    </row>
    <row r="1043" spans="1:13" s="141" customFormat="1" x14ac:dyDescent="0.2">
      <c r="A1043" s="182"/>
      <c r="B1043" s="183"/>
      <c r="C1043" s="184"/>
      <c r="D1043" s="185"/>
      <c r="E1043" s="185"/>
      <c r="F1043" s="185"/>
      <c r="G1043" s="185"/>
      <c r="H1043" s="260"/>
      <c r="I1043" s="192" t="s">
        <v>1494</v>
      </c>
      <c r="J1043" s="187" t="s">
        <v>711</v>
      </c>
      <c r="K1043" s="204">
        <f>K1045*25%</f>
        <v>4500</v>
      </c>
      <c r="L1043" s="184"/>
      <c r="M1043" s="190"/>
    </row>
    <row r="1044" spans="1:13" s="141" customFormat="1" x14ac:dyDescent="0.2">
      <c r="A1044" s="182"/>
      <c r="B1044" s="183"/>
      <c r="C1044" s="184"/>
      <c r="D1044" s="185"/>
      <c r="E1044" s="185"/>
      <c r="F1044" s="185"/>
      <c r="G1044" s="185"/>
      <c r="H1044" s="260"/>
      <c r="I1044" s="192" t="s">
        <v>1495</v>
      </c>
      <c r="J1044" s="187" t="s">
        <v>274</v>
      </c>
      <c r="K1044" s="204">
        <f>K1045*70%</f>
        <v>12600</v>
      </c>
      <c r="L1044" s="184"/>
      <c r="M1044" s="190"/>
    </row>
    <row r="1045" spans="1:13" s="141" customFormat="1" x14ac:dyDescent="0.2">
      <c r="A1045" s="193"/>
      <c r="B1045" s="194"/>
      <c r="C1045" s="195"/>
      <c r="D1045" s="196"/>
      <c r="E1045" s="196"/>
      <c r="F1045" s="196"/>
      <c r="G1045" s="196"/>
      <c r="H1045" s="262"/>
      <c r="I1045" s="206"/>
      <c r="J1045" s="198"/>
      <c r="K1045" s="374">
        <v>18000</v>
      </c>
      <c r="L1045" s="195"/>
      <c r="M1045" s="201"/>
    </row>
    <row r="1046" spans="1:13" s="141" customFormat="1" ht="21.75" customHeight="1" x14ac:dyDescent="0.2">
      <c r="A1046" s="172">
        <v>262</v>
      </c>
      <c r="B1046" s="173" t="s">
        <v>1496</v>
      </c>
      <c r="C1046" s="174"/>
      <c r="D1046" s="175" t="s">
        <v>107</v>
      </c>
      <c r="E1046" s="175"/>
      <c r="F1046" s="175"/>
      <c r="G1046" s="175"/>
      <c r="H1046" s="258"/>
      <c r="I1046" s="228" t="s">
        <v>1497</v>
      </c>
      <c r="J1046" s="202" t="s">
        <v>176</v>
      </c>
      <c r="K1046" s="373">
        <f>K1055*60%</f>
        <v>8400</v>
      </c>
      <c r="L1046" s="174" t="s">
        <v>111</v>
      </c>
      <c r="M1046" s="180" t="s">
        <v>1498</v>
      </c>
    </row>
    <row r="1047" spans="1:13" s="141" customFormat="1" x14ac:dyDescent="0.2">
      <c r="A1047" s="182"/>
      <c r="B1047" s="183"/>
      <c r="C1047" s="184"/>
      <c r="D1047" s="185"/>
      <c r="E1047" s="185"/>
      <c r="F1047" s="185"/>
      <c r="G1047" s="185"/>
      <c r="H1047" s="260"/>
      <c r="I1047" s="192" t="s">
        <v>1499</v>
      </c>
      <c r="J1047" s="187" t="s">
        <v>790</v>
      </c>
      <c r="K1047" s="204">
        <f>K1055*5%</f>
        <v>700</v>
      </c>
      <c r="L1047" s="184"/>
      <c r="M1047" s="190"/>
    </row>
    <row r="1048" spans="1:13" s="141" customFormat="1" x14ac:dyDescent="0.2">
      <c r="A1048" s="182"/>
      <c r="B1048" s="183"/>
      <c r="C1048" s="184"/>
      <c r="D1048" s="185"/>
      <c r="E1048" s="185"/>
      <c r="F1048" s="185"/>
      <c r="G1048" s="185"/>
      <c r="H1048" s="260"/>
      <c r="I1048" s="192" t="s">
        <v>1500</v>
      </c>
      <c r="J1048" s="187" t="s">
        <v>790</v>
      </c>
      <c r="K1048" s="204">
        <f>K1055*5%</f>
        <v>700</v>
      </c>
      <c r="L1048" s="184"/>
      <c r="M1048" s="190"/>
    </row>
    <row r="1049" spans="1:13" s="141" customFormat="1" x14ac:dyDescent="0.2">
      <c r="A1049" s="182"/>
      <c r="B1049" s="183"/>
      <c r="C1049" s="184"/>
      <c r="D1049" s="185"/>
      <c r="E1049" s="185"/>
      <c r="F1049" s="185"/>
      <c r="G1049" s="185"/>
      <c r="H1049" s="260"/>
      <c r="I1049" s="192" t="s">
        <v>1501</v>
      </c>
      <c r="J1049" s="187" t="s">
        <v>790</v>
      </c>
      <c r="K1049" s="204">
        <f>K1055*5%</f>
        <v>700</v>
      </c>
      <c r="L1049" s="184"/>
      <c r="M1049" s="190"/>
    </row>
    <row r="1050" spans="1:13" s="141" customFormat="1" x14ac:dyDescent="0.2">
      <c r="A1050" s="182"/>
      <c r="B1050" s="183"/>
      <c r="C1050" s="184"/>
      <c r="D1050" s="185"/>
      <c r="E1050" s="185"/>
      <c r="F1050" s="185"/>
      <c r="G1050" s="185"/>
      <c r="H1050" s="260"/>
      <c r="I1050" s="192" t="s">
        <v>1502</v>
      </c>
      <c r="J1050" s="187" t="s">
        <v>790</v>
      </c>
      <c r="K1050" s="204">
        <f>K1055*5%</f>
        <v>700</v>
      </c>
      <c r="L1050" s="184"/>
      <c r="M1050" s="190"/>
    </row>
    <row r="1051" spans="1:13" s="141" customFormat="1" x14ac:dyDescent="0.2">
      <c r="A1051" s="182"/>
      <c r="B1051" s="183"/>
      <c r="C1051" s="184"/>
      <c r="D1051" s="185"/>
      <c r="E1051" s="185"/>
      <c r="F1051" s="185"/>
      <c r="G1051" s="185"/>
      <c r="H1051" s="260"/>
      <c r="I1051" s="192" t="s">
        <v>1503</v>
      </c>
      <c r="J1051" s="187" t="s">
        <v>790</v>
      </c>
      <c r="K1051" s="204">
        <f>K1055*5%</f>
        <v>700</v>
      </c>
      <c r="L1051" s="184"/>
      <c r="M1051" s="190"/>
    </row>
    <row r="1052" spans="1:13" s="141" customFormat="1" x14ac:dyDescent="0.2">
      <c r="A1052" s="182"/>
      <c r="B1052" s="183"/>
      <c r="C1052" s="184"/>
      <c r="D1052" s="185"/>
      <c r="E1052" s="185"/>
      <c r="F1052" s="185"/>
      <c r="G1052" s="185"/>
      <c r="H1052" s="260"/>
      <c r="I1052" s="192" t="s">
        <v>1504</v>
      </c>
      <c r="J1052" s="187" t="s">
        <v>709</v>
      </c>
      <c r="K1052" s="204">
        <f>K1055*5%</f>
        <v>700</v>
      </c>
      <c r="L1052" s="184"/>
      <c r="M1052" s="190"/>
    </row>
    <row r="1053" spans="1:13" s="141" customFormat="1" x14ac:dyDescent="0.2">
      <c r="A1053" s="182"/>
      <c r="B1053" s="183"/>
      <c r="C1053" s="184"/>
      <c r="D1053" s="185"/>
      <c r="E1053" s="185"/>
      <c r="F1053" s="185"/>
      <c r="G1053" s="185"/>
      <c r="H1053" s="260"/>
      <c r="I1053" s="192" t="s">
        <v>1505</v>
      </c>
      <c r="J1053" s="187" t="s">
        <v>365</v>
      </c>
      <c r="K1053" s="204">
        <f>K1055*5%</f>
        <v>700</v>
      </c>
      <c r="L1053" s="184"/>
      <c r="M1053" s="190"/>
    </row>
    <row r="1054" spans="1:13" s="141" customFormat="1" x14ac:dyDescent="0.2">
      <c r="A1054" s="182"/>
      <c r="B1054" s="183"/>
      <c r="C1054" s="184"/>
      <c r="D1054" s="185"/>
      <c r="E1054" s="185"/>
      <c r="F1054" s="185"/>
      <c r="G1054" s="185"/>
      <c r="H1054" s="260"/>
      <c r="I1054" s="192" t="s">
        <v>732</v>
      </c>
      <c r="J1054" s="187" t="s">
        <v>365</v>
      </c>
      <c r="K1054" s="204">
        <f>K1055*5%</f>
        <v>700</v>
      </c>
      <c r="L1054" s="184"/>
      <c r="M1054" s="190"/>
    </row>
    <row r="1055" spans="1:13" s="141" customFormat="1" x14ac:dyDescent="0.2">
      <c r="A1055" s="193"/>
      <c r="B1055" s="194"/>
      <c r="C1055" s="195"/>
      <c r="D1055" s="196"/>
      <c r="E1055" s="196"/>
      <c r="F1055" s="196"/>
      <c r="G1055" s="196"/>
      <c r="H1055" s="262"/>
      <c r="I1055" s="206"/>
      <c r="J1055" s="198"/>
      <c r="K1055" s="374">
        <v>14000</v>
      </c>
      <c r="L1055" s="195"/>
      <c r="M1055" s="201"/>
    </row>
    <row r="1056" spans="1:13" s="141" customFormat="1" ht="24" customHeight="1" x14ac:dyDescent="0.2">
      <c r="A1056" s="172">
        <v>263</v>
      </c>
      <c r="B1056" s="173" t="s">
        <v>1506</v>
      </c>
      <c r="C1056" s="174"/>
      <c r="D1056" s="175" t="s">
        <v>107</v>
      </c>
      <c r="E1056" s="175"/>
      <c r="F1056" s="175"/>
      <c r="G1056" s="175"/>
      <c r="H1056" s="258" t="s">
        <v>108</v>
      </c>
      <c r="I1056" s="228" t="s">
        <v>1507</v>
      </c>
      <c r="J1056" s="202" t="s">
        <v>1508</v>
      </c>
      <c r="K1056" s="373">
        <f>K1060*50%</f>
        <v>6750</v>
      </c>
      <c r="L1056" s="174" t="s">
        <v>111</v>
      </c>
      <c r="M1056" s="180" t="s">
        <v>1509</v>
      </c>
    </row>
    <row r="1057" spans="1:13" s="141" customFormat="1" x14ac:dyDescent="0.2">
      <c r="A1057" s="182"/>
      <c r="B1057" s="183"/>
      <c r="C1057" s="184"/>
      <c r="D1057" s="185"/>
      <c r="E1057" s="185"/>
      <c r="F1057" s="185"/>
      <c r="G1057" s="185"/>
      <c r="H1057" s="260"/>
      <c r="I1057" s="192" t="s">
        <v>1510</v>
      </c>
      <c r="J1057" s="187" t="s">
        <v>592</v>
      </c>
      <c r="K1057" s="204">
        <f>K1060*20%</f>
        <v>2700</v>
      </c>
      <c r="L1057" s="184"/>
      <c r="M1057" s="190"/>
    </row>
    <row r="1058" spans="1:13" s="141" customFormat="1" x14ac:dyDescent="0.2">
      <c r="A1058" s="182"/>
      <c r="B1058" s="183"/>
      <c r="C1058" s="184"/>
      <c r="D1058" s="185"/>
      <c r="E1058" s="185"/>
      <c r="F1058" s="185"/>
      <c r="G1058" s="185"/>
      <c r="H1058" s="260"/>
      <c r="I1058" s="192" t="s">
        <v>1511</v>
      </c>
      <c r="J1058" s="187" t="s">
        <v>592</v>
      </c>
      <c r="K1058" s="204">
        <f>K1060*20%</f>
        <v>2700</v>
      </c>
      <c r="L1058" s="184"/>
      <c r="M1058" s="190"/>
    </row>
    <row r="1059" spans="1:13" s="141" customFormat="1" x14ac:dyDescent="0.2">
      <c r="A1059" s="182"/>
      <c r="B1059" s="183"/>
      <c r="C1059" s="184"/>
      <c r="D1059" s="185"/>
      <c r="E1059" s="185"/>
      <c r="F1059" s="185"/>
      <c r="G1059" s="185"/>
      <c r="H1059" s="260"/>
      <c r="I1059" s="192" t="s">
        <v>1512</v>
      </c>
      <c r="J1059" s="187" t="s">
        <v>378</v>
      </c>
      <c r="K1059" s="204">
        <f>K1060*10%</f>
        <v>1350</v>
      </c>
      <c r="L1059" s="184"/>
      <c r="M1059" s="190"/>
    </row>
    <row r="1060" spans="1:13" s="141" customFormat="1" x14ac:dyDescent="0.2">
      <c r="A1060" s="193"/>
      <c r="B1060" s="194"/>
      <c r="C1060" s="195"/>
      <c r="D1060" s="196"/>
      <c r="E1060" s="196"/>
      <c r="F1060" s="196"/>
      <c r="G1060" s="196"/>
      <c r="H1060" s="262"/>
      <c r="I1060" s="206"/>
      <c r="J1060" s="198"/>
      <c r="K1060" s="374">
        <v>13500</v>
      </c>
      <c r="L1060" s="195"/>
      <c r="M1060" s="201"/>
    </row>
    <row r="1061" spans="1:13" s="141" customFormat="1" ht="24" customHeight="1" x14ac:dyDescent="0.2">
      <c r="A1061" s="172">
        <v>264</v>
      </c>
      <c r="B1061" s="173" t="s">
        <v>1513</v>
      </c>
      <c r="C1061" s="174"/>
      <c r="D1061" s="175" t="s">
        <v>107</v>
      </c>
      <c r="E1061" s="175"/>
      <c r="F1061" s="175"/>
      <c r="G1061" s="175"/>
      <c r="H1061" s="258" t="s">
        <v>164</v>
      </c>
      <c r="I1061" s="228" t="s">
        <v>1514</v>
      </c>
      <c r="J1061" s="202" t="s">
        <v>1469</v>
      </c>
      <c r="K1061" s="373">
        <f>K1063*80%</f>
        <v>16000</v>
      </c>
      <c r="L1061" s="174" t="s">
        <v>111</v>
      </c>
      <c r="M1061" s="180" t="s">
        <v>1515</v>
      </c>
    </row>
    <row r="1062" spans="1:13" s="141" customFormat="1" x14ac:dyDescent="0.2">
      <c r="A1062" s="182"/>
      <c r="B1062" s="183"/>
      <c r="C1062" s="184"/>
      <c r="D1062" s="185"/>
      <c r="E1062" s="185"/>
      <c r="F1062" s="185"/>
      <c r="G1062" s="185"/>
      <c r="H1062" s="260"/>
      <c r="I1062" s="192" t="s">
        <v>1516</v>
      </c>
      <c r="J1062" s="187" t="s">
        <v>592</v>
      </c>
      <c r="K1062" s="204">
        <f>K1063*20%</f>
        <v>4000</v>
      </c>
      <c r="L1062" s="184"/>
      <c r="M1062" s="190"/>
    </row>
    <row r="1063" spans="1:13" s="141" customFormat="1" x14ac:dyDescent="0.2">
      <c r="A1063" s="193"/>
      <c r="B1063" s="194"/>
      <c r="C1063" s="195"/>
      <c r="D1063" s="196"/>
      <c r="E1063" s="196"/>
      <c r="F1063" s="196"/>
      <c r="G1063" s="196"/>
      <c r="H1063" s="262"/>
      <c r="I1063" s="206"/>
      <c r="J1063" s="198"/>
      <c r="K1063" s="374">
        <v>20000</v>
      </c>
      <c r="L1063" s="195"/>
      <c r="M1063" s="201"/>
    </row>
    <row r="1064" spans="1:13" s="141" customFormat="1" ht="29.25" customHeight="1" x14ac:dyDescent="0.2">
      <c r="A1064" s="242">
        <v>265</v>
      </c>
      <c r="B1064" s="266" t="s">
        <v>1517</v>
      </c>
      <c r="C1064" s="267" t="s">
        <v>1517</v>
      </c>
      <c r="D1064" s="269" t="s">
        <v>107</v>
      </c>
      <c r="E1064" s="269"/>
      <c r="F1064" s="269"/>
      <c r="G1064" s="269"/>
      <c r="H1064" s="433"/>
      <c r="I1064" s="197" t="s">
        <v>1518</v>
      </c>
      <c r="J1064" s="226" t="s">
        <v>711</v>
      </c>
      <c r="K1064" s="403">
        <v>8000</v>
      </c>
      <c r="L1064" s="319" t="s">
        <v>111</v>
      </c>
      <c r="M1064" s="226" t="s">
        <v>1519</v>
      </c>
    </row>
    <row r="1065" spans="1:13" s="141" customFormat="1" ht="54.75" customHeight="1" x14ac:dyDescent="0.2">
      <c r="A1065" s="242">
        <v>266</v>
      </c>
      <c r="B1065" s="266" t="s">
        <v>1520</v>
      </c>
      <c r="C1065" s="267" t="s">
        <v>1520</v>
      </c>
      <c r="D1065" s="269" t="s">
        <v>163</v>
      </c>
      <c r="E1065" s="269"/>
      <c r="F1065" s="269"/>
      <c r="G1065" s="269"/>
      <c r="H1065" s="270"/>
      <c r="I1065" s="197" t="s">
        <v>1521</v>
      </c>
      <c r="J1065" s="226" t="s">
        <v>711</v>
      </c>
      <c r="K1065" s="408">
        <v>500000</v>
      </c>
      <c r="L1065" s="406" t="s">
        <v>166</v>
      </c>
      <c r="M1065" s="226" t="s">
        <v>1522</v>
      </c>
    </row>
    <row r="1066" spans="1:13" s="141" customFormat="1" ht="63" customHeight="1" x14ac:dyDescent="0.2">
      <c r="A1066" s="242">
        <v>267</v>
      </c>
      <c r="B1066" s="266" t="s">
        <v>1523</v>
      </c>
      <c r="C1066" s="267" t="s">
        <v>1523</v>
      </c>
      <c r="D1066" s="269" t="s">
        <v>163</v>
      </c>
      <c r="E1066" s="269"/>
      <c r="F1066" s="269"/>
      <c r="G1066" s="269"/>
      <c r="H1066" s="270"/>
      <c r="I1066" s="197" t="s">
        <v>1524</v>
      </c>
      <c r="J1066" s="226" t="s">
        <v>711</v>
      </c>
      <c r="K1066" s="408">
        <v>530000</v>
      </c>
      <c r="L1066" s="406" t="s">
        <v>166</v>
      </c>
      <c r="M1066" s="226" t="s">
        <v>1525</v>
      </c>
    </row>
    <row r="1067" spans="1:13" s="141" customFormat="1" ht="65.25" customHeight="1" x14ac:dyDescent="0.2">
      <c r="A1067" s="242">
        <v>268</v>
      </c>
      <c r="B1067" s="266" t="s">
        <v>1526</v>
      </c>
      <c r="C1067" s="267" t="s">
        <v>1526</v>
      </c>
      <c r="D1067" s="269" t="s">
        <v>163</v>
      </c>
      <c r="E1067" s="269"/>
      <c r="F1067" s="269"/>
      <c r="G1067" s="269"/>
      <c r="H1067" s="270"/>
      <c r="I1067" s="176" t="s">
        <v>1521</v>
      </c>
      <c r="J1067" s="177" t="s">
        <v>711</v>
      </c>
      <c r="K1067" s="402">
        <v>500000</v>
      </c>
      <c r="L1067" s="406" t="s">
        <v>166</v>
      </c>
      <c r="M1067" s="226" t="s">
        <v>1527</v>
      </c>
    </row>
    <row r="1068" spans="1:13" s="141" customFormat="1" ht="24.75" customHeight="1" x14ac:dyDescent="0.2">
      <c r="A1068" s="172">
        <v>269</v>
      </c>
      <c r="B1068" s="173" t="s">
        <v>1528</v>
      </c>
      <c r="C1068" s="174"/>
      <c r="D1068" s="175" t="s">
        <v>163</v>
      </c>
      <c r="E1068" s="175"/>
      <c r="F1068" s="175"/>
      <c r="G1068" s="175"/>
      <c r="H1068" s="258" t="s">
        <v>164</v>
      </c>
      <c r="I1068" s="228" t="s">
        <v>1529</v>
      </c>
      <c r="J1068" s="202" t="s">
        <v>1469</v>
      </c>
      <c r="K1068" s="373">
        <f>K1070*80%</f>
        <v>424000</v>
      </c>
      <c r="L1068" s="174" t="s">
        <v>166</v>
      </c>
      <c r="M1068" s="180" t="s">
        <v>1530</v>
      </c>
    </row>
    <row r="1069" spans="1:13" s="141" customFormat="1" x14ac:dyDescent="0.2">
      <c r="A1069" s="182"/>
      <c r="B1069" s="183"/>
      <c r="C1069" s="184"/>
      <c r="D1069" s="185"/>
      <c r="E1069" s="185"/>
      <c r="F1069" s="185"/>
      <c r="G1069" s="185"/>
      <c r="H1069" s="260"/>
      <c r="I1069" s="192" t="s">
        <v>1531</v>
      </c>
      <c r="J1069" s="187" t="s">
        <v>711</v>
      </c>
      <c r="K1069" s="204">
        <f>K1070*20%</f>
        <v>106000</v>
      </c>
      <c r="L1069" s="184"/>
      <c r="M1069" s="190"/>
    </row>
    <row r="1070" spans="1:13" s="141" customFormat="1" x14ac:dyDescent="0.2">
      <c r="A1070" s="193"/>
      <c r="B1070" s="194"/>
      <c r="C1070" s="195"/>
      <c r="D1070" s="196"/>
      <c r="E1070" s="196"/>
      <c r="F1070" s="196"/>
      <c r="G1070" s="196"/>
      <c r="H1070" s="262"/>
      <c r="I1070" s="206"/>
      <c r="J1070" s="198"/>
      <c r="K1070" s="374">
        <v>530000</v>
      </c>
      <c r="L1070" s="195"/>
      <c r="M1070" s="201"/>
    </row>
    <row r="1071" spans="1:13" s="141" customFormat="1" ht="23.25" customHeight="1" x14ac:dyDescent="0.2">
      <c r="A1071" s="172">
        <v>270</v>
      </c>
      <c r="B1071" s="173" t="s">
        <v>1532</v>
      </c>
      <c r="C1071" s="174"/>
      <c r="D1071" s="175" t="s">
        <v>163</v>
      </c>
      <c r="E1071" s="175"/>
      <c r="F1071" s="175"/>
      <c r="G1071" s="175"/>
      <c r="H1071" s="258" t="s">
        <v>137</v>
      </c>
      <c r="I1071" s="228" t="s">
        <v>1533</v>
      </c>
      <c r="J1071" s="202" t="s">
        <v>1469</v>
      </c>
      <c r="K1071" s="373">
        <f>K1074*90%</f>
        <v>1260000</v>
      </c>
      <c r="L1071" s="174" t="s">
        <v>166</v>
      </c>
      <c r="M1071" s="180" t="s">
        <v>1534</v>
      </c>
    </row>
    <row r="1072" spans="1:13" s="141" customFormat="1" x14ac:dyDescent="0.2">
      <c r="A1072" s="182"/>
      <c r="B1072" s="183"/>
      <c r="C1072" s="184"/>
      <c r="D1072" s="185"/>
      <c r="E1072" s="185"/>
      <c r="F1072" s="185"/>
      <c r="G1072" s="185"/>
      <c r="H1072" s="260"/>
      <c r="I1072" s="192" t="s">
        <v>1535</v>
      </c>
      <c r="J1072" s="187" t="s">
        <v>711</v>
      </c>
      <c r="K1072" s="204">
        <f>K1074*5%</f>
        <v>70000</v>
      </c>
      <c r="L1072" s="184"/>
      <c r="M1072" s="190"/>
    </row>
    <row r="1073" spans="1:14" s="141" customFormat="1" x14ac:dyDescent="0.2">
      <c r="A1073" s="182"/>
      <c r="B1073" s="183"/>
      <c r="C1073" s="184"/>
      <c r="D1073" s="185"/>
      <c r="E1073" s="185"/>
      <c r="F1073" s="185"/>
      <c r="G1073" s="185"/>
      <c r="H1073" s="260"/>
      <c r="I1073" s="192" t="s">
        <v>1536</v>
      </c>
      <c r="J1073" s="187" t="s">
        <v>711</v>
      </c>
      <c r="K1073" s="204">
        <f>K1074*5%</f>
        <v>70000</v>
      </c>
      <c r="L1073" s="184"/>
      <c r="M1073" s="190"/>
    </row>
    <row r="1074" spans="1:14" s="141" customFormat="1" x14ac:dyDescent="0.2">
      <c r="A1074" s="193"/>
      <c r="B1074" s="194"/>
      <c r="C1074" s="195"/>
      <c r="D1074" s="196"/>
      <c r="E1074" s="196"/>
      <c r="F1074" s="196"/>
      <c r="G1074" s="196"/>
      <c r="H1074" s="262"/>
      <c r="I1074" s="206"/>
      <c r="J1074" s="198"/>
      <c r="K1074" s="374">
        <v>1400000</v>
      </c>
      <c r="L1074" s="195"/>
      <c r="M1074" s="201"/>
    </row>
    <row r="1075" spans="1:14" s="141" customFormat="1" ht="24" customHeight="1" x14ac:dyDescent="0.2">
      <c r="A1075" s="172">
        <v>271</v>
      </c>
      <c r="B1075" s="173" t="s">
        <v>1537</v>
      </c>
      <c r="C1075" s="174"/>
      <c r="D1075" s="175" t="s">
        <v>163</v>
      </c>
      <c r="E1075" s="175"/>
      <c r="F1075" s="175"/>
      <c r="G1075" s="175"/>
      <c r="H1075" s="258"/>
      <c r="I1075" s="228" t="s">
        <v>1538</v>
      </c>
      <c r="J1075" s="202" t="s">
        <v>1469</v>
      </c>
      <c r="K1075" s="373">
        <f>K1079*85%</f>
        <v>459595</v>
      </c>
      <c r="L1075" s="174" t="s">
        <v>166</v>
      </c>
      <c r="M1075" s="180" t="s">
        <v>1539</v>
      </c>
    </row>
    <row r="1076" spans="1:14" s="141" customFormat="1" x14ac:dyDescent="0.2">
      <c r="A1076" s="182"/>
      <c r="B1076" s="183"/>
      <c r="C1076" s="184"/>
      <c r="D1076" s="185"/>
      <c r="E1076" s="185"/>
      <c r="F1076" s="185"/>
      <c r="G1076" s="185"/>
      <c r="H1076" s="260"/>
      <c r="I1076" s="192" t="s">
        <v>1540</v>
      </c>
      <c r="J1076" s="187" t="s">
        <v>367</v>
      </c>
      <c r="K1076" s="204">
        <f>K1079*5%</f>
        <v>27035</v>
      </c>
      <c r="L1076" s="184"/>
      <c r="M1076" s="190"/>
    </row>
    <row r="1077" spans="1:14" s="141" customFormat="1" x14ac:dyDescent="0.2">
      <c r="A1077" s="182"/>
      <c r="B1077" s="183"/>
      <c r="C1077" s="184"/>
      <c r="D1077" s="185"/>
      <c r="E1077" s="185"/>
      <c r="F1077" s="185"/>
      <c r="G1077" s="185"/>
      <c r="H1077" s="260"/>
      <c r="I1077" s="192" t="s">
        <v>1541</v>
      </c>
      <c r="J1077" s="187" t="s">
        <v>274</v>
      </c>
      <c r="K1077" s="204">
        <f>K1079*5%</f>
        <v>27035</v>
      </c>
      <c r="L1077" s="184"/>
      <c r="M1077" s="190"/>
    </row>
    <row r="1078" spans="1:14" s="141" customFormat="1" x14ac:dyDescent="0.2">
      <c r="A1078" s="182"/>
      <c r="B1078" s="183"/>
      <c r="C1078" s="184"/>
      <c r="D1078" s="185"/>
      <c r="E1078" s="185"/>
      <c r="F1078" s="185"/>
      <c r="G1078" s="185"/>
      <c r="H1078" s="260"/>
      <c r="I1078" s="192" t="s">
        <v>1542</v>
      </c>
      <c r="J1078" s="187" t="s">
        <v>274</v>
      </c>
      <c r="K1078" s="204">
        <f>K1079*5%</f>
        <v>27035</v>
      </c>
      <c r="L1078" s="184"/>
      <c r="M1078" s="190"/>
    </row>
    <row r="1079" spans="1:14" s="141" customFormat="1" x14ac:dyDescent="0.2">
      <c r="A1079" s="193"/>
      <c r="B1079" s="194"/>
      <c r="C1079" s="195"/>
      <c r="D1079" s="196"/>
      <c r="E1079" s="196"/>
      <c r="F1079" s="196"/>
      <c r="G1079" s="196"/>
      <c r="H1079" s="262"/>
      <c r="I1079" s="206"/>
      <c r="J1079" s="198"/>
      <c r="K1079" s="374">
        <v>540700</v>
      </c>
      <c r="L1079" s="195"/>
      <c r="M1079" s="201"/>
    </row>
    <row r="1080" spans="1:14" s="141" customFormat="1" ht="25.5" customHeight="1" x14ac:dyDescent="0.2">
      <c r="A1080" s="172">
        <v>272</v>
      </c>
      <c r="B1080" s="173" t="s">
        <v>1543</v>
      </c>
      <c r="C1080" s="174"/>
      <c r="D1080" s="175" t="s">
        <v>163</v>
      </c>
      <c r="E1080" s="175"/>
      <c r="F1080" s="175"/>
      <c r="G1080" s="175"/>
      <c r="H1080" s="258" t="s">
        <v>1011</v>
      </c>
      <c r="I1080" s="228" t="s">
        <v>1544</v>
      </c>
      <c r="J1080" s="202" t="s">
        <v>1469</v>
      </c>
      <c r="K1080" s="373">
        <f>K1084*70%</f>
        <v>518489.99999999994</v>
      </c>
      <c r="L1080" s="174" t="s">
        <v>166</v>
      </c>
      <c r="M1080" s="180" t="s">
        <v>1545</v>
      </c>
    </row>
    <row r="1081" spans="1:14" s="141" customFormat="1" x14ac:dyDescent="0.2">
      <c r="A1081" s="182"/>
      <c r="B1081" s="183"/>
      <c r="C1081" s="184"/>
      <c r="D1081" s="185"/>
      <c r="E1081" s="185"/>
      <c r="F1081" s="185"/>
      <c r="G1081" s="185"/>
      <c r="H1081" s="260"/>
      <c r="I1081" s="192" t="s">
        <v>1546</v>
      </c>
      <c r="J1081" s="187" t="s">
        <v>711</v>
      </c>
      <c r="K1081" s="204">
        <f>K1084*10%</f>
        <v>74070</v>
      </c>
      <c r="L1081" s="184"/>
      <c r="M1081" s="190"/>
    </row>
    <row r="1082" spans="1:14" s="141" customFormat="1" x14ac:dyDescent="0.2">
      <c r="A1082" s="182"/>
      <c r="B1082" s="183"/>
      <c r="C1082" s="184"/>
      <c r="D1082" s="185"/>
      <c r="E1082" s="185"/>
      <c r="F1082" s="185"/>
      <c r="G1082" s="185"/>
      <c r="H1082" s="260"/>
      <c r="I1082" s="192" t="s">
        <v>1547</v>
      </c>
      <c r="J1082" s="187" t="s">
        <v>274</v>
      </c>
      <c r="K1082" s="204">
        <f>K1084*10%</f>
        <v>74070</v>
      </c>
      <c r="L1082" s="184"/>
      <c r="M1082" s="190"/>
    </row>
    <row r="1083" spans="1:14" s="141" customFormat="1" x14ac:dyDescent="0.2">
      <c r="A1083" s="182"/>
      <c r="B1083" s="183"/>
      <c r="C1083" s="184"/>
      <c r="D1083" s="185"/>
      <c r="E1083" s="185"/>
      <c r="F1083" s="185"/>
      <c r="G1083" s="185"/>
      <c r="H1083" s="260"/>
      <c r="I1083" s="192" t="s">
        <v>1548</v>
      </c>
      <c r="J1083" s="187" t="s">
        <v>592</v>
      </c>
      <c r="K1083" s="204">
        <f>K1084*10%</f>
        <v>74070</v>
      </c>
      <c r="L1083" s="184"/>
      <c r="M1083" s="190"/>
      <c r="N1083" s="181"/>
    </row>
    <row r="1084" spans="1:14" s="141" customFormat="1" x14ac:dyDescent="0.2">
      <c r="A1084" s="193"/>
      <c r="B1084" s="194"/>
      <c r="C1084" s="195"/>
      <c r="D1084" s="196"/>
      <c r="E1084" s="196"/>
      <c r="F1084" s="196"/>
      <c r="G1084" s="196"/>
      <c r="H1084" s="262"/>
      <c r="I1084" s="206"/>
      <c r="J1084" s="198"/>
      <c r="K1084" s="374">
        <v>740700</v>
      </c>
      <c r="L1084" s="195"/>
      <c r="M1084" s="201"/>
    </row>
    <row r="1085" spans="1:14" s="141" customFormat="1" ht="23.25" customHeight="1" x14ac:dyDescent="0.2">
      <c r="A1085" s="172">
        <v>273</v>
      </c>
      <c r="B1085" s="173" t="s">
        <v>1549</v>
      </c>
      <c r="C1085" s="174"/>
      <c r="D1085" s="175" t="s">
        <v>163</v>
      </c>
      <c r="E1085" s="175"/>
      <c r="F1085" s="175"/>
      <c r="G1085" s="175"/>
      <c r="H1085" s="258" t="s">
        <v>1391</v>
      </c>
      <c r="I1085" s="228" t="s">
        <v>1550</v>
      </c>
      <c r="J1085" s="202" t="s">
        <v>1469</v>
      </c>
      <c r="K1085" s="373">
        <f>K1090*60%</f>
        <v>390000</v>
      </c>
      <c r="L1085" s="174" t="s">
        <v>166</v>
      </c>
      <c r="M1085" s="180" t="s">
        <v>1551</v>
      </c>
    </row>
    <row r="1086" spans="1:14" s="141" customFormat="1" x14ac:dyDescent="0.2">
      <c r="A1086" s="182"/>
      <c r="B1086" s="183"/>
      <c r="C1086" s="184"/>
      <c r="D1086" s="185"/>
      <c r="E1086" s="185"/>
      <c r="F1086" s="185"/>
      <c r="G1086" s="185"/>
      <c r="H1086" s="260"/>
      <c r="I1086" s="192" t="s">
        <v>1552</v>
      </c>
      <c r="J1086" s="187" t="s">
        <v>711</v>
      </c>
      <c r="K1086" s="204">
        <f>K1090*10%</f>
        <v>65000</v>
      </c>
      <c r="L1086" s="184"/>
      <c r="M1086" s="190"/>
    </row>
    <row r="1087" spans="1:14" s="141" customFormat="1" x14ac:dyDescent="0.2">
      <c r="A1087" s="182"/>
      <c r="B1087" s="183"/>
      <c r="C1087" s="184"/>
      <c r="D1087" s="185"/>
      <c r="E1087" s="185"/>
      <c r="F1087" s="185"/>
      <c r="G1087" s="185"/>
      <c r="H1087" s="260"/>
      <c r="I1087" s="192" t="s">
        <v>1553</v>
      </c>
      <c r="J1087" s="187" t="s">
        <v>711</v>
      </c>
      <c r="K1087" s="204">
        <f>K1090*10%</f>
        <v>65000</v>
      </c>
      <c r="L1087" s="184"/>
      <c r="M1087" s="190"/>
    </row>
    <row r="1088" spans="1:14" s="141" customFormat="1" x14ac:dyDescent="0.2">
      <c r="A1088" s="182"/>
      <c r="B1088" s="183"/>
      <c r="C1088" s="184"/>
      <c r="D1088" s="185"/>
      <c r="E1088" s="185"/>
      <c r="F1088" s="185"/>
      <c r="G1088" s="185"/>
      <c r="H1088" s="260"/>
      <c r="I1088" s="192" t="s">
        <v>1547</v>
      </c>
      <c r="J1088" s="187" t="s">
        <v>274</v>
      </c>
      <c r="K1088" s="204">
        <f>K1090*10%</f>
        <v>65000</v>
      </c>
      <c r="L1088" s="184"/>
      <c r="M1088" s="190"/>
    </row>
    <row r="1089" spans="1:14" s="141" customFormat="1" x14ac:dyDescent="0.2">
      <c r="A1089" s="182"/>
      <c r="B1089" s="183"/>
      <c r="C1089" s="184"/>
      <c r="D1089" s="185"/>
      <c r="E1089" s="185"/>
      <c r="F1089" s="185"/>
      <c r="G1089" s="185"/>
      <c r="H1089" s="260"/>
      <c r="I1089" s="192" t="s">
        <v>1554</v>
      </c>
      <c r="J1089" s="187" t="s">
        <v>711</v>
      </c>
      <c r="K1089" s="204">
        <f>K1090*10%</f>
        <v>65000</v>
      </c>
      <c r="L1089" s="184"/>
      <c r="M1089" s="190"/>
    </row>
    <row r="1090" spans="1:14" s="141" customFormat="1" x14ac:dyDescent="0.2">
      <c r="A1090" s="193"/>
      <c r="B1090" s="194"/>
      <c r="C1090" s="195"/>
      <c r="D1090" s="196"/>
      <c r="E1090" s="196"/>
      <c r="F1090" s="196"/>
      <c r="G1090" s="196"/>
      <c r="H1090" s="262"/>
      <c r="I1090" s="206"/>
      <c r="J1090" s="198"/>
      <c r="K1090" s="374">
        <v>650000</v>
      </c>
      <c r="L1090" s="195"/>
      <c r="M1090" s="201"/>
    </row>
    <row r="1091" spans="1:14" s="141" customFormat="1" ht="24" customHeight="1" x14ac:dyDescent="0.2">
      <c r="A1091" s="172">
        <v>274</v>
      </c>
      <c r="B1091" s="173" t="s">
        <v>1555</v>
      </c>
      <c r="C1091" s="174"/>
      <c r="D1091" s="175" t="s">
        <v>163</v>
      </c>
      <c r="E1091" s="175"/>
      <c r="F1091" s="175"/>
      <c r="G1091" s="175"/>
      <c r="H1091" s="258" t="s">
        <v>1011</v>
      </c>
      <c r="I1091" s="228" t="s">
        <v>1556</v>
      </c>
      <c r="J1091" s="202" t="s">
        <v>1469</v>
      </c>
      <c r="K1091" s="276">
        <f>K1096*50%</f>
        <v>325000</v>
      </c>
      <c r="L1091" s="174" t="s">
        <v>166</v>
      </c>
      <c r="M1091" s="180" t="s">
        <v>1557</v>
      </c>
    </row>
    <row r="1092" spans="1:14" s="141" customFormat="1" x14ac:dyDescent="0.2">
      <c r="A1092" s="182"/>
      <c r="B1092" s="183"/>
      <c r="C1092" s="184"/>
      <c r="D1092" s="185"/>
      <c r="E1092" s="185"/>
      <c r="F1092" s="185"/>
      <c r="G1092" s="185"/>
      <c r="H1092" s="260"/>
      <c r="I1092" s="192" t="s">
        <v>1558</v>
      </c>
      <c r="J1092" s="187" t="s">
        <v>711</v>
      </c>
      <c r="K1092" s="225">
        <f>K1096*20%</f>
        <v>130000</v>
      </c>
      <c r="L1092" s="184"/>
      <c r="M1092" s="190"/>
    </row>
    <row r="1093" spans="1:14" s="141" customFormat="1" x14ac:dyDescent="0.2">
      <c r="A1093" s="182"/>
      <c r="B1093" s="183"/>
      <c r="C1093" s="184"/>
      <c r="D1093" s="185"/>
      <c r="E1093" s="185"/>
      <c r="F1093" s="185"/>
      <c r="G1093" s="185"/>
      <c r="H1093" s="260"/>
      <c r="I1093" s="192" t="s">
        <v>767</v>
      </c>
      <c r="J1093" s="187" t="s">
        <v>274</v>
      </c>
      <c r="K1093" s="225">
        <f>K1096*10%</f>
        <v>65000</v>
      </c>
      <c r="L1093" s="184"/>
      <c r="M1093" s="190"/>
    </row>
    <row r="1094" spans="1:14" s="141" customFormat="1" x14ac:dyDescent="0.2">
      <c r="A1094" s="182"/>
      <c r="B1094" s="183"/>
      <c r="C1094" s="184"/>
      <c r="D1094" s="185"/>
      <c r="E1094" s="185"/>
      <c r="F1094" s="185"/>
      <c r="G1094" s="185"/>
      <c r="H1094" s="260"/>
      <c r="I1094" s="192" t="s">
        <v>1559</v>
      </c>
      <c r="J1094" s="187" t="s">
        <v>117</v>
      </c>
      <c r="K1094" s="225">
        <f>K1096*10%</f>
        <v>65000</v>
      </c>
      <c r="L1094" s="184"/>
      <c r="M1094" s="190"/>
      <c r="N1094" s="181"/>
    </row>
    <row r="1095" spans="1:14" s="141" customFormat="1" x14ac:dyDescent="0.2">
      <c r="A1095" s="182"/>
      <c r="B1095" s="183"/>
      <c r="C1095" s="184"/>
      <c r="D1095" s="185"/>
      <c r="E1095" s="185"/>
      <c r="F1095" s="185"/>
      <c r="G1095" s="185"/>
      <c r="H1095" s="260"/>
      <c r="I1095" s="192" t="s">
        <v>1560</v>
      </c>
      <c r="J1095" s="187" t="s">
        <v>711</v>
      </c>
      <c r="K1095" s="225">
        <f>K1096*10%</f>
        <v>65000</v>
      </c>
      <c r="L1095" s="184"/>
      <c r="M1095" s="190"/>
    </row>
    <row r="1096" spans="1:14" s="141" customFormat="1" x14ac:dyDescent="0.2">
      <c r="A1096" s="193"/>
      <c r="B1096" s="194"/>
      <c r="C1096" s="195"/>
      <c r="D1096" s="196"/>
      <c r="E1096" s="196"/>
      <c r="F1096" s="196"/>
      <c r="G1096" s="196"/>
      <c r="H1096" s="262"/>
      <c r="I1096" s="206"/>
      <c r="J1096" s="198"/>
      <c r="K1096" s="257">
        <v>650000</v>
      </c>
      <c r="L1096" s="195"/>
      <c r="M1096" s="201"/>
    </row>
    <row r="1097" spans="1:14" s="141" customFormat="1" ht="24" customHeight="1" x14ac:dyDescent="0.2">
      <c r="A1097" s="172">
        <v>275</v>
      </c>
      <c r="B1097" s="173" t="s">
        <v>1561</v>
      </c>
      <c r="C1097" s="174"/>
      <c r="D1097" s="175" t="s">
        <v>163</v>
      </c>
      <c r="E1097" s="175"/>
      <c r="F1097" s="175"/>
      <c r="G1097" s="175"/>
      <c r="H1097" s="258" t="s">
        <v>1011</v>
      </c>
      <c r="I1097" s="228" t="s">
        <v>1562</v>
      </c>
      <c r="J1097" s="202" t="s">
        <v>1469</v>
      </c>
      <c r="K1097" s="376">
        <f>K1101*70%</f>
        <v>140000</v>
      </c>
      <c r="L1097" s="174" t="s">
        <v>166</v>
      </c>
      <c r="M1097" s="180" t="s">
        <v>1563</v>
      </c>
    </row>
    <row r="1098" spans="1:14" s="141" customFormat="1" x14ac:dyDescent="0.2">
      <c r="A1098" s="182"/>
      <c r="B1098" s="183"/>
      <c r="C1098" s="184"/>
      <c r="D1098" s="185"/>
      <c r="E1098" s="185"/>
      <c r="F1098" s="185"/>
      <c r="G1098" s="185"/>
      <c r="H1098" s="260"/>
      <c r="I1098" s="192" t="s">
        <v>1552</v>
      </c>
      <c r="J1098" s="187" t="s">
        <v>711</v>
      </c>
      <c r="K1098" s="204">
        <f>K1101*10%</f>
        <v>20000</v>
      </c>
      <c r="L1098" s="184"/>
      <c r="M1098" s="190"/>
    </row>
    <row r="1099" spans="1:14" s="141" customFormat="1" x14ac:dyDescent="0.2">
      <c r="A1099" s="182"/>
      <c r="B1099" s="183"/>
      <c r="C1099" s="184"/>
      <c r="D1099" s="185"/>
      <c r="E1099" s="185"/>
      <c r="F1099" s="185"/>
      <c r="G1099" s="185"/>
      <c r="H1099" s="260"/>
      <c r="I1099" s="192" t="s">
        <v>1564</v>
      </c>
      <c r="J1099" s="187" t="s">
        <v>711</v>
      </c>
      <c r="K1099" s="204">
        <f>K1101*10%</f>
        <v>20000</v>
      </c>
      <c r="L1099" s="184"/>
      <c r="M1099" s="190"/>
    </row>
    <row r="1100" spans="1:14" s="141" customFormat="1" x14ac:dyDescent="0.2">
      <c r="A1100" s="182"/>
      <c r="B1100" s="183"/>
      <c r="C1100" s="184"/>
      <c r="D1100" s="185"/>
      <c r="E1100" s="185"/>
      <c r="F1100" s="185"/>
      <c r="G1100" s="185"/>
      <c r="H1100" s="260"/>
      <c r="I1100" s="192" t="s">
        <v>1565</v>
      </c>
      <c r="J1100" s="187" t="s">
        <v>711</v>
      </c>
      <c r="K1100" s="204">
        <f>K1101*10%</f>
        <v>20000</v>
      </c>
      <c r="L1100" s="184"/>
      <c r="M1100" s="190"/>
    </row>
    <row r="1101" spans="1:14" s="141" customFormat="1" x14ac:dyDescent="0.2">
      <c r="A1101" s="193"/>
      <c r="B1101" s="194"/>
      <c r="C1101" s="195"/>
      <c r="D1101" s="196"/>
      <c r="E1101" s="196"/>
      <c r="F1101" s="196"/>
      <c r="G1101" s="196"/>
      <c r="H1101" s="262"/>
      <c r="I1101" s="206"/>
      <c r="J1101" s="198"/>
      <c r="K1101" s="257">
        <v>200000</v>
      </c>
      <c r="L1101" s="195"/>
      <c r="M1101" s="201"/>
    </row>
    <row r="1102" spans="1:14" s="141" customFormat="1" ht="21" customHeight="1" x14ac:dyDescent="0.2">
      <c r="A1102" s="172">
        <v>276</v>
      </c>
      <c r="B1102" s="173" t="s">
        <v>1566</v>
      </c>
      <c r="C1102" s="174"/>
      <c r="D1102" s="175" t="s">
        <v>163</v>
      </c>
      <c r="E1102" s="175"/>
      <c r="F1102" s="175"/>
      <c r="G1102" s="175"/>
      <c r="H1102" s="258" t="s">
        <v>1391</v>
      </c>
      <c r="I1102" s="228" t="s">
        <v>1567</v>
      </c>
      <c r="J1102" s="202" t="s">
        <v>1469</v>
      </c>
      <c r="K1102" s="376">
        <f>K1108*75%</f>
        <v>69225</v>
      </c>
      <c r="L1102" s="174" t="s">
        <v>166</v>
      </c>
      <c r="M1102" s="180" t="s">
        <v>1568</v>
      </c>
    </row>
    <row r="1103" spans="1:14" s="141" customFormat="1" x14ac:dyDescent="0.2">
      <c r="A1103" s="182"/>
      <c r="B1103" s="183"/>
      <c r="C1103" s="184"/>
      <c r="D1103" s="185"/>
      <c r="E1103" s="185"/>
      <c r="F1103" s="185"/>
      <c r="G1103" s="185"/>
      <c r="H1103" s="260"/>
      <c r="I1103" s="192" t="s">
        <v>737</v>
      </c>
      <c r="J1103" s="187" t="s">
        <v>709</v>
      </c>
      <c r="K1103" s="204">
        <f>K1108*5%</f>
        <v>4615</v>
      </c>
      <c r="L1103" s="184"/>
      <c r="M1103" s="190"/>
    </row>
    <row r="1104" spans="1:14" s="141" customFormat="1" x14ac:dyDescent="0.2">
      <c r="A1104" s="182"/>
      <c r="B1104" s="183"/>
      <c r="C1104" s="184"/>
      <c r="D1104" s="185"/>
      <c r="E1104" s="185"/>
      <c r="F1104" s="185"/>
      <c r="G1104" s="185"/>
      <c r="H1104" s="260"/>
      <c r="I1104" s="192" t="s">
        <v>1569</v>
      </c>
      <c r="J1104" s="187" t="s">
        <v>711</v>
      </c>
      <c r="K1104" s="204">
        <f>K1108*5%</f>
        <v>4615</v>
      </c>
      <c r="L1104" s="184"/>
      <c r="M1104" s="190"/>
    </row>
    <row r="1105" spans="1:14" s="141" customFormat="1" x14ac:dyDescent="0.2">
      <c r="A1105" s="182"/>
      <c r="B1105" s="183"/>
      <c r="C1105" s="184"/>
      <c r="D1105" s="185"/>
      <c r="E1105" s="185"/>
      <c r="F1105" s="185"/>
      <c r="G1105" s="185"/>
      <c r="H1105" s="260"/>
      <c r="I1105" s="192" t="s">
        <v>1570</v>
      </c>
      <c r="J1105" s="187" t="s">
        <v>711</v>
      </c>
      <c r="K1105" s="204">
        <f>K1108*5%</f>
        <v>4615</v>
      </c>
      <c r="L1105" s="184"/>
      <c r="M1105" s="190"/>
    </row>
    <row r="1106" spans="1:14" s="141" customFormat="1" x14ac:dyDescent="0.2">
      <c r="A1106" s="182"/>
      <c r="B1106" s="183"/>
      <c r="C1106" s="184"/>
      <c r="D1106" s="185"/>
      <c r="E1106" s="185"/>
      <c r="F1106" s="185"/>
      <c r="G1106" s="185"/>
      <c r="H1106" s="260"/>
      <c r="I1106" s="192" t="s">
        <v>1571</v>
      </c>
      <c r="J1106" s="187" t="s">
        <v>117</v>
      </c>
      <c r="K1106" s="204">
        <f>K1108*5%</f>
        <v>4615</v>
      </c>
      <c r="L1106" s="184"/>
      <c r="M1106" s="190"/>
      <c r="N1106" s="181"/>
    </row>
    <row r="1107" spans="1:14" s="141" customFormat="1" x14ac:dyDescent="0.2">
      <c r="A1107" s="182"/>
      <c r="B1107" s="183"/>
      <c r="C1107" s="184"/>
      <c r="D1107" s="185"/>
      <c r="E1107" s="185"/>
      <c r="F1107" s="185"/>
      <c r="G1107" s="185"/>
      <c r="H1107" s="260"/>
      <c r="I1107" s="192" t="s">
        <v>1572</v>
      </c>
      <c r="J1107" s="187" t="s">
        <v>711</v>
      </c>
      <c r="K1107" s="204">
        <f>K1113*5%</f>
        <v>4615</v>
      </c>
      <c r="L1107" s="184"/>
      <c r="M1107" s="190"/>
    </row>
    <row r="1108" spans="1:14" s="141" customFormat="1" x14ac:dyDescent="0.2">
      <c r="A1108" s="193"/>
      <c r="B1108" s="194"/>
      <c r="C1108" s="195"/>
      <c r="D1108" s="196"/>
      <c r="E1108" s="196"/>
      <c r="F1108" s="196"/>
      <c r="G1108" s="196"/>
      <c r="H1108" s="262"/>
      <c r="I1108" s="206"/>
      <c r="J1108" s="198"/>
      <c r="K1108" s="203">
        <v>92300</v>
      </c>
      <c r="L1108" s="195"/>
      <c r="M1108" s="201"/>
    </row>
    <row r="1109" spans="1:14" s="141" customFormat="1" ht="23.25" customHeight="1" x14ac:dyDescent="0.2">
      <c r="A1109" s="172">
        <v>277</v>
      </c>
      <c r="B1109" s="173" t="s">
        <v>1573</v>
      </c>
      <c r="C1109" s="174"/>
      <c r="D1109" s="175" t="s">
        <v>163</v>
      </c>
      <c r="E1109" s="175"/>
      <c r="F1109" s="175"/>
      <c r="G1109" s="175"/>
      <c r="H1109" s="258" t="s">
        <v>108</v>
      </c>
      <c r="I1109" s="228" t="s">
        <v>1574</v>
      </c>
      <c r="J1109" s="202" t="s">
        <v>1469</v>
      </c>
      <c r="K1109" s="373">
        <f>K1113*60%</f>
        <v>55380</v>
      </c>
      <c r="L1109" s="174" t="s">
        <v>166</v>
      </c>
      <c r="M1109" s="180" t="s">
        <v>1575</v>
      </c>
    </row>
    <row r="1110" spans="1:14" s="141" customFormat="1" x14ac:dyDescent="0.2">
      <c r="A1110" s="182"/>
      <c r="B1110" s="183"/>
      <c r="C1110" s="184"/>
      <c r="D1110" s="185"/>
      <c r="E1110" s="185"/>
      <c r="F1110" s="185"/>
      <c r="G1110" s="185"/>
      <c r="H1110" s="260"/>
      <c r="I1110" s="192" t="s">
        <v>1576</v>
      </c>
      <c r="J1110" s="187" t="s">
        <v>592</v>
      </c>
      <c r="K1110" s="204">
        <f>K1113*25%</f>
        <v>23075</v>
      </c>
      <c r="L1110" s="184"/>
      <c r="M1110" s="190"/>
    </row>
    <row r="1111" spans="1:14" s="141" customFormat="1" x14ac:dyDescent="0.2">
      <c r="A1111" s="182"/>
      <c r="B1111" s="183"/>
      <c r="C1111" s="184"/>
      <c r="D1111" s="185"/>
      <c r="E1111" s="185"/>
      <c r="F1111" s="185"/>
      <c r="G1111" s="185"/>
      <c r="H1111" s="260"/>
      <c r="I1111" s="192" t="s">
        <v>1577</v>
      </c>
      <c r="J1111" s="187" t="s">
        <v>711</v>
      </c>
      <c r="K1111" s="204">
        <f>K1113*10%</f>
        <v>9230</v>
      </c>
      <c r="L1111" s="184"/>
      <c r="M1111" s="190"/>
    </row>
    <row r="1112" spans="1:14" s="141" customFormat="1" x14ac:dyDescent="0.2">
      <c r="A1112" s="182"/>
      <c r="B1112" s="183"/>
      <c r="C1112" s="184"/>
      <c r="D1112" s="185"/>
      <c r="E1112" s="185"/>
      <c r="F1112" s="185"/>
      <c r="G1112" s="185"/>
      <c r="H1112" s="260"/>
      <c r="I1112" s="192" t="s">
        <v>793</v>
      </c>
      <c r="J1112" s="187" t="s">
        <v>711</v>
      </c>
      <c r="K1112" s="204">
        <f>K1113*5%</f>
        <v>4615</v>
      </c>
      <c r="L1112" s="184"/>
      <c r="M1112" s="190"/>
    </row>
    <row r="1113" spans="1:14" s="141" customFormat="1" x14ac:dyDescent="0.2">
      <c r="A1113" s="193"/>
      <c r="B1113" s="194"/>
      <c r="C1113" s="195"/>
      <c r="D1113" s="196"/>
      <c r="E1113" s="196"/>
      <c r="F1113" s="196"/>
      <c r="G1113" s="196"/>
      <c r="H1113" s="262"/>
      <c r="I1113" s="206"/>
      <c r="J1113" s="198"/>
      <c r="K1113" s="374">
        <v>92300</v>
      </c>
      <c r="L1113" s="195"/>
      <c r="M1113" s="201"/>
    </row>
    <row r="1114" spans="1:14" s="141" customFormat="1" ht="25.5" customHeight="1" x14ac:dyDescent="0.2">
      <c r="A1114" s="172">
        <v>278</v>
      </c>
      <c r="B1114" s="173" t="s">
        <v>1578</v>
      </c>
      <c r="C1114" s="174"/>
      <c r="D1114" s="175" t="s">
        <v>163</v>
      </c>
      <c r="E1114" s="175"/>
      <c r="F1114" s="175"/>
      <c r="G1114" s="175"/>
      <c r="H1114" s="175"/>
      <c r="I1114" s="176" t="s">
        <v>1579</v>
      </c>
      <c r="J1114" s="259" t="s">
        <v>1469</v>
      </c>
      <c r="K1114" s="371">
        <f>K1121*70%</f>
        <v>64609.999999999993</v>
      </c>
      <c r="L1114" s="174" t="s">
        <v>166</v>
      </c>
      <c r="M1114" s="180" t="s">
        <v>1580</v>
      </c>
    </row>
    <row r="1115" spans="1:14" s="141" customFormat="1" x14ac:dyDescent="0.2">
      <c r="A1115" s="182"/>
      <c r="B1115" s="183"/>
      <c r="C1115" s="184"/>
      <c r="D1115" s="185"/>
      <c r="E1115" s="185"/>
      <c r="F1115" s="185"/>
      <c r="G1115" s="185"/>
      <c r="H1115" s="185"/>
      <c r="I1115" s="186" t="s">
        <v>792</v>
      </c>
      <c r="J1115" s="177" t="s">
        <v>711</v>
      </c>
      <c r="K1115" s="204">
        <f>K1121*5%</f>
        <v>4615</v>
      </c>
      <c r="L1115" s="184"/>
      <c r="M1115" s="190"/>
    </row>
    <row r="1116" spans="1:14" s="141" customFormat="1" x14ac:dyDescent="0.2">
      <c r="A1116" s="182"/>
      <c r="B1116" s="183"/>
      <c r="C1116" s="184"/>
      <c r="D1116" s="185"/>
      <c r="E1116" s="185"/>
      <c r="F1116" s="185"/>
      <c r="G1116" s="185"/>
      <c r="H1116" s="185"/>
      <c r="I1116" s="186" t="s">
        <v>1581</v>
      </c>
      <c r="J1116" s="191" t="s">
        <v>711</v>
      </c>
      <c r="K1116" s="204">
        <f>K1121*5%</f>
        <v>4615</v>
      </c>
      <c r="L1116" s="184"/>
      <c r="M1116" s="190"/>
    </row>
    <row r="1117" spans="1:14" s="141" customFormat="1" x14ac:dyDescent="0.2">
      <c r="A1117" s="182"/>
      <c r="B1117" s="183"/>
      <c r="C1117" s="184"/>
      <c r="D1117" s="185"/>
      <c r="E1117" s="185"/>
      <c r="F1117" s="185"/>
      <c r="G1117" s="185"/>
      <c r="H1117" s="185"/>
      <c r="I1117" s="192" t="s">
        <v>1582</v>
      </c>
      <c r="J1117" s="191" t="s">
        <v>711</v>
      </c>
      <c r="K1117" s="204">
        <f>K1121*5%</f>
        <v>4615</v>
      </c>
      <c r="L1117" s="184"/>
      <c r="M1117" s="190"/>
    </row>
    <row r="1118" spans="1:14" s="141" customFormat="1" x14ac:dyDescent="0.2">
      <c r="A1118" s="182"/>
      <c r="B1118" s="183"/>
      <c r="C1118" s="184"/>
      <c r="D1118" s="185"/>
      <c r="E1118" s="185"/>
      <c r="F1118" s="185"/>
      <c r="G1118" s="185"/>
      <c r="H1118" s="185"/>
      <c r="I1118" s="192" t="s">
        <v>1570</v>
      </c>
      <c r="J1118" s="187" t="s">
        <v>711</v>
      </c>
      <c r="K1118" s="204">
        <f>K1121*5%</f>
        <v>4615</v>
      </c>
      <c r="L1118" s="184"/>
      <c r="M1118" s="190"/>
    </row>
    <row r="1119" spans="1:14" s="141" customFormat="1" x14ac:dyDescent="0.2">
      <c r="A1119" s="182"/>
      <c r="B1119" s="183"/>
      <c r="C1119" s="184"/>
      <c r="D1119" s="185"/>
      <c r="E1119" s="185"/>
      <c r="F1119" s="185"/>
      <c r="G1119" s="185"/>
      <c r="H1119" s="185"/>
      <c r="I1119" s="192" t="s">
        <v>1572</v>
      </c>
      <c r="J1119" s="187" t="s">
        <v>711</v>
      </c>
      <c r="K1119" s="204">
        <f>K1121*5%</f>
        <v>4615</v>
      </c>
      <c r="L1119" s="184"/>
      <c r="M1119" s="190"/>
    </row>
    <row r="1120" spans="1:14" s="141" customFormat="1" x14ac:dyDescent="0.2">
      <c r="A1120" s="182"/>
      <c r="B1120" s="183"/>
      <c r="C1120" s="184"/>
      <c r="D1120" s="185"/>
      <c r="E1120" s="185"/>
      <c r="F1120" s="185"/>
      <c r="G1120" s="185"/>
      <c r="H1120" s="185"/>
      <c r="I1120" s="176" t="s">
        <v>1488</v>
      </c>
      <c r="J1120" s="187" t="s">
        <v>373</v>
      </c>
      <c r="K1120" s="204">
        <f>K1121*5%</f>
        <v>4615</v>
      </c>
      <c r="L1120" s="184"/>
      <c r="M1120" s="190"/>
    </row>
    <row r="1121" spans="1:13" s="141" customFormat="1" x14ac:dyDescent="0.2">
      <c r="A1121" s="193"/>
      <c r="B1121" s="194"/>
      <c r="C1121" s="195"/>
      <c r="D1121" s="196"/>
      <c r="E1121" s="196"/>
      <c r="F1121" s="196"/>
      <c r="G1121" s="196"/>
      <c r="H1121" s="196"/>
      <c r="I1121" s="206"/>
      <c r="J1121" s="226"/>
      <c r="K1121" s="207">
        <v>92300</v>
      </c>
      <c r="L1121" s="195"/>
      <c r="M1121" s="201"/>
    </row>
    <row r="1122" spans="1:13" s="141" customFormat="1" ht="24.75" customHeight="1" x14ac:dyDescent="0.2">
      <c r="A1122" s="172">
        <v>279</v>
      </c>
      <c r="B1122" s="173" t="s">
        <v>1583</v>
      </c>
      <c r="C1122" s="174"/>
      <c r="D1122" s="175" t="s">
        <v>163</v>
      </c>
      <c r="E1122" s="175"/>
      <c r="F1122" s="175"/>
      <c r="G1122" s="175"/>
      <c r="H1122" s="175"/>
      <c r="I1122" s="176" t="s">
        <v>1584</v>
      </c>
      <c r="J1122" s="177" t="s">
        <v>1469</v>
      </c>
      <c r="K1122" s="402">
        <f>K1129*70%</f>
        <v>33600</v>
      </c>
      <c r="L1122" s="174" t="s">
        <v>166</v>
      </c>
      <c r="M1122" s="180" t="s">
        <v>1585</v>
      </c>
    </row>
    <row r="1123" spans="1:13" s="141" customFormat="1" x14ac:dyDescent="0.2">
      <c r="A1123" s="182"/>
      <c r="B1123" s="183"/>
      <c r="C1123" s="184"/>
      <c r="D1123" s="185"/>
      <c r="E1123" s="185"/>
      <c r="F1123" s="185"/>
      <c r="G1123" s="185"/>
      <c r="H1123" s="185"/>
      <c r="I1123" s="186" t="s">
        <v>792</v>
      </c>
      <c r="J1123" s="191" t="s">
        <v>711</v>
      </c>
      <c r="K1123" s="204">
        <f>K1129*5%</f>
        <v>2400</v>
      </c>
      <c r="L1123" s="184"/>
      <c r="M1123" s="190"/>
    </row>
    <row r="1124" spans="1:13" s="141" customFormat="1" x14ac:dyDescent="0.2">
      <c r="A1124" s="182"/>
      <c r="B1124" s="183"/>
      <c r="C1124" s="184"/>
      <c r="D1124" s="185"/>
      <c r="E1124" s="185"/>
      <c r="F1124" s="185"/>
      <c r="G1124" s="185"/>
      <c r="H1124" s="185"/>
      <c r="I1124" s="186" t="s">
        <v>1586</v>
      </c>
      <c r="J1124" s="191" t="s">
        <v>274</v>
      </c>
      <c r="K1124" s="376">
        <f>K1129*5%</f>
        <v>2400</v>
      </c>
      <c r="L1124" s="184"/>
      <c r="M1124" s="190"/>
    </row>
    <row r="1125" spans="1:13" s="141" customFormat="1" x14ac:dyDescent="0.2">
      <c r="A1125" s="182"/>
      <c r="B1125" s="183"/>
      <c r="C1125" s="184"/>
      <c r="D1125" s="185"/>
      <c r="E1125" s="185"/>
      <c r="F1125" s="185"/>
      <c r="G1125" s="185"/>
      <c r="H1125" s="185"/>
      <c r="I1125" s="186" t="s">
        <v>794</v>
      </c>
      <c r="J1125" s="191" t="s">
        <v>711</v>
      </c>
      <c r="K1125" s="376">
        <f>K1129*5%</f>
        <v>2400</v>
      </c>
      <c r="L1125" s="184"/>
      <c r="M1125" s="190"/>
    </row>
    <row r="1126" spans="1:13" s="141" customFormat="1" x14ac:dyDescent="0.2">
      <c r="A1126" s="182"/>
      <c r="B1126" s="183"/>
      <c r="C1126" s="184"/>
      <c r="D1126" s="185"/>
      <c r="E1126" s="185"/>
      <c r="F1126" s="185"/>
      <c r="G1126" s="185"/>
      <c r="H1126" s="185"/>
      <c r="I1126" s="186" t="s">
        <v>1587</v>
      </c>
      <c r="J1126" s="191" t="s">
        <v>711</v>
      </c>
      <c r="K1126" s="371">
        <f>K1129*5%</f>
        <v>2400</v>
      </c>
      <c r="L1126" s="184"/>
      <c r="M1126" s="190"/>
    </row>
    <row r="1127" spans="1:13" s="141" customFormat="1" x14ac:dyDescent="0.2">
      <c r="A1127" s="182"/>
      <c r="B1127" s="183"/>
      <c r="C1127" s="184"/>
      <c r="D1127" s="185"/>
      <c r="E1127" s="185"/>
      <c r="F1127" s="185"/>
      <c r="G1127" s="185"/>
      <c r="H1127" s="185"/>
      <c r="I1127" s="186" t="s">
        <v>1582</v>
      </c>
      <c r="J1127" s="191" t="s">
        <v>711</v>
      </c>
      <c r="K1127" s="204">
        <f>K1129*5%</f>
        <v>2400</v>
      </c>
      <c r="L1127" s="184"/>
      <c r="M1127" s="190"/>
    </row>
    <row r="1128" spans="1:13" s="141" customFormat="1" x14ac:dyDescent="0.2">
      <c r="A1128" s="182"/>
      <c r="B1128" s="183"/>
      <c r="C1128" s="184"/>
      <c r="D1128" s="185"/>
      <c r="E1128" s="185"/>
      <c r="F1128" s="185"/>
      <c r="G1128" s="185"/>
      <c r="H1128" s="185"/>
      <c r="I1128" s="186" t="s">
        <v>1588</v>
      </c>
      <c r="J1128" s="187" t="s">
        <v>711</v>
      </c>
      <c r="K1128" s="204">
        <f>K1129*5%</f>
        <v>2400</v>
      </c>
      <c r="L1128" s="184"/>
      <c r="M1128" s="190"/>
    </row>
    <row r="1129" spans="1:13" s="141" customFormat="1" x14ac:dyDescent="0.2">
      <c r="A1129" s="193"/>
      <c r="B1129" s="194"/>
      <c r="C1129" s="195"/>
      <c r="D1129" s="196"/>
      <c r="E1129" s="196"/>
      <c r="F1129" s="196"/>
      <c r="G1129" s="196"/>
      <c r="H1129" s="196"/>
      <c r="I1129" s="206"/>
      <c r="J1129" s="198"/>
      <c r="K1129" s="207">
        <v>48000</v>
      </c>
      <c r="L1129" s="195"/>
      <c r="M1129" s="201"/>
    </row>
    <row r="1130" spans="1:13" s="141" customFormat="1" ht="21" customHeight="1" x14ac:dyDescent="0.2">
      <c r="A1130" s="172">
        <v>280</v>
      </c>
      <c r="B1130" s="173" t="s">
        <v>1589</v>
      </c>
      <c r="C1130" s="174"/>
      <c r="D1130" s="175" t="s">
        <v>163</v>
      </c>
      <c r="E1130" s="175"/>
      <c r="F1130" s="175"/>
      <c r="G1130" s="175"/>
      <c r="H1130" s="175" t="s">
        <v>137</v>
      </c>
      <c r="I1130" s="176" t="s">
        <v>1590</v>
      </c>
      <c r="J1130" s="259" t="s">
        <v>1469</v>
      </c>
      <c r="K1130" s="402">
        <f>K1133*50%</f>
        <v>70642.5</v>
      </c>
      <c r="L1130" s="174" t="s">
        <v>166</v>
      </c>
      <c r="M1130" s="180" t="s">
        <v>1591</v>
      </c>
    </row>
    <row r="1131" spans="1:13" s="141" customFormat="1" x14ac:dyDescent="0.2">
      <c r="A1131" s="182"/>
      <c r="B1131" s="183"/>
      <c r="C1131" s="184"/>
      <c r="D1131" s="185"/>
      <c r="E1131" s="185"/>
      <c r="F1131" s="185"/>
      <c r="G1131" s="185"/>
      <c r="H1131" s="185"/>
      <c r="I1131" s="186" t="s">
        <v>1592</v>
      </c>
      <c r="J1131" s="434" t="s">
        <v>711</v>
      </c>
      <c r="K1131" s="232">
        <f>K1133*40%</f>
        <v>56514</v>
      </c>
      <c r="L1131" s="184"/>
      <c r="M1131" s="190"/>
    </row>
    <row r="1132" spans="1:13" s="141" customFormat="1" x14ac:dyDescent="0.2">
      <c r="A1132" s="182"/>
      <c r="B1132" s="183"/>
      <c r="C1132" s="184"/>
      <c r="D1132" s="185"/>
      <c r="E1132" s="185"/>
      <c r="F1132" s="185"/>
      <c r="G1132" s="185"/>
      <c r="H1132" s="185"/>
      <c r="I1132" s="192" t="s">
        <v>1593</v>
      </c>
      <c r="J1132" s="434" t="s">
        <v>711</v>
      </c>
      <c r="K1132" s="220">
        <f>K1133*10%</f>
        <v>14128.5</v>
      </c>
      <c r="L1132" s="184"/>
      <c r="M1132" s="190"/>
    </row>
    <row r="1133" spans="1:13" s="141" customFormat="1" x14ac:dyDescent="0.2">
      <c r="A1133" s="193"/>
      <c r="B1133" s="194"/>
      <c r="C1133" s="195"/>
      <c r="D1133" s="196"/>
      <c r="E1133" s="196"/>
      <c r="F1133" s="196"/>
      <c r="G1133" s="196"/>
      <c r="H1133" s="196"/>
      <c r="I1133" s="197"/>
      <c r="J1133" s="435"/>
      <c r="K1133" s="436">
        <v>141285</v>
      </c>
      <c r="L1133" s="195"/>
      <c r="M1133" s="201"/>
    </row>
    <row r="1134" spans="1:13" s="141" customFormat="1" ht="23.25" customHeight="1" x14ac:dyDescent="0.2">
      <c r="A1134" s="172">
        <v>281</v>
      </c>
      <c r="B1134" s="173" t="s">
        <v>1594</v>
      </c>
      <c r="C1134" s="174"/>
      <c r="D1134" s="175" t="s">
        <v>163</v>
      </c>
      <c r="E1134" s="175"/>
      <c r="F1134" s="175"/>
      <c r="G1134" s="175"/>
      <c r="H1134" s="175"/>
      <c r="I1134" s="228" t="s">
        <v>1595</v>
      </c>
      <c r="J1134" s="177" t="s">
        <v>711</v>
      </c>
      <c r="K1134" s="219">
        <f>320095*80%</f>
        <v>256076</v>
      </c>
      <c r="L1134" s="174" t="s">
        <v>166</v>
      </c>
      <c r="M1134" s="180" t="s">
        <v>1596</v>
      </c>
    </row>
    <row r="1135" spans="1:13" s="141" customFormat="1" x14ac:dyDescent="0.2">
      <c r="A1135" s="182"/>
      <c r="B1135" s="183"/>
      <c r="C1135" s="184"/>
      <c r="D1135" s="185"/>
      <c r="E1135" s="185"/>
      <c r="F1135" s="185"/>
      <c r="G1135" s="185"/>
      <c r="H1135" s="185"/>
      <c r="I1135" s="192" t="s">
        <v>1553</v>
      </c>
      <c r="J1135" s="212" t="s">
        <v>711</v>
      </c>
      <c r="K1135" s="220">
        <f>320095*10%</f>
        <v>32009.5</v>
      </c>
      <c r="L1135" s="184"/>
      <c r="M1135" s="190"/>
    </row>
    <row r="1136" spans="1:13" s="141" customFormat="1" x14ac:dyDescent="0.2">
      <c r="A1136" s="182"/>
      <c r="B1136" s="183"/>
      <c r="C1136" s="184"/>
      <c r="D1136" s="185"/>
      <c r="E1136" s="185"/>
      <c r="F1136" s="185"/>
      <c r="G1136" s="185"/>
      <c r="H1136" s="185"/>
      <c r="I1136" s="192" t="s">
        <v>1597</v>
      </c>
      <c r="J1136" s="212" t="s">
        <v>592</v>
      </c>
      <c r="K1136" s="210">
        <f>320095*10%</f>
        <v>32009.5</v>
      </c>
      <c r="L1136" s="184"/>
      <c r="M1136" s="190"/>
    </row>
    <row r="1137" spans="1:13" s="141" customFormat="1" x14ac:dyDescent="0.2">
      <c r="A1137" s="193"/>
      <c r="B1137" s="194"/>
      <c r="C1137" s="195"/>
      <c r="D1137" s="196"/>
      <c r="E1137" s="196"/>
      <c r="F1137" s="196"/>
      <c r="G1137" s="196"/>
      <c r="H1137" s="196"/>
      <c r="I1137" s="197"/>
      <c r="J1137" s="214"/>
      <c r="K1137" s="221">
        <f>SUBTOTAL(9,K1056:K1059)</f>
        <v>13500</v>
      </c>
      <c r="L1137" s="195"/>
      <c r="M1137" s="201"/>
    </row>
    <row r="1138" spans="1:13" s="141" customFormat="1" ht="24.75" customHeight="1" x14ac:dyDescent="0.2">
      <c r="A1138" s="172">
        <v>282</v>
      </c>
      <c r="B1138" s="173" t="s">
        <v>1598</v>
      </c>
      <c r="C1138" s="174"/>
      <c r="D1138" s="175" t="s">
        <v>163</v>
      </c>
      <c r="E1138" s="175"/>
      <c r="F1138" s="175"/>
      <c r="G1138" s="175"/>
      <c r="H1138" s="175"/>
      <c r="I1138" s="228" t="s">
        <v>1599</v>
      </c>
      <c r="J1138" s="208" t="s">
        <v>1469</v>
      </c>
      <c r="K1138" s="437">
        <f>227930*50%</f>
        <v>113965</v>
      </c>
      <c r="L1138" s="180" t="s">
        <v>166</v>
      </c>
      <c r="M1138" s="180" t="s">
        <v>1600</v>
      </c>
    </row>
    <row r="1139" spans="1:13" s="141" customFormat="1" ht="25.5" customHeight="1" x14ac:dyDescent="0.2">
      <c r="A1139" s="182"/>
      <c r="B1139" s="183"/>
      <c r="C1139" s="184"/>
      <c r="D1139" s="185"/>
      <c r="E1139" s="185"/>
      <c r="F1139" s="185"/>
      <c r="G1139" s="185"/>
      <c r="H1139" s="185"/>
      <c r="I1139" s="192" t="s">
        <v>1601</v>
      </c>
      <c r="J1139" s="223" t="s">
        <v>1469</v>
      </c>
      <c r="K1139" s="438">
        <f>227930*30%</f>
        <v>68379</v>
      </c>
      <c r="L1139" s="190"/>
      <c r="M1139" s="190"/>
    </row>
    <row r="1140" spans="1:13" s="141" customFormat="1" ht="24" customHeight="1" x14ac:dyDescent="0.2">
      <c r="A1140" s="182"/>
      <c r="B1140" s="183"/>
      <c r="C1140" s="184"/>
      <c r="D1140" s="185"/>
      <c r="E1140" s="185"/>
      <c r="F1140" s="185"/>
      <c r="G1140" s="185"/>
      <c r="H1140" s="185"/>
      <c r="I1140" s="192" t="s">
        <v>1602</v>
      </c>
      <c r="J1140" s="223" t="s">
        <v>1508</v>
      </c>
      <c r="K1140" s="438">
        <f>227930*10%</f>
        <v>22793</v>
      </c>
      <c r="L1140" s="190"/>
      <c r="M1140" s="190"/>
    </row>
    <row r="1141" spans="1:13" s="141" customFormat="1" x14ac:dyDescent="0.2">
      <c r="A1141" s="182"/>
      <c r="B1141" s="183"/>
      <c r="C1141" s="184"/>
      <c r="D1141" s="185"/>
      <c r="E1141" s="185"/>
      <c r="F1141" s="185"/>
      <c r="G1141" s="185"/>
      <c r="H1141" s="185"/>
      <c r="I1141" s="192" t="s">
        <v>1565</v>
      </c>
      <c r="J1141" s="223" t="s">
        <v>711</v>
      </c>
      <c r="K1141" s="438">
        <f>227930*10%</f>
        <v>22793</v>
      </c>
      <c r="L1141" s="190"/>
      <c r="M1141" s="190"/>
    </row>
    <row r="1142" spans="1:13" s="141" customFormat="1" x14ac:dyDescent="0.2">
      <c r="A1142" s="193"/>
      <c r="B1142" s="194"/>
      <c r="C1142" s="195"/>
      <c r="D1142" s="196"/>
      <c r="E1142" s="196"/>
      <c r="F1142" s="196"/>
      <c r="G1142" s="196"/>
      <c r="H1142" s="196"/>
      <c r="I1142" s="206"/>
      <c r="J1142" s="214"/>
      <c r="K1142" s="439">
        <f>SUM(K1138:K1141)</f>
        <v>227930</v>
      </c>
      <c r="L1142" s="201"/>
      <c r="M1142" s="201"/>
    </row>
    <row r="1143" spans="1:13" s="141" customFormat="1" ht="84" customHeight="1" x14ac:dyDescent="0.2">
      <c r="A1143" s="242">
        <v>283</v>
      </c>
      <c r="B1143" s="266" t="s">
        <v>1603</v>
      </c>
      <c r="C1143" s="267"/>
      <c r="D1143" s="269" t="s">
        <v>163</v>
      </c>
      <c r="E1143" s="269"/>
      <c r="F1143" s="269"/>
      <c r="G1143" s="269"/>
      <c r="H1143" s="270"/>
      <c r="I1143" s="197" t="s">
        <v>1604</v>
      </c>
      <c r="J1143" s="226" t="s">
        <v>711</v>
      </c>
      <c r="K1143" s="271">
        <v>76590</v>
      </c>
      <c r="L1143" s="290" t="s">
        <v>166</v>
      </c>
      <c r="M1143" s="226" t="s">
        <v>1605</v>
      </c>
    </row>
    <row r="1144" spans="1:13" s="141" customFormat="1" ht="21.75" customHeight="1" x14ac:dyDescent="0.2">
      <c r="A1144" s="172">
        <v>284</v>
      </c>
      <c r="B1144" s="173" t="s">
        <v>1606</v>
      </c>
      <c r="C1144" s="174"/>
      <c r="D1144" s="175" t="s">
        <v>163</v>
      </c>
      <c r="E1144" s="175"/>
      <c r="F1144" s="175"/>
      <c r="G1144" s="175"/>
      <c r="H1144" s="175"/>
      <c r="I1144" s="228" t="s">
        <v>1607</v>
      </c>
      <c r="J1144" s="208" t="s">
        <v>1608</v>
      </c>
      <c r="K1144" s="437">
        <f>100000*50%</f>
        <v>50000</v>
      </c>
      <c r="L1144" s="180" t="s">
        <v>166</v>
      </c>
      <c r="M1144" s="180" t="s">
        <v>1609</v>
      </c>
    </row>
    <row r="1145" spans="1:13" s="141" customFormat="1" x14ac:dyDescent="0.2">
      <c r="A1145" s="182"/>
      <c r="B1145" s="183"/>
      <c r="C1145" s="184"/>
      <c r="D1145" s="185"/>
      <c r="E1145" s="185"/>
      <c r="F1145" s="185"/>
      <c r="G1145" s="185"/>
      <c r="H1145" s="185"/>
      <c r="I1145" s="192" t="s">
        <v>1610</v>
      </c>
      <c r="J1145" s="223" t="s">
        <v>711</v>
      </c>
      <c r="K1145" s="438">
        <f>100000*10%</f>
        <v>10000</v>
      </c>
      <c r="L1145" s="190"/>
      <c r="M1145" s="190"/>
    </row>
    <row r="1146" spans="1:13" s="141" customFormat="1" x14ac:dyDescent="0.2">
      <c r="A1146" s="182"/>
      <c r="B1146" s="183"/>
      <c r="C1146" s="184"/>
      <c r="D1146" s="185"/>
      <c r="E1146" s="185"/>
      <c r="F1146" s="185"/>
      <c r="G1146" s="185"/>
      <c r="H1146" s="185"/>
      <c r="I1146" s="192" t="s">
        <v>782</v>
      </c>
      <c r="J1146" s="223" t="s">
        <v>711</v>
      </c>
      <c r="K1146" s="438">
        <f>100000*10%</f>
        <v>10000</v>
      </c>
      <c r="L1146" s="190"/>
      <c r="M1146" s="190"/>
    </row>
    <row r="1147" spans="1:13" s="141" customFormat="1" x14ac:dyDescent="0.2">
      <c r="A1147" s="182"/>
      <c r="B1147" s="183"/>
      <c r="C1147" s="184"/>
      <c r="D1147" s="185"/>
      <c r="E1147" s="185"/>
      <c r="F1147" s="185"/>
      <c r="G1147" s="185"/>
      <c r="H1147" s="185"/>
      <c r="I1147" s="192" t="s">
        <v>1611</v>
      </c>
      <c r="J1147" s="223" t="s">
        <v>711</v>
      </c>
      <c r="K1147" s="438">
        <f>100000*10%</f>
        <v>10000</v>
      </c>
      <c r="L1147" s="190"/>
      <c r="M1147" s="190"/>
    </row>
    <row r="1148" spans="1:13" s="141" customFormat="1" x14ac:dyDescent="0.2">
      <c r="A1148" s="182"/>
      <c r="B1148" s="183"/>
      <c r="C1148" s="184"/>
      <c r="D1148" s="185"/>
      <c r="E1148" s="185"/>
      <c r="F1148" s="185"/>
      <c r="G1148" s="185"/>
      <c r="H1148" s="185"/>
      <c r="I1148" s="192" t="s">
        <v>1612</v>
      </c>
      <c r="J1148" s="223" t="s">
        <v>711</v>
      </c>
      <c r="K1148" s="438">
        <f>100000*10%</f>
        <v>10000</v>
      </c>
      <c r="L1148" s="190"/>
      <c r="M1148" s="190"/>
    </row>
    <row r="1149" spans="1:13" s="141" customFormat="1" x14ac:dyDescent="0.2">
      <c r="A1149" s="182"/>
      <c r="B1149" s="183"/>
      <c r="C1149" s="184"/>
      <c r="D1149" s="185"/>
      <c r="E1149" s="185"/>
      <c r="F1149" s="185"/>
      <c r="G1149" s="185"/>
      <c r="H1149" s="185"/>
      <c r="I1149" s="192" t="s">
        <v>1613</v>
      </c>
      <c r="J1149" s="223" t="s">
        <v>711</v>
      </c>
      <c r="K1149" s="438">
        <f>100000*10%</f>
        <v>10000</v>
      </c>
      <c r="L1149" s="190"/>
      <c r="M1149" s="190"/>
    </row>
    <row r="1150" spans="1:13" s="141" customFormat="1" x14ac:dyDescent="0.2">
      <c r="A1150" s="193"/>
      <c r="B1150" s="194"/>
      <c r="C1150" s="195"/>
      <c r="D1150" s="196"/>
      <c r="E1150" s="196"/>
      <c r="F1150" s="196"/>
      <c r="G1150" s="196"/>
      <c r="H1150" s="196"/>
      <c r="I1150" s="206"/>
      <c r="J1150" s="214"/>
      <c r="K1150" s="439">
        <f>SUM(K1144:K1149)</f>
        <v>100000</v>
      </c>
      <c r="L1150" s="201"/>
      <c r="M1150" s="201"/>
    </row>
    <row r="1151" spans="1:13" s="141" customFormat="1" ht="21.75" customHeight="1" x14ac:dyDescent="0.2">
      <c r="A1151" s="172">
        <v>285</v>
      </c>
      <c r="B1151" s="173" t="s">
        <v>1614</v>
      </c>
      <c r="C1151" s="174"/>
      <c r="D1151" s="175" t="s">
        <v>163</v>
      </c>
      <c r="E1151" s="175"/>
      <c r="F1151" s="175"/>
      <c r="G1151" s="175"/>
      <c r="H1151" s="175"/>
      <c r="I1151" s="440" t="s">
        <v>1615</v>
      </c>
      <c r="J1151" s="202" t="s">
        <v>1616</v>
      </c>
      <c r="K1151" s="219">
        <f>33800*70%</f>
        <v>23660</v>
      </c>
      <c r="L1151" s="180" t="s">
        <v>166</v>
      </c>
      <c r="M1151" s="180" t="s">
        <v>1617</v>
      </c>
    </row>
    <row r="1152" spans="1:13" s="141" customFormat="1" x14ac:dyDescent="0.2">
      <c r="A1152" s="182"/>
      <c r="B1152" s="183"/>
      <c r="C1152" s="184"/>
      <c r="D1152" s="185"/>
      <c r="E1152" s="185"/>
      <c r="F1152" s="185"/>
      <c r="G1152" s="185"/>
      <c r="H1152" s="185"/>
      <c r="I1152" s="441" t="s">
        <v>1618</v>
      </c>
      <c r="J1152" s="187" t="s">
        <v>711</v>
      </c>
      <c r="K1152" s="225">
        <f t="shared" ref="K1152:K1157" si="27">33800*5%</f>
        <v>1690</v>
      </c>
      <c r="L1152" s="190"/>
      <c r="M1152" s="190"/>
    </row>
    <row r="1153" spans="1:13" s="141" customFormat="1" x14ac:dyDescent="0.2">
      <c r="A1153" s="182"/>
      <c r="B1153" s="183"/>
      <c r="C1153" s="184"/>
      <c r="D1153" s="185"/>
      <c r="E1153" s="185"/>
      <c r="F1153" s="185"/>
      <c r="G1153" s="185"/>
      <c r="H1153" s="185"/>
      <c r="I1153" s="441" t="s">
        <v>794</v>
      </c>
      <c r="J1153" s="187" t="s">
        <v>711</v>
      </c>
      <c r="K1153" s="225">
        <f t="shared" si="27"/>
        <v>1690</v>
      </c>
      <c r="L1153" s="190"/>
      <c r="M1153" s="190"/>
    </row>
    <row r="1154" spans="1:13" s="141" customFormat="1" x14ac:dyDescent="0.2">
      <c r="A1154" s="182"/>
      <c r="B1154" s="183"/>
      <c r="C1154" s="184"/>
      <c r="D1154" s="185"/>
      <c r="E1154" s="185"/>
      <c r="F1154" s="185"/>
      <c r="G1154" s="185"/>
      <c r="H1154" s="185"/>
      <c r="I1154" s="441" t="s">
        <v>1619</v>
      </c>
      <c r="J1154" s="187" t="s">
        <v>711</v>
      </c>
      <c r="K1154" s="225">
        <f t="shared" si="27"/>
        <v>1690</v>
      </c>
      <c r="L1154" s="190"/>
      <c r="M1154" s="190"/>
    </row>
    <row r="1155" spans="1:13" s="141" customFormat="1" x14ac:dyDescent="0.2">
      <c r="A1155" s="182"/>
      <c r="B1155" s="183"/>
      <c r="C1155" s="184"/>
      <c r="D1155" s="185"/>
      <c r="E1155" s="185"/>
      <c r="F1155" s="185"/>
      <c r="G1155" s="185"/>
      <c r="H1155" s="185"/>
      <c r="I1155" s="441" t="s">
        <v>1620</v>
      </c>
      <c r="J1155" s="187" t="s">
        <v>274</v>
      </c>
      <c r="K1155" s="225">
        <f t="shared" si="27"/>
        <v>1690</v>
      </c>
      <c r="L1155" s="190"/>
      <c r="M1155" s="190"/>
    </row>
    <row r="1156" spans="1:13" s="141" customFormat="1" x14ac:dyDescent="0.2">
      <c r="A1156" s="182"/>
      <c r="B1156" s="183"/>
      <c r="C1156" s="184"/>
      <c r="D1156" s="185"/>
      <c r="E1156" s="185"/>
      <c r="F1156" s="185"/>
      <c r="G1156" s="185"/>
      <c r="H1156" s="185"/>
      <c r="I1156" s="441" t="s">
        <v>1621</v>
      </c>
      <c r="J1156" s="187" t="s">
        <v>711</v>
      </c>
      <c r="K1156" s="225">
        <f t="shared" si="27"/>
        <v>1690</v>
      </c>
      <c r="L1156" s="190"/>
      <c r="M1156" s="190"/>
    </row>
    <row r="1157" spans="1:13" s="141" customFormat="1" x14ac:dyDescent="0.2">
      <c r="A1157" s="182"/>
      <c r="B1157" s="183"/>
      <c r="C1157" s="184"/>
      <c r="D1157" s="185"/>
      <c r="E1157" s="185"/>
      <c r="F1157" s="185"/>
      <c r="G1157" s="185"/>
      <c r="H1157" s="185"/>
      <c r="I1157" s="441" t="s">
        <v>1622</v>
      </c>
      <c r="J1157" s="187" t="s">
        <v>711</v>
      </c>
      <c r="K1157" s="225">
        <f t="shared" si="27"/>
        <v>1690</v>
      </c>
      <c r="L1157" s="190"/>
      <c r="M1157" s="190"/>
    </row>
    <row r="1158" spans="1:13" s="141" customFormat="1" x14ac:dyDescent="0.2">
      <c r="A1158" s="193"/>
      <c r="B1158" s="194"/>
      <c r="C1158" s="195"/>
      <c r="D1158" s="196"/>
      <c r="E1158" s="196"/>
      <c r="F1158" s="196"/>
      <c r="G1158" s="196"/>
      <c r="H1158" s="196"/>
      <c r="I1158" s="442"/>
      <c r="J1158" s="198"/>
      <c r="K1158" s="239">
        <f>SUM(K1151:K1157)</f>
        <v>33800</v>
      </c>
      <c r="L1158" s="201"/>
      <c r="M1158" s="201"/>
    </row>
    <row r="1159" spans="1:13" s="141" customFormat="1" ht="24.75" customHeight="1" x14ac:dyDescent="0.2">
      <c r="A1159" s="172">
        <v>286</v>
      </c>
      <c r="B1159" s="173" t="s">
        <v>1623</v>
      </c>
      <c r="C1159" s="174"/>
      <c r="D1159" s="175" t="s">
        <v>163</v>
      </c>
      <c r="E1159" s="175"/>
      <c r="F1159" s="175"/>
      <c r="G1159" s="175"/>
      <c r="H1159" s="175"/>
      <c r="I1159" s="228" t="s">
        <v>1615</v>
      </c>
      <c r="J1159" s="208" t="s">
        <v>1624</v>
      </c>
      <c r="K1159" s="437">
        <f>154000*70%</f>
        <v>107800</v>
      </c>
      <c r="L1159" s="180" t="s">
        <v>166</v>
      </c>
      <c r="M1159" s="180" t="s">
        <v>1625</v>
      </c>
    </row>
    <row r="1160" spans="1:13" s="141" customFormat="1" x14ac:dyDescent="0.2">
      <c r="A1160" s="182"/>
      <c r="B1160" s="183"/>
      <c r="C1160" s="184"/>
      <c r="D1160" s="185"/>
      <c r="E1160" s="185"/>
      <c r="F1160" s="185"/>
      <c r="G1160" s="185"/>
      <c r="H1160" s="185"/>
      <c r="I1160" s="192" t="s">
        <v>1626</v>
      </c>
      <c r="J1160" s="223" t="s">
        <v>695</v>
      </c>
      <c r="K1160" s="438">
        <f t="shared" ref="K1160:K1165" si="28">154000*5%</f>
        <v>7700</v>
      </c>
      <c r="L1160" s="190"/>
      <c r="M1160" s="190"/>
    </row>
    <row r="1161" spans="1:13" s="141" customFormat="1" x14ac:dyDescent="0.2">
      <c r="A1161" s="182"/>
      <c r="B1161" s="183"/>
      <c r="C1161" s="184"/>
      <c r="D1161" s="185"/>
      <c r="E1161" s="185"/>
      <c r="F1161" s="185"/>
      <c r="G1161" s="185"/>
      <c r="H1161" s="185"/>
      <c r="I1161" s="192" t="s">
        <v>794</v>
      </c>
      <c r="J1161" s="223" t="s">
        <v>711</v>
      </c>
      <c r="K1161" s="438">
        <f t="shared" si="28"/>
        <v>7700</v>
      </c>
      <c r="L1161" s="190"/>
      <c r="M1161" s="190"/>
    </row>
    <row r="1162" spans="1:13" s="141" customFormat="1" x14ac:dyDescent="0.2">
      <c r="A1162" s="182"/>
      <c r="B1162" s="183"/>
      <c r="C1162" s="184"/>
      <c r="D1162" s="185"/>
      <c r="E1162" s="185"/>
      <c r="F1162" s="185"/>
      <c r="G1162" s="185"/>
      <c r="H1162" s="185"/>
      <c r="I1162" s="192" t="s">
        <v>1627</v>
      </c>
      <c r="J1162" s="223" t="s">
        <v>711</v>
      </c>
      <c r="K1162" s="438">
        <f t="shared" si="28"/>
        <v>7700</v>
      </c>
      <c r="L1162" s="190"/>
      <c r="M1162" s="190"/>
    </row>
    <row r="1163" spans="1:13" s="141" customFormat="1" x14ac:dyDescent="0.2">
      <c r="A1163" s="182"/>
      <c r="B1163" s="183"/>
      <c r="C1163" s="184"/>
      <c r="D1163" s="185"/>
      <c r="E1163" s="185"/>
      <c r="F1163" s="185"/>
      <c r="G1163" s="185"/>
      <c r="H1163" s="185"/>
      <c r="I1163" s="192" t="s">
        <v>1619</v>
      </c>
      <c r="J1163" s="223" t="s">
        <v>711</v>
      </c>
      <c r="K1163" s="438">
        <f t="shared" si="28"/>
        <v>7700</v>
      </c>
      <c r="L1163" s="190"/>
      <c r="M1163" s="190"/>
    </row>
    <row r="1164" spans="1:13" s="141" customFormat="1" x14ac:dyDescent="0.2">
      <c r="A1164" s="182"/>
      <c r="B1164" s="183"/>
      <c r="C1164" s="184"/>
      <c r="D1164" s="185"/>
      <c r="E1164" s="185"/>
      <c r="F1164" s="185"/>
      <c r="G1164" s="185"/>
      <c r="H1164" s="185"/>
      <c r="I1164" s="192" t="s">
        <v>1620</v>
      </c>
      <c r="J1164" s="223" t="s">
        <v>274</v>
      </c>
      <c r="K1164" s="438">
        <f t="shared" si="28"/>
        <v>7700</v>
      </c>
      <c r="L1164" s="190"/>
      <c r="M1164" s="190"/>
    </row>
    <row r="1165" spans="1:13" s="141" customFormat="1" x14ac:dyDescent="0.2">
      <c r="A1165" s="182"/>
      <c r="B1165" s="183"/>
      <c r="C1165" s="184"/>
      <c r="D1165" s="185"/>
      <c r="E1165" s="185"/>
      <c r="F1165" s="185"/>
      <c r="G1165" s="185"/>
      <c r="H1165" s="185"/>
      <c r="I1165" s="192" t="s">
        <v>1621</v>
      </c>
      <c r="J1165" s="223" t="s">
        <v>711</v>
      </c>
      <c r="K1165" s="438">
        <f t="shared" si="28"/>
        <v>7700</v>
      </c>
      <c r="L1165" s="190"/>
      <c r="M1165" s="190"/>
    </row>
    <row r="1166" spans="1:13" s="141" customFormat="1" x14ac:dyDescent="0.2">
      <c r="A1166" s="193"/>
      <c r="B1166" s="194"/>
      <c r="C1166" s="195"/>
      <c r="D1166" s="196"/>
      <c r="E1166" s="196"/>
      <c r="F1166" s="196"/>
      <c r="G1166" s="196"/>
      <c r="H1166" s="196"/>
      <c r="I1166" s="206"/>
      <c r="J1166" s="214"/>
      <c r="K1166" s="439">
        <f>SUM(K1159:K1165)</f>
        <v>154000</v>
      </c>
      <c r="L1166" s="201"/>
      <c r="M1166" s="201"/>
    </row>
    <row r="1167" spans="1:13" s="141" customFormat="1" ht="24" customHeight="1" x14ac:dyDescent="0.2">
      <c r="A1167" s="172">
        <v>287</v>
      </c>
      <c r="B1167" s="173" t="s">
        <v>1628</v>
      </c>
      <c r="C1167" s="174"/>
      <c r="D1167" s="175" t="s">
        <v>163</v>
      </c>
      <c r="E1167" s="175"/>
      <c r="F1167" s="175"/>
      <c r="G1167" s="175"/>
      <c r="H1167" s="175"/>
      <c r="I1167" s="283" t="s">
        <v>1629</v>
      </c>
      <c r="J1167" s="259" t="s">
        <v>1624</v>
      </c>
      <c r="K1167" s="219">
        <f>154000*65%</f>
        <v>100100</v>
      </c>
      <c r="L1167" s="180" t="s">
        <v>166</v>
      </c>
      <c r="M1167" s="180" t="s">
        <v>1630</v>
      </c>
    </row>
    <row r="1168" spans="1:13" s="141" customFormat="1" x14ac:dyDescent="0.2">
      <c r="A1168" s="182"/>
      <c r="B1168" s="183"/>
      <c r="C1168" s="184"/>
      <c r="D1168" s="185"/>
      <c r="E1168" s="185"/>
      <c r="F1168" s="185"/>
      <c r="G1168" s="185"/>
      <c r="H1168" s="185"/>
      <c r="I1168" s="192" t="s">
        <v>1565</v>
      </c>
      <c r="J1168" s="187" t="s">
        <v>365</v>
      </c>
      <c r="K1168" s="225">
        <f>154000*10%</f>
        <v>15400</v>
      </c>
      <c r="L1168" s="190"/>
      <c r="M1168" s="190"/>
    </row>
    <row r="1169" spans="1:13" s="141" customFormat="1" x14ac:dyDescent="0.2">
      <c r="A1169" s="182"/>
      <c r="B1169" s="183"/>
      <c r="C1169" s="184"/>
      <c r="D1169" s="185"/>
      <c r="E1169" s="185"/>
      <c r="F1169" s="185"/>
      <c r="G1169" s="185"/>
      <c r="H1169" s="185"/>
      <c r="I1169" s="192" t="s">
        <v>794</v>
      </c>
      <c r="J1169" s="187" t="s">
        <v>711</v>
      </c>
      <c r="K1169" s="225">
        <f>154000*5%</f>
        <v>7700</v>
      </c>
      <c r="L1169" s="190"/>
      <c r="M1169" s="190"/>
    </row>
    <row r="1170" spans="1:13" s="141" customFormat="1" x14ac:dyDescent="0.2">
      <c r="A1170" s="182"/>
      <c r="B1170" s="183"/>
      <c r="C1170" s="184"/>
      <c r="D1170" s="185"/>
      <c r="E1170" s="185"/>
      <c r="F1170" s="185"/>
      <c r="G1170" s="185"/>
      <c r="H1170" s="185"/>
      <c r="I1170" s="192" t="s">
        <v>1627</v>
      </c>
      <c r="J1170" s="187" t="s">
        <v>711</v>
      </c>
      <c r="K1170" s="225">
        <f>154000*5%</f>
        <v>7700</v>
      </c>
      <c r="L1170" s="190"/>
      <c r="M1170" s="190"/>
    </row>
    <row r="1171" spans="1:13" s="141" customFormat="1" x14ac:dyDescent="0.2">
      <c r="A1171" s="182"/>
      <c r="B1171" s="183"/>
      <c r="C1171" s="184"/>
      <c r="D1171" s="185"/>
      <c r="E1171" s="185"/>
      <c r="F1171" s="185"/>
      <c r="G1171" s="185"/>
      <c r="H1171" s="185"/>
      <c r="I1171" s="192" t="s">
        <v>1619</v>
      </c>
      <c r="J1171" s="187" t="s">
        <v>711</v>
      </c>
      <c r="K1171" s="225">
        <f>154000*5%</f>
        <v>7700</v>
      </c>
      <c r="L1171" s="190"/>
      <c r="M1171" s="190"/>
    </row>
    <row r="1172" spans="1:13" s="141" customFormat="1" x14ac:dyDescent="0.2">
      <c r="A1172" s="182"/>
      <c r="B1172" s="183"/>
      <c r="C1172" s="184"/>
      <c r="D1172" s="185"/>
      <c r="E1172" s="185"/>
      <c r="F1172" s="185"/>
      <c r="G1172" s="185"/>
      <c r="H1172" s="185"/>
      <c r="I1172" s="192" t="s">
        <v>1620</v>
      </c>
      <c r="J1172" s="187" t="s">
        <v>274</v>
      </c>
      <c r="K1172" s="225">
        <f>154000*5%</f>
        <v>7700</v>
      </c>
      <c r="L1172" s="190"/>
      <c r="M1172" s="190"/>
    </row>
    <row r="1173" spans="1:13" s="141" customFormat="1" x14ac:dyDescent="0.2">
      <c r="A1173" s="182"/>
      <c r="B1173" s="183"/>
      <c r="C1173" s="184"/>
      <c r="D1173" s="185"/>
      <c r="E1173" s="185"/>
      <c r="F1173" s="185"/>
      <c r="G1173" s="185"/>
      <c r="H1173" s="185"/>
      <c r="I1173" s="192" t="s">
        <v>1626</v>
      </c>
      <c r="J1173" s="187" t="s">
        <v>657</v>
      </c>
      <c r="K1173" s="225">
        <f>154000*5%</f>
        <v>7700</v>
      </c>
      <c r="L1173" s="190"/>
      <c r="M1173" s="190"/>
    </row>
    <row r="1174" spans="1:13" s="141" customFormat="1" x14ac:dyDescent="0.2">
      <c r="A1174" s="193"/>
      <c r="B1174" s="194"/>
      <c r="C1174" s="195"/>
      <c r="D1174" s="196"/>
      <c r="E1174" s="196"/>
      <c r="F1174" s="196"/>
      <c r="G1174" s="196"/>
      <c r="H1174" s="196"/>
      <c r="I1174" s="206"/>
      <c r="J1174" s="198"/>
      <c r="K1174" s="232">
        <f>SUM(K1167:K1173)</f>
        <v>154000</v>
      </c>
      <c r="L1174" s="201"/>
      <c r="M1174" s="201"/>
    </row>
    <row r="1175" spans="1:13" s="141" customFormat="1" ht="23.25" customHeight="1" x14ac:dyDescent="0.2">
      <c r="A1175" s="172">
        <v>288</v>
      </c>
      <c r="B1175" s="173" t="s">
        <v>1631</v>
      </c>
      <c r="C1175" s="174"/>
      <c r="D1175" s="175" t="s">
        <v>163</v>
      </c>
      <c r="E1175" s="175"/>
      <c r="F1175" s="175"/>
      <c r="G1175" s="175"/>
      <c r="H1175" s="175"/>
      <c r="I1175" s="228" t="s">
        <v>1632</v>
      </c>
      <c r="J1175" s="284" t="s">
        <v>1624</v>
      </c>
      <c r="K1175" s="276">
        <f>80850*60%</f>
        <v>48510</v>
      </c>
      <c r="L1175" s="180" t="s">
        <v>166</v>
      </c>
      <c r="M1175" s="180" t="s">
        <v>1633</v>
      </c>
    </row>
    <row r="1176" spans="1:13" s="141" customFormat="1" x14ac:dyDescent="0.2">
      <c r="A1176" s="182"/>
      <c r="B1176" s="183"/>
      <c r="C1176" s="184"/>
      <c r="D1176" s="185"/>
      <c r="E1176" s="185"/>
      <c r="F1176" s="185"/>
      <c r="G1176" s="185"/>
      <c r="H1176" s="185"/>
      <c r="I1176" s="192" t="s">
        <v>1634</v>
      </c>
      <c r="J1176" s="279" t="s">
        <v>365</v>
      </c>
      <c r="K1176" s="225">
        <f>80850*20%</f>
        <v>16170</v>
      </c>
      <c r="L1176" s="190"/>
      <c r="M1176" s="190"/>
    </row>
    <row r="1177" spans="1:13" s="141" customFormat="1" x14ac:dyDescent="0.2">
      <c r="A1177" s="182"/>
      <c r="B1177" s="183"/>
      <c r="C1177" s="184"/>
      <c r="D1177" s="185"/>
      <c r="E1177" s="185"/>
      <c r="F1177" s="185"/>
      <c r="G1177" s="185"/>
      <c r="H1177" s="185"/>
      <c r="I1177" s="192" t="s">
        <v>1635</v>
      </c>
      <c r="J1177" s="279" t="s">
        <v>711</v>
      </c>
      <c r="K1177" s="225">
        <f>80850*10%</f>
        <v>8085</v>
      </c>
      <c r="L1177" s="190"/>
      <c r="M1177" s="190"/>
    </row>
    <row r="1178" spans="1:13" s="141" customFormat="1" x14ac:dyDescent="0.2">
      <c r="A1178" s="182"/>
      <c r="B1178" s="183"/>
      <c r="C1178" s="184"/>
      <c r="D1178" s="185"/>
      <c r="E1178" s="185"/>
      <c r="F1178" s="185"/>
      <c r="G1178" s="185"/>
      <c r="H1178" s="185"/>
      <c r="I1178" s="192" t="s">
        <v>1636</v>
      </c>
      <c r="J1178" s="279" t="s">
        <v>711</v>
      </c>
      <c r="K1178" s="225">
        <f>80850*10%</f>
        <v>8085</v>
      </c>
      <c r="L1178" s="190"/>
      <c r="M1178" s="190"/>
    </row>
    <row r="1179" spans="1:13" s="141" customFormat="1" x14ac:dyDescent="0.2">
      <c r="A1179" s="193"/>
      <c r="B1179" s="194"/>
      <c r="C1179" s="195"/>
      <c r="D1179" s="196"/>
      <c r="E1179" s="196"/>
      <c r="F1179" s="196"/>
      <c r="G1179" s="196"/>
      <c r="H1179" s="196"/>
      <c r="I1179" s="206"/>
      <c r="J1179" s="282"/>
      <c r="K1179" s="257">
        <f>SUM(K1175:K1178)</f>
        <v>80850</v>
      </c>
      <c r="L1179" s="201"/>
      <c r="M1179" s="201"/>
    </row>
    <row r="1180" spans="1:13" s="141" customFormat="1" ht="23.25" customHeight="1" x14ac:dyDescent="0.2">
      <c r="A1180" s="172">
        <v>289</v>
      </c>
      <c r="B1180" s="173" t="s">
        <v>1637</v>
      </c>
      <c r="C1180" s="174"/>
      <c r="D1180" s="175" t="s">
        <v>163</v>
      </c>
      <c r="E1180" s="175"/>
      <c r="F1180" s="175"/>
      <c r="G1180" s="175"/>
      <c r="H1180" s="175"/>
      <c r="I1180" s="283" t="s">
        <v>1638</v>
      </c>
      <c r="J1180" s="259" t="s">
        <v>1469</v>
      </c>
      <c r="K1180" s="285">
        <f>154000*80%</f>
        <v>123200</v>
      </c>
      <c r="L1180" s="180" t="s">
        <v>166</v>
      </c>
      <c r="M1180" s="180" t="s">
        <v>1639</v>
      </c>
    </row>
    <row r="1181" spans="1:13" s="141" customFormat="1" x14ac:dyDescent="0.2">
      <c r="A1181" s="182"/>
      <c r="B1181" s="183"/>
      <c r="C1181" s="184"/>
      <c r="D1181" s="185"/>
      <c r="E1181" s="185"/>
      <c r="F1181" s="185"/>
      <c r="G1181" s="185"/>
      <c r="H1181" s="185"/>
      <c r="I1181" s="192" t="s">
        <v>794</v>
      </c>
      <c r="J1181" s="187" t="s">
        <v>711</v>
      </c>
      <c r="K1181" s="225">
        <f>154000*5%</f>
        <v>7700</v>
      </c>
      <c r="L1181" s="190"/>
      <c r="M1181" s="190"/>
    </row>
    <row r="1182" spans="1:13" s="141" customFormat="1" x14ac:dyDescent="0.2">
      <c r="A1182" s="182"/>
      <c r="B1182" s="183"/>
      <c r="C1182" s="184"/>
      <c r="D1182" s="185"/>
      <c r="E1182" s="185"/>
      <c r="F1182" s="185"/>
      <c r="G1182" s="185"/>
      <c r="H1182" s="185"/>
      <c r="I1182" s="192" t="s">
        <v>792</v>
      </c>
      <c r="J1182" s="187" t="s">
        <v>711</v>
      </c>
      <c r="K1182" s="225">
        <f>154000*5%</f>
        <v>7700</v>
      </c>
      <c r="L1182" s="190"/>
      <c r="M1182" s="190"/>
    </row>
    <row r="1183" spans="1:13" s="141" customFormat="1" x14ac:dyDescent="0.2">
      <c r="A1183" s="182"/>
      <c r="B1183" s="183"/>
      <c r="C1183" s="184"/>
      <c r="D1183" s="185"/>
      <c r="E1183" s="185"/>
      <c r="F1183" s="185"/>
      <c r="G1183" s="185"/>
      <c r="H1183" s="185"/>
      <c r="I1183" s="192" t="s">
        <v>1640</v>
      </c>
      <c r="J1183" s="187" t="s">
        <v>274</v>
      </c>
      <c r="K1183" s="225">
        <f>154000*5%</f>
        <v>7700</v>
      </c>
      <c r="L1183" s="190"/>
      <c r="M1183" s="190"/>
    </row>
    <row r="1184" spans="1:13" s="141" customFormat="1" x14ac:dyDescent="0.2">
      <c r="A1184" s="182"/>
      <c r="B1184" s="183"/>
      <c r="C1184" s="184"/>
      <c r="D1184" s="185"/>
      <c r="E1184" s="185"/>
      <c r="F1184" s="185"/>
      <c r="G1184" s="185"/>
      <c r="H1184" s="185"/>
      <c r="I1184" s="192" t="s">
        <v>1621</v>
      </c>
      <c r="J1184" s="187" t="s">
        <v>711</v>
      </c>
      <c r="K1184" s="225">
        <f>154000*5%</f>
        <v>7700</v>
      </c>
      <c r="L1184" s="190"/>
      <c r="M1184" s="190"/>
    </row>
    <row r="1185" spans="1:13" s="141" customFormat="1" x14ac:dyDescent="0.2">
      <c r="A1185" s="193"/>
      <c r="B1185" s="194"/>
      <c r="C1185" s="195"/>
      <c r="D1185" s="196"/>
      <c r="E1185" s="196"/>
      <c r="F1185" s="196"/>
      <c r="G1185" s="196"/>
      <c r="H1185" s="196"/>
      <c r="I1185" s="206"/>
      <c r="J1185" s="198"/>
      <c r="K1185" s="221">
        <f>SUM(K1180:K1184)</f>
        <v>154000</v>
      </c>
      <c r="L1185" s="201"/>
      <c r="M1185" s="201"/>
    </row>
    <row r="1186" spans="1:13" s="141" customFormat="1" ht="23.25" customHeight="1" x14ac:dyDescent="0.2">
      <c r="A1186" s="172">
        <v>290</v>
      </c>
      <c r="B1186" s="173" t="s">
        <v>1641</v>
      </c>
      <c r="C1186" s="174"/>
      <c r="D1186" s="175" t="s">
        <v>163</v>
      </c>
      <c r="E1186" s="175"/>
      <c r="F1186" s="175"/>
      <c r="G1186" s="175"/>
      <c r="H1186" s="175" t="s">
        <v>164</v>
      </c>
      <c r="I1186" s="228" t="s">
        <v>1642</v>
      </c>
      <c r="J1186" s="259" t="s">
        <v>1469</v>
      </c>
      <c r="K1186" s="219">
        <f>150000*50%</f>
        <v>75000</v>
      </c>
      <c r="L1186" s="180" t="s">
        <v>166</v>
      </c>
      <c r="M1186" s="180" t="s">
        <v>1643</v>
      </c>
    </row>
    <row r="1187" spans="1:13" s="141" customFormat="1" x14ac:dyDescent="0.2">
      <c r="A1187" s="182"/>
      <c r="B1187" s="183"/>
      <c r="C1187" s="184"/>
      <c r="D1187" s="185"/>
      <c r="E1187" s="185"/>
      <c r="F1187" s="185"/>
      <c r="G1187" s="185"/>
      <c r="H1187" s="185"/>
      <c r="I1187" s="192" t="s">
        <v>1644</v>
      </c>
      <c r="J1187" s="187" t="s">
        <v>711</v>
      </c>
      <c r="K1187" s="225">
        <f>150000*50%</f>
        <v>75000</v>
      </c>
      <c r="L1187" s="190"/>
      <c r="M1187" s="190"/>
    </row>
    <row r="1188" spans="1:13" s="141" customFormat="1" x14ac:dyDescent="0.2">
      <c r="A1188" s="193"/>
      <c r="B1188" s="194"/>
      <c r="C1188" s="195"/>
      <c r="D1188" s="196"/>
      <c r="E1188" s="196"/>
      <c r="F1188" s="196"/>
      <c r="G1188" s="196"/>
      <c r="H1188" s="196"/>
      <c r="I1188" s="206"/>
      <c r="J1188" s="198"/>
      <c r="K1188" s="221">
        <f>SUM(K1186:K1187)</f>
        <v>150000</v>
      </c>
      <c r="L1188" s="201"/>
      <c r="M1188" s="201"/>
    </row>
    <row r="1189" spans="1:13" s="141" customFormat="1" ht="24" customHeight="1" x14ac:dyDescent="0.2">
      <c r="A1189" s="172">
        <v>291</v>
      </c>
      <c r="B1189" s="173" t="s">
        <v>1645</v>
      </c>
      <c r="C1189" s="174"/>
      <c r="D1189" s="175" t="s">
        <v>163</v>
      </c>
      <c r="E1189" s="175"/>
      <c r="F1189" s="175"/>
      <c r="G1189" s="175"/>
      <c r="H1189" s="175" t="s">
        <v>164</v>
      </c>
      <c r="I1189" s="283" t="s">
        <v>1646</v>
      </c>
      <c r="J1189" s="259" t="s">
        <v>1469</v>
      </c>
      <c r="K1189" s="222">
        <f>80850*55%</f>
        <v>44467.5</v>
      </c>
      <c r="L1189" s="179" t="s">
        <v>166</v>
      </c>
      <c r="M1189" s="180" t="s">
        <v>1647</v>
      </c>
    </row>
    <row r="1190" spans="1:13" s="141" customFormat="1" x14ac:dyDescent="0.2">
      <c r="A1190" s="182"/>
      <c r="B1190" s="183"/>
      <c r="C1190" s="184"/>
      <c r="D1190" s="185"/>
      <c r="E1190" s="185"/>
      <c r="F1190" s="185"/>
      <c r="G1190" s="185"/>
      <c r="H1190" s="185"/>
      <c r="I1190" s="192" t="s">
        <v>1648</v>
      </c>
      <c r="J1190" s="187" t="s">
        <v>711</v>
      </c>
      <c r="K1190" s="240">
        <f>80850*15%</f>
        <v>12127.5</v>
      </c>
      <c r="L1190" s="189"/>
      <c r="M1190" s="190"/>
    </row>
    <row r="1191" spans="1:13" s="141" customFormat="1" x14ac:dyDescent="0.2">
      <c r="A1191" s="182"/>
      <c r="B1191" s="183"/>
      <c r="C1191" s="184"/>
      <c r="D1191" s="185"/>
      <c r="E1191" s="185"/>
      <c r="F1191" s="185"/>
      <c r="G1191" s="185"/>
      <c r="H1191" s="185"/>
      <c r="I1191" s="192" t="s">
        <v>1649</v>
      </c>
      <c r="J1191" s="187" t="s">
        <v>711</v>
      </c>
      <c r="K1191" s="240">
        <f>80850*15%</f>
        <v>12127.5</v>
      </c>
      <c r="L1191" s="189"/>
      <c r="M1191" s="190"/>
    </row>
    <row r="1192" spans="1:13" s="141" customFormat="1" x14ac:dyDescent="0.2">
      <c r="A1192" s="182"/>
      <c r="B1192" s="183"/>
      <c r="C1192" s="184"/>
      <c r="D1192" s="185"/>
      <c r="E1192" s="185"/>
      <c r="F1192" s="185"/>
      <c r="G1192" s="185"/>
      <c r="H1192" s="185"/>
      <c r="I1192" s="192" t="s">
        <v>1650</v>
      </c>
      <c r="J1192" s="187" t="s">
        <v>711</v>
      </c>
      <c r="K1192" s="240">
        <f>80850*5%</f>
        <v>4042.5</v>
      </c>
      <c r="L1192" s="189"/>
      <c r="M1192" s="190"/>
    </row>
    <row r="1193" spans="1:13" s="141" customFormat="1" x14ac:dyDescent="0.2">
      <c r="A1193" s="182"/>
      <c r="B1193" s="183"/>
      <c r="C1193" s="184"/>
      <c r="D1193" s="185"/>
      <c r="E1193" s="185"/>
      <c r="F1193" s="185"/>
      <c r="G1193" s="185"/>
      <c r="H1193" s="185"/>
      <c r="I1193" s="192" t="s">
        <v>1480</v>
      </c>
      <c r="J1193" s="187" t="s">
        <v>711</v>
      </c>
      <c r="K1193" s="240">
        <f>80850*5%</f>
        <v>4042.5</v>
      </c>
      <c r="L1193" s="189"/>
      <c r="M1193" s="190"/>
    </row>
    <row r="1194" spans="1:13" s="141" customFormat="1" x14ac:dyDescent="0.2">
      <c r="A1194" s="182"/>
      <c r="B1194" s="183"/>
      <c r="C1194" s="184"/>
      <c r="D1194" s="185"/>
      <c r="E1194" s="185"/>
      <c r="F1194" s="185"/>
      <c r="G1194" s="185"/>
      <c r="H1194" s="185"/>
      <c r="I1194" s="192" t="s">
        <v>1651</v>
      </c>
      <c r="J1194" s="187" t="s">
        <v>711</v>
      </c>
      <c r="K1194" s="240">
        <f>80850*5%</f>
        <v>4042.5</v>
      </c>
      <c r="L1194" s="189"/>
      <c r="M1194" s="190"/>
    </row>
    <row r="1195" spans="1:13" s="141" customFormat="1" x14ac:dyDescent="0.2">
      <c r="A1195" s="193"/>
      <c r="B1195" s="194"/>
      <c r="C1195" s="195"/>
      <c r="D1195" s="196"/>
      <c r="E1195" s="196"/>
      <c r="F1195" s="196"/>
      <c r="G1195" s="196"/>
      <c r="H1195" s="196"/>
      <c r="I1195" s="206"/>
      <c r="J1195" s="198"/>
      <c r="K1195" s="227">
        <f>SUM(K1189:K1194)</f>
        <v>80850</v>
      </c>
      <c r="L1195" s="200"/>
      <c r="M1195" s="201"/>
    </row>
    <row r="1196" spans="1:13" s="141" customFormat="1" ht="21.75" customHeight="1" x14ac:dyDescent="0.2">
      <c r="A1196" s="172">
        <v>292</v>
      </c>
      <c r="B1196" s="173" t="s">
        <v>1652</v>
      </c>
      <c r="C1196" s="174"/>
      <c r="D1196" s="175" t="s">
        <v>163</v>
      </c>
      <c r="E1196" s="175"/>
      <c r="F1196" s="175"/>
      <c r="G1196" s="175"/>
      <c r="H1196" s="175"/>
      <c r="I1196" s="283" t="s">
        <v>1653</v>
      </c>
      <c r="J1196" s="259" t="s">
        <v>1469</v>
      </c>
      <c r="K1196" s="219">
        <f>150000*65%</f>
        <v>97500</v>
      </c>
      <c r="L1196" s="180" t="s">
        <v>166</v>
      </c>
      <c r="M1196" s="180" t="s">
        <v>1654</v>
      </c>
    </row>
    <row r="1197" spans="1:13" s="141" customFormat="1" x14ac:dyDescent="0.2">
      <c r="A1197" s="182"/>
      <c r="B1197" s="183"/>
      <c r="C1197" s="184"/>
      <c r="D1197" s="185"/>
      <c r="E1197" s="185"/>
      <c r="F1197" s="185"/>
      <c r="G1197" s="185"/>
      <c r="H1197" s="185"/>
      <c r="I1197" s="192" t="s">
        <v>1655</v>
      </c>
      <c r="J1197" s="187" t="s">
        <v>274</v>
      </c>
      <c r="K1197" s="225">
        <f t="shared" ref="K1197:K1203" si="29">150000*5%</f>
        <v>7500</v>
      </c>
      <c r="L1197" s="190"/>
      <c r="M1197" s="190"/>
    </row>
    <row r="1198" spans="1:13" s="141" customFormat="1" x14ac:dyDescent="0.2">
      <c r="A1198" s="182"/>
      <c r="B1198" s="183"/>
      <c r="C1198" s="184"/>
      <c r="D1198" s="185"/>
      <c r="E1198" s="185"/>
      <c r="F1198" s="185"/>
      <c r="G1198" s="185"/>
      <c r="H1198" s="185"/>
      <c r="I1198" s="192" t="s">
        <v>1588</v>
      </c>
      <c r="J1198" s="187" t="s">
        <v>711</v>
      </c>
      <c r="K1198" s="225">
        <f t="shared" si="29"/>
        <v>7500</v>
      </c>
      <c r="L1198" s="190"/>
      <c r="M1198" s="190"/>
    </row>
    <row r="1199" spans="1:13" s="141" customFormat="1" x14ac:dyDescent="0.2">
      <c r="A1199" s="182"/>
      <c r="B1199" s="183"/>
      <c r="C1199" s="184"/>
      <c r="D1199" s="185"/>
      <c r="E1199" s="185"/>
      <c r="F1199" s="185"/>
      <c r="G1199" s="185"/>
      <c r="H1199" s="185"/>
      <c r="I1199" s="192" t="s">
        <v>1656</v>
      </c>
      <c r="J1199" s="187" t="s">
        <v>711</v>
      </c>
      <c r="K1199" s="225">
        <f t="shared" si="29"/>
        <v>7500</v>
      </c>
      <c r="L1199" s="190"/>
      <c r="M1199" s="190"/>
    </row>
    <row r="1200" spans="1:13" s="141" customFormat="1" x14ac:dyDescent="0.2">
      <c r="A1200" s="182"/>
      <c r="B1200" s="183"/>
      <c r="C1200" s="184"/>
      <c r="D1200" s="185"/>
      <c r="E1200" s="185"/>
      <c r="F1200" s="185"/>
      <c r="G1200" s="185"/>
      <c r="H1200" s="185"/>
      <c r="I1200" s="192" t="s">
        <v>1657</v>
      </c>
      <c r="J1200" s="187" t="s">
        <v>617</v>
      </c>
      <c r="K1200" s="225">
        <f t="shared" si="29"/>
        <v>7500</v>
      </c>
      <c r="L1200" s="190"/>
      <c r="M1200" s="190"/>
    </row>
    <row r="1201" spans="1:13" s="141" customFormat="1" x14ac:dyDescent="0.2">
      <c r="A1201" s="182"/>
      <c r="B1201" s="183"/>
      <c r="C1201" s="184"/>
      <c r="D1201" s="185"/>
      <c r="E1201" s="185"/>
      <c r="F1201" s="185"/>
      <c r="G1201" s="185"/>
      <c r="H1201" s="185"/>
      <c r="I1201" s="192" t="s">
        <v>1658</v>
      </c>
      <c r="J1201" s="187" t="s">
        <v>711</v>
      </c>
      <c r="K1201" s="225">
        <f t="shared" si="29"/>
        <v>7500</v>
      </c>
      <c r="L1201" s="190"/>
      <c r="M1201" s="190"/>
    </row>
    <row r="1202" spans="1:13" s="141" customFormat="1" x14ac:dyDescent="0.2">
      <c r="A1202" s="182"/>
      <c r="B1202" s="183"/>
      <c r="C1202" s="184"/>
      <c r="D1202" s="185"/>
      <c r="E1202" s="185"/>
      <c r="F1202" s="185"/>
      <c r="G1202" s="185"/>
      <c r="H1202" s="185"/>
      <c r="I1202" s="192" t="s">
        <v>1659</v>
      </c>
      <c r="J1202" s="187" t="s">
        <v>711</v>
      </c>
      <c r="K1202" s="225">
        <f t="shared" si="29"/>
        <v>7500</v>
      </c>
      <c r="L1202" s="190"/>
      <c r="M1202" s="190"/>
    </row>
    <row r="1203" spans="1:13" s="141" customFormat="1" x14ac:dyDescent="0.2">
      <c r="A1203" s="182"/>
      <c r="B1203" s="183"/>
      <c r="C1203" s="184"/>
      <c r="D1203" s="185"/>
      <c r="E1203" s="185"/>
      <c r="F1203" s="185"/>
      <c r="G1203" s="185"/>
      <c r="H1203" s="185"/>
      <c r="I1203" s="192" t="s">
        <v>1660</v>
      </c>
      <c r="J1203" s="187" t="s">
        <v>711</v>
      </c>
      <c r="K1203" s="225">
        <f t="shared" si="29"/>
        <v>7500</v>
      </c>
      <c r="L1203" s="190"/>
      <c r="M1203" s="190"/>
    </row>
    <row r="1204" spans="1:13" s="141" customFormat="1" x14ac:dyDescent="0.2">
      <c r="A1204" s="193"/>
      <c r="B1204" s="194"/>
      <c r="C1204" s="195"/>
      <c r="D1204" s="196"/>
      <c r="E1204" s="196"/>
      <c r="F1204" s="196"/>
      <c r="G1204" s="196"/>
      <c r="H1204" s="196"/>
      <c r="I1204" s="206"/>
      <c r="J1204" s="198"/>
      <c r="K1204" s="221">
        <f>SUM(K1196:K1203)</f>
        <v>150000</v>
      </c>
      <c r="L1204" s="201"/>
      <c r="M1204" s="201"/>
    </row>
    <row r="1205" spans="1:13" s="141" customFormat="1" ht="24" customHeight="1" x14ac:dyDescent="0.2">
      <c r="A1205" s="172">
        <v>293</v>
      </c>
      <c r="B1205" s="173" t="s">
        <v>1661</v>
      </c>
      <c r="C1205" s="174"/>
      <c r="D1205" s="185" t="s">
        <v>163</v>
      </c>
      <c r="E1205" s="185"/>
      <c r="F1205" s="185"/>
      <c r="G1205" s="185"/>
      <c r="H1205" s="185"/>
      <c r="I1205" s="283" t="s">
        <v>1662</v>
      </c>
      <c r="J1205" s="259" t="s">
        <v>1624</v>
      </c>
      <c r="K1205" s="219">
        <f>195400*85%</f>
        <v>166090</v>
      </c>
      <c r="L1205" s="180" t="s">
        <v>166</v>
      </c>
      <c r="M1205" s="180" t="s">
        <v>1663</v>
      </c>
    </row>
    <row r="1206" spans="1:13" s="141" customFormat="1" x14ac:dyDescent="0.2">
      <c r="A1206" s="182"/>
      <c r="B1206" s="183"/>
      <c r="C1206" s="184"/>
      <c r="D1206" s="185"/>
      <c r="E1206" s="185"/>
      <c r="F1206" s="185"/>
      <c r="G1206" s="185"/>
      <c r="H1206" s="185"/>
      <c r="I1206" s="192" t="s">
        <v>1656</v>
      </c>
      <c r="J1206" s="187" t="s">
        <v>711</v>
      </c>
      <c r="K1206" s="225">
        <f>195400*5%</f>
        <v>9770</v>
      </c>
      <c r="L1206" s="190"/>
      <c r="M1206" s="190"/>
    </row>
    <row r="1207" spans="1:13" s="141" customFormat="1" x14ac:dyDescent="0.2">
      <c r="A1207" s="182"/>
      <c r="B1207" s="183"/>
      <c r="C1207" s="184"/>
      <c r="D1207" s="185"/>
      <c r="E1207" s="185"/>
      <c r="F1207" s="185"/>
      <c r="G1207" s="185"/>
      <c r="H1207" s="185"/>
      <c r="I1207" s="192" t="s">
        <v>1658</v>
      </c>
      <c r="J1207" s="187" t="s">
        <v>711</v>
      </c>
      <c r="K1207" s="225">
        <f>195400*5%</f>
        <v>9770</v>
      </c>
      <c r="L1207" s="190"/>
      <c r="M1207" s="190"/>
    </row>
    <row r="1208" spans="1:13" s="141" customFormat="1" x14ac:dyDescent="0.2">
      <c r="A1208" s="182"/>
      <c r="B1208" s="183"/>
      <c r="C1208" s="184"/>
      <c r="D1208" s="185"/>
      <c r="E1208" s="185"/>
      <c r="F1208" s="185"/>
      <c r="G1208" s="185"/>
      <c r="H1208" s="185"/>
      <c r="I1208" s="192" t="s">
        <v>1572</v>
      </c>
      <c r="J1208" s="187" t="s">
        <v>711</v>
      </c>
      <c r="K1208" s="225">
        <f>195400*5%</f>
        <v>9770</v>
      </c>
      <c r="L1208" s="190"/>
      <c r="M1208" s="190"/>
    </row>
    <row r="1209" spans="1:13" s="141" customFormat="1" x14ac:dyDescent="0.2">
      <c r="A1209" s="193"/>
      <c r="B1209" s="194"/>
      <c r="C1209" s="195"/>
      <c r="D1209" s="196"/>
      <c r="E1209" s="196"/>
      <c r="F1209" s="196"/>
      <c r="G1209" s="196"/>
      <c r="H1209" s="196"/>
      <c r="I1209" s="206"/>
      <c r="J1209" s="198"/>
      <c r="K1209" s="221">
        <f>SUM(K1205:K1208)</f>
        <v>195400</v>
      </c>
      <c r="L1209" s="201"/>
      <c r="M1209" s="201"/>
    </row>
    <row r="1210" spans="1:13" s="141" customFormat="1" ht="24.75" customHeight="1" x14ac:dyDescent="0.2">
      <c r="A1210" s="172">
        <v>294</v>
      </c>
      <c r="B1210" s="173" t="s">
        <v>1664</v>
      </c>
      <c r="C1210" s="174"/>
      <c r="D1210" s="175" t="s">
        <v>163</v>
      </c>
      <c r="E1210" s="175"/>
      <c r="F1210" s="175"/>
      <c r="G1210" s="175"/>
      <c r="H1210" s="175"/>
      <c r="I1210" s="283" t="s">
        <v>1662</v>
      </c>
      <c r="J1210" s="259" t="s">
        <v>176</v>
      </c>
      <c r="K1210" s="219">
        <f>150000*85%</f>
        <v>127500</v>
      </c>
      <c r="L1210" s="180" t="s">
        <v>166</v>
      </c>
      <c r="M1210" s="180" t="s">
        <v>1665</v>
      </c>
    </row>
    <row r="1211" spans="1:13" s="141" customFormat="1" x14ac:dyDescent="0.2">
      <c r="A1211" s="182"/>
      <c r="B1211" s="183"/>
      <c r="C1211" s="184"/>
      <c r="D1211" s="185"/>
      <c r="E1211" s="185"/>
      <c r="F1211" s="185"/>
      <c r="G1211" s="185"/>
      <c r="H1211" s="185"/>
      <c r="I1211" s="192" t="s">
        <v>1666</v>
      </c>
      <c r="J1211" s="187" t="s">
        <v>373</v>
      </c>
      <c r="K1211" s="225">
        <f>150000*5%</f>
        <v>7500</v>
      </c>
      <c r="L1211" s="190"/>
      <c r="M1211" s="190"/>
    </row>
    <row r="1212" spans="1:13" s="141" customFormat="1" x14ac:dyDescent="0.2">
      <c r="A1212" s="182"/>
      <c r="B1212" s="183"/>
      <c r="C1212" s="184"/>
      <c r="D1212" s="185"/>
      <c r="E1212" s="185"/>
      <c r="F1212" s="185"/>
      <c r="G1212" s="185"/>
      <c r="H1212" s="185"/>
      <c r="I1212" s="192" t="s">
        <v>1667</v>
      </c>
      <c r="J1212" s="187" t="s">
        <v>711</v>
      </c>
      <c r="K1212" s="225">
        <f>150000*5%</f>
        <v>7500</v>
      </c>
      <c r="L1212" s="190"/>
      <c r="M1212" s="190"/>
    </row>
    <row r="1213" spans="1:13" s="141" customFormat="1" x14ac:dyDescent="0.2">
      <c r="A1213" s="182"/>
      <c r="B1213" s="183"/>
      <c r="C1213" s="184"/>
      <c r="D1213" s="185"/>
      <c r="E1213" s="185"/>
      <c r="F1213" s="185"/>
      <c r="G1213" s="185"/>
      <c r="H1213" s="185"/>
      <c r="I1213" s="192" t="s">
        <v>1668</v>
      </c>
      <c r="J1213" s="187" t="s">
        <v>711</v>
      </c>
      <c r="K1213" s="225">
        <f>150000*5%</f>
        <v>7500</v>
      </c>
      <c r="L1213" s="190"/>
      <c r="M1213" s="190"/>
    </row>
    <row r="1214" spans="1:13" s="141" customFormat="1" x14ac:dyDescent="0.2">
      <c r="A1214" s="193"/>
      <c r="B1214" s="194"/>
      <c r="C1214" s="195"/>
      <c r="D1214" s="196"/>
      <c r="E1214" s="196"/>
      <c r="F1214" s="196"/>
      <c r="G1214" s="196"/>
      <c r="H1214" s="196"/>
      <c r="I1214" s="206"/>
      <c r="J1214" s="198"/>
      <c r="K1214" s="221">
        <f>SUM(K1210:K1213)</f>
        <v>150000</v>
      </c>
      <c r="L1214" s="201"/>
      <c r="M1214" s="201"/>
    </row>
    <row r="1215" spans="1:13" s="141" customFormat="1" ht="22.5" customHeight="1" x14ac:dyDescent="0.2">
      <c r="A1215" s="172">
        <v>295</v>
      </c>
      <c r="B1215" s="173" t="s">
        <v>1669</v>
      </c>
      <c r="C1215" s="174"/>
      <c r="D1215" s="175" t="s">
        <v>163</v>
      </c>
      <c r="E1215" s="175"/>
      <c r="F1215" s="175"/>
      <c r="G1215" s="175"/>
      <c r="H1215" s="175" t="s">
        <v>108</v>
      </c>
      <c r="I1215" s="283" t="s">
        <v>1670</v>
      </c>
      <c r="J1215" s="259" t="s">
        <v>1671</v>
      </c>
      <c r="K1215" s="224">
        <f>80850*60%</f>
        <v>48510</v>
      </c>
      <c r="L1215" s="180" t="s">
        <v>166</v>
      </c>
      <c r="M1215" s="180" t="s">
        <v>1672</v>
      </c>
    </row>
    <row r="1216" spans="1:13" s="141" customFormat="1" x14ac:dyDescent="0.2">
      <c r="A1216" s="182"/>
      <c r="B1216" s="183"/>
      <c r="C1216" s="184"/>
      <c r="D1216" s="185"/>
      <c r="E1216" s="185"/>
      <c r="F1216" s="185"/>
      <c r="G1216" s="185"/>
      <c r="H1216" s="185"/>
      <c r="I1216" s="192" t="s">
        <v>1673</v>
      </c>
      <c r="J1216" s="187" t="s">
        <v>365</v>
      </c>
      <c r="K1216" s="220">
        <f>80850*20%</f>
        <v>16170</v>
      </c>
      <c r="L1216" s="190"/>
      <c r="M1216" s="190"/>
    </row>
    <row r="1217" spans="1:14" s="141" customFormat="1" x14ac:dyDescent="0.2">
      <c r="A1217" s="182"/>
      <c r="B1217" s="183"/>
      <c r="C1217" s="184"/>
      <c r="D1217" s="185"/>
      <c r="E1217" s="185"/>
      <c r="F1217" s="185"/>
      <c r="G1217" s="185"/>
      <c r="H1217" s="185"/>
      <c r="I1217" s="192" t="s">
        <v>1674</v>
      </c>
      <c r="J1217" s="187" t="s">
        <v>711</v>
      </c>
      <c r="K1217" s="220">
        <f>80850*15%</f>
        <v>12127.5</v>
      </c>
      <c r="L1217" s="190"/>
      <c r="M1217" s="190"/>
    </row>
    <row r="1218" spans="1:14" s="141" customFormat="1" x14ac:dyDescent="0.2">
      <c r="A1218" s="182"/>
      <c r="B1218" s="183"/>
      <c r="C1218" s="184"/>
      <c r="D1218" s="185"/>
      <c r="E1218" s="185"/>
      <c r="F1218" s="185"/>
      <c r="G1218" s="185"/>
      <c r="H1218" s="185"/>
      <c r="I1218" s="192" t="s">
        <v>1651</v>
      </c>
      <c r="J1218" s="187" t="s">
        <v>711</v>
      </c>
      <c r="K1218" s="220">
        <f>80850*5%</f>
        <v>4042.5</v>
      </c>
      <c r="L1218" s="190"/>
      <c r="M1218" s="190"/>
    </row>
    <row r="1219" spans="1:14" s="141" customFormat="1" x14ac:dyDescent="0.2">
      <c r="A1219" s="193"/>
      <c r="B1219" s="194"/>
      <c r="C1219" s="195"/>
      <c r="D1219" s="196"/>
      <c r="E1219" s="196"/>
      <c r="F1219" s="196"/>
      <c r="G1219" s="196"/>
      <c r="H1219" s="196"/>
      <c r="I1219" s="206"/>
      <c r="J1219" s="198"/>
      <c r="K1219" s="221">
        <f>SUM(K1215:K1218)</f>
        <v>80850</v>
      </c>
      <c r="L1219" s="201"/>
      <c r="M1219" s="201"/>
    </row>
    <row r="1220" spans="1:14" s="141" customFormat="1" x14ac:dyDescent="0.2">
      <c r="A1220" s="263">
        <v>296</v>
      </c>
      <c r="B1220" s="173" t="s">
        <v>1675</v>
      </c>
      <c r="C1220" s="174"/>
      <c r="D1220" s="175" t="s">
        <v>25</v>
      </c>
      <c r="E1220" s="175"/>
      <c r="F1220" s="175" t="s">
        <v>1312</v>
      </c>
      <c r="G1220" s="175" t="s">
        <v>1676</v>
      </c>
      <c r="H1220" s="175" t="s">
        <v>361</v>
      </c>
      <c r="I1220" s="443" t="s">
        <v>1677</v>
      </c>
      <c r="J1220" s="272" t="s">
        <v>365</v>
      </c>
      <c r="K1220" s="383">
        <f>1500000*25%</f>
        <v>375000</v>
      </c>
      <c r="L1220" s="180" t="s">
        <v>1676</v>
      </c>
      <c r="M1220" s="180" t="s">
        <v>1678</v>
      </c>
    </row>
    <row r="1221" spans="1:14" s="141" customFormat="1" x14ac:dyDescent="0.2">
      <c r="A1221" s="255"/>
      <c r="B1221" s="183"/>
      <c r="C1221" s="184"/>
      <c r="D1221" s="185"/>
      <c r="E1221" s="185"/>
      <c r="F1221" s="185"/>
      <c r="G1221" s="185"/>
      <c r="H1221" s="185"/>
      <c r="I1221" s="444" t="s">
        <v>1679</v>
      </c>
      <c r="J1221" s="384" t="s">
        <v>365</v>
      </c>
      <c r="K1221" s="261">
        <f>1500000*25%</f>
        <v>375000</v>
      </c>
      <c r="L1221" s="190"/>
      <c r="M1221" s="190"/>
    </row>
    <row r="1222" spans="1:14" s="141" customFormat="1" x14ac:dyDescent="0.2">
      <c r="A1222" s="255"/>
      <c r="B1222" s="183"/>
      <c r="C1222" s="184"/>
      <c r="D1222" s="185"/>
      <c r="E1222" s="185"/>
      <c r="F1222" s="185"/>
      <c r="G1222" s="185"/>
      <c r="H1222" s="185"/>
      <c r="I1222" s="443" t="s">
        <v>1680</v>
      </c>
      <c r="J1222" s="445" t="s">
        <v>1048</v>
      </c>
      <c r="K1222" s="225">
        <f>1500000*25%</f>
        <v>375000</v>
      </c>
      <c r="L1222" s="190"/>
      <c r="M1222" s="190"/>
      <c r="N1222" s="181"/>
    </row>
    <row r="1223" spans="1:14" s="141" customFormat="1" x14ac:dyDescent="0.2">
      <c r="A1223" s="255"/>
      <c r="B1223" s="183"/>
      <c r="C1223" s="184"/>
      <c r="D1223" s="185"/>
      <c r="E1223" s="185"/>
      <c r="F1223" s="185"/>
      <c r="G1223" s="185"/>
      <c r="H1223" s="185"/>
      <c r="I1223" s="192" t="s">
        <v>1681</v>
      </c>
      <c r="J1223" s="177" t="s">
        <v>365</v>
      </c>
      <c r="K1223" s="285">
        <f>1500000*25%</f>
        <v>375000</v>
      </c>
      <c r="L1223" s="190"/>
      <c r="M1223" s="190"/>
    </row>
    <row r="1224" spans="1:14" s="141" customFormat="1" x14ac:dyDescent="0.2">
      <c r="A1224" s="256"/>
      <c r="B1224" s="194"/>
      <c r="C1224" s="195"/>
      <c r="D1224" s="196"/>
      <c r="E1224" s="196"/>
      <c r="F1224" s="196"/>
      <c r="G1224" s="196"/>
      <c r="H1224" s="196"/>
      <c r="I1224" s="206"/>
      <c r="J1224" s="198"/>
      <c r="K1224" s="257">
        <v>1500000</v>
      </c>
      <c r="L1224" s="201"/>
      <c r="M1224" s="201"/>
    </row>
    <row r="1225" spans="1:14" s="141" customFormat="1" ht="42.75" customHeight="1" x14ac:dyDescent="0.2">
      <c r="A1225" s="316">
        <v>297</v>
      </c>
      <c r="B1225" s="173" t="s">
        <v>1682</v>
      </c>
      <c r="C1225" s="174"/>
      <c r="D1225" s="320" t="s">
        <v>107</v>
      </c>
      <c r="E1225" s="321"/>
      <c r="F1225" s="321"/>
      <c r="G1225" s="321"/>
      <c r="H1225" s="321"/>
      <c r="I1225" s="272" t="s">
        <v>1683</v>
      </c>
      <c r="J1225" s="330" t="s">
        <v>711</v>
      </c>
      <c r="K1225" s="271">
        <v>18000</v>
      </c>
      <c r="L1225" s="323" t="s">
        <v>111</v>
      </c>
      <c r="M1225" s="272" t="s">
        <v>1684</v>
      </c>
    </row>
    <row r="1226" spans="1:14" s="141" customFormat="1" ht="60" customHeight="1" x14ac:dyDescent="0.2">
      <c r="A1226" s="316">
        <v>298</v>
      </c>
      <c r="B1226" s="173" t="s">
        <v>1685</v>
      </c>
      <c r="C1226" s="174"/>
      <c r="D1226" s="320" t="s">
        <v>107</v>
      </c>
      <c r="E1226" s="321"/>
      <c r="F1226" s="321"/>
      <c r="G1226" s="321"/>
      <c r="H1226" s="321"/>
      <c r="I1226" s="272" t="s">
        <v>1686</v>
      </c>
      <c r="J1226" s="312" t="s">
        <v>711</v>
      </c>
      <c r="K1226" s="271">
        <v>18000</v>
      </c>
      <c r="L1226" s="323" t="s">
        <v>111</v>
      </c>
      <c r="M1226" s="272" t="s">
        <v>1687</v>
      </c>
    </row>
    <row r="1227" spans="1:14" s="141" customFormat="1" ht="23.25" customHeight="1" x14ac:dyDescent="0.2">
      <c r="A1227" s="172">
        <v>299</v>
      </c>
      <c r="B1227" s="173" t="s">
        <v>1688</v>
      </c>
      <c r="C1227" s="174"/>
      <c r="D1227" s="263" t="s">
        <v>163</v>
      </c>
      <c r="E1227" s="175"/>
      <c r="F1227" s="175"/>
      <c r="G1227" s="175"/>
      <c r="H1227" s="175" t="s">
        <v>1475</v>
      </c>
      <c r="I1227" s="228" t="s">
        <v>1689</v>
      </c>
      <c r="J1227" s="177" t="s">
        <v>711</v>
      </c>
      <c r="K1227" s="216">
        <f>K1234*55%</f>
        <v>44467.5</v>
      </c>
      <c r="L1227" s="179" t="s">
        <v>324</v>
      </c>
      <c r="M1227" s="180" t="s">
        <v>1690</v>
      </c>
    </row>
    <row r="1228" spans="1:14" s="141" customFormat="1" x14ac:dyDescent="0.2">
      <c r="A1228" s="182"/>
      <c r="B1228" s="183"/>
      <c r="C1228" s="184"/>
      <c r="D1228" s="255"/>
      <c r="E1228" s="185"/>
      <c r="F1228" s="185"/>
      <c r="G1228" s="185"/>
      <c r="H1228" s="185"/>
      <c r="I1228" s="192" t="s">
        <v>1546</v>
      </c>
      <c r="J1228" s="223" t="s">
        <v>365</v>
      </c>
      <c r="K1228" s="213">
        <f>K1234*10%</f>
        <v>8085</v>
      </c>
      <c r="L1228" s="189"/>
      <c r="M1228" s="190"/>
    </row>
    <row r="1229" spans="1:14" s="141" customFormat="1" x14ac:dyDescent="0.2">
      <c r="A1229" s="182"/>
      <c r="B1229" s="183"/>
      <c r="C1229" s="184"/>
      <c r="D1229" s="255"/>
      <c r="E1229" s="185"/>
      <c r="F1229" s="185"/>
      <c r="G1229" s="185"/>
      <c r="H1229" s="185"/>
      <c r="I1229" s="176" t="s">
        <v>1691</v>
      </c>
      <c r="J1229" s="177" t="s">
        <v>711</v>
      </c>
      <c r="K1229" s="210">
        <f>K1234*10%</f>
        <v>8085</v>
      </c>
      <c r="L1229" s="189"/>
      <c r="M1229" s="190"/>
    </row>
    <row r="1230" spans="1:14" s="141" customFormat="1" x14ac:dyDescent="0.2">
      <c r="A1230" s="182"/>
      <c r="B1230" s="183"/>
      <c r="C1230" s="184"/>
      <c r="D1230" s="255"/>
      <c r="E1230" s="185"/>
      <c r="F1230" s="185"/>
      <c r="G1230" s="185"/>
      <c r="H1230" s="185"/>
      <c r="I1230" s="192" t="s">
        <v>1692</v>
      </c>
      <c r="J1230" s="223" t="s">
        <v>711</v>
      </c>
      <c r="K1230" s="213">
        <f>K1234*10%</f>
        <v>8085</v>
      </c>
      <c r="L1230" s="189"/>
      <c r="M1230" s="190"/>
    </row>
    <row r="1231" spans="1:14" s="141" customFormat="1" x14ac:dyDescent="0.2">
      <c r="A1231" s="182"/>
      <c r="B1231" s="183"/>
      <c r="C1231" s="184"/>
      <c r="D1231" s="255"/>
      <c r="E1231" s="185"/>
      <c r="F1231" s="185"/>
      <c r="G1231" s="185"/>
      <c r="H1231" s="185"/>
      <c r="I1231" s="192" t="s">
        <v>1693</v>
      </c>
      <c r="J1231" s="177" t="s">
        <v>711</v>
      </c>
      <c r="K1231" s="211">
        <f>K1234*5%</f>
        <v>4042.5</v>
      </c>
      <c r="L1231" s="189"/>
      <c r="M1231" s="190"/>
    </row>
    <row r="1232" spans="1:14" s="141" customFormat="1" x14ac:dyDescent="0.2">
      <c r="A1232" s="182"/>
      <c r="B1232" s="183"/>
      <c r="C1232" s="184"/>
      <c r="D1232" s="255"/>
      <c r="E1232" s="185"/>
      <c r="F1232" s="185"/>
      <c r="G1232" s="185"/>
      <c r="H1232" s="185"/>
      <c r="I1232" s="192" t="s">
        <v>1650</v>
      </c>
      <c r="J1232" s="223" t="s">
        <v>711</v>
      </c>
      <c r="K1232" s="217">
        <f>K1234*5%</f>
        <v>4042.5</v>
      </c>
      <c r="L1232" s="189"/>
      <c r="M1232" s="190"/>
    </row>
    <row r="1233" spans="1:14" s="141" customFormat="1" x14ac:dyDescent="0.2">
      <c r="A1233" s="182"/>
      <c r="B1233" s="183"/>
      <c r="C1233" s="184"/>
      <c r="D1233" s="255"/>
      <c r="E1233" s="185"/>
      <c r="F1233" s="185"/>
      <c r="G1233" s="185"/>
      <c r="H1233" s="185"/>
      <c r="I1233" s="192" t="s">
        <v>1694</v>
      </c>
      <c r="J1233" s="223" t="s">
        <v>711</v>
      </c>
      <c r="K1233" s="217">
        <f>K1234*5%</f>
        <v>4042.5</v>
      </c>
      <c r="L1233" s="189"/>
      <c r="M1233" s="190"/>
    </row>
    <row r="1234" spans="1:14" s="141" customFormat="1" x14ac:dyDescent="0.2">
      <c r="A1234" s="193"/>
      <c r="B1234" s="194"/>
      <c r="C1234" s="195"/>
      <c r="D1234" s="256"/>
      <c r="E1234" s="196"/>
      <c r="F1234" s="196"/>
      <c r="G1234" s="196"/>
      <c r="H1234" s="196"/>
      <c r="I1234" s="197"/>
      <c r="J1234" s="226"/>
      <c r="K1234" s="227">
        <v>80850</v>
      </c>
      <c r="L1234" s="200"/>
      <c r="M1234" s="201"/>
    </row>
    <row r="1235" spans="1:14" s="141" customFormat="1" ht="21" customHeight="1" x14ac:dyDescent="0.2">
      <c r="A1235" s="172">
        <v>300</v>
      </c>
      <c r="B1235" s="173" t="s">
        <v>1695</v>
      </c>
      <c r="C1235" s="174"/>
      <c r="D1235" s="263" t="s">
        <v>107</v>
      </c>
      <c r="E1235" s="175"/>
      <c r="F1235" s="175"/>
      <c r="G1235" s="175"/>
      <c r="H1235" s="258" t="s">
        <v>164</v>
      </c>
      <c r="I1235" s="176" t="s">
        <v>1696</v>
      </c>
      <c r="J1235" s="202" t="s">
        <v>365</v>
      </c>
      <c r="K1235" s="393">
        <f>10000*80%</f>
        <v>8000</v>
      </c>
      <c r="L1235" s="174" t="s">
        <v>111</v>
      </c>
      <c r="M1235" s="180" t="s">
        <v>1697</v>
      </c>
    </row>
    <row r="1236" spans="1:14" s="141" customFormat="1" ht="20.25" customHeight="1" x14ac:dyDescent="0.2">
      <c r="A1236" s="182"/>
      <c r="B1236" s="183"/>
      <c r="C1236" s="184"/>
      <c r="D1236" s="255"/>
      <c r="E1236" s="185"/>
      <c r="F1236" s="185"/>
      <c r="G1236" s="185"/>
      <c r="H1236" s="260"/>
      <c r="I1236" s="192" t="s">
        <v>1698</v>
      </c>
      <c r="J1236" s="187" t="s">
        <v>373</v>
      </c>
      <c r="K1236" s="225">
        <f>10000*20%</f>
        <v>2000</v>
      </c>
      <c r="L1236" s="184"/>
      <c r="M1236" s="190"/>
    </row>
    <row r="1237" spans="1:14" s="141" customFormat="1" x14ac:dyDescent="0.2">
      <c r="A1237" s="193"/>
      <c r="B1237" s="194"/>
      <c r="C1237" s="195"/>
      <c r="D1237" s="256"/>
      <c r="E1237" s="196"/>
      <c r="F1237" s="196"/>
      <c r="G1237" s="196"/>
      <c r="H1237" s="262"/>
      <c r="I1237" s="206"/>
      <c r="J1237" s="147"/>
      <c r="K1237" s="257">
        <f>SUM(K1235:K1236)</f>
        <v>10000</v>
      </c>
      <c r="L1237" s="195"/>
      <c r="M1237" s="201"/>
    </row>
    <row r="1238" spans="1:14" s="141" customFormat="1" ht="48.75" customHeight="1" x14ac:dyDescent="0.2">
      <c r="A1238" s="316">
        <v>301</v>
      </c>
      <c r="B1238" s="173" t="s">
        <v>1699</v>
      </c>
      <c r="C1238" s="174"/>
      <c r="D1238" s="320" t="s">
        <v>107</v>
      </c>
      <c r="E1238" s="321"/>
      <c r="F1238" s="321"/>
      <c r="G1238" s="321"/>
      <c r="H1238" s="421"/>
      <c r="I1238" s="272" t="s">
        <v>1700</v>
      </c>
      <c r="J1238" s="272" t="s">
        <v>711</v>
      </c>
      <c r="K1238" s="291">
        <f>20000*100%</f>
        <v>20000</v>
      </c>
      <c r="L1238" s="319" t="s">
        <v>111</v>
      </c>
      <c r="M1238" s="272" t="s">
        <v>1701</v>
      </c>
    </row>
    <row r="1239" spans="1:14" s="141" customFormat="1" x14ac:dyDescent="0.2">
      <c r="A1239" s="333">
        <v>302</v>
      </c>
      <c r="B1239" s="173" t="s">
        <v>1702</v>
      </c>
      <c r="C1239" s="174"/>
      <c r="D1239" s="175" t="s">
        <v>25</v>
      </c>
      <c r="E1239" s="175"/>
      <c r="F1239" s="175" t="s">
        <v>1312</v>
      </c>
      <c r="G1239" s="175" t="s">
        <v>1676</v>
      </c>
      <c r="H1239" s="175" t="s">
        <v>361</v>
      </c>
      <c r="I1239" s="322" t="s">
        <v>1703</v>
      </c>
      <c r="J1239" s="397" t="s">
        <v>711</v>
      </c>
      <c r="K1239" s="383">
        <f>500000*50%</f>
        <v>250000</v>
      </c>
      <c r="L1239" s="180" t="s">
        <v>1676</v>
      </c>
      <c r="M1239" s="180" t="s">
        <v>1704</v>
      </c>
    </row>
    <row r="1240" spans="1:14" s="141" customFormat="1" x14ac:dyDescent="0.2">
      <c r="A1240" s="334"/>
      <c r="B1240" s="183"/>
      <c r="C1240" s="184"/>
      <c r="D1240" s="185"/>
      <c r="E1240" s="185"/>
      <c r="F1240" s="185"/>
      <c r="G1240" s="185"/>
      <c r="H1240" s="185"/>
      <c r="I1240" s="192" t="s">
        <v>1705</v>
      </c>
      <c r="J1240" s="446" t="s">
        <v>711</v>
      </c>
      <c r="K1240" s="225">
        <f>500000*15%</f>
        <v>75000</v>
      </c>
      <c r="L1240" s="190"/>
      <c r="M1240" s="190"/>
    </row>
    <row r="1241" spans="1:14" s="141" customFormat="1" x14ac:dyDescent="0.2">
      <c r="A1241" s="334"/>
      <c r="B1241" s="183"/>
      <c r="C1241" s="184"/>
      <c r="D1241" s="185"/>
      <c r="E1241" s="185"/>
      <c r="F1241" s="185"/>
      <c r="G1241" s="185"/>
      <c r="H1241" s="185"/>
      <c r="I1241" s="192" t="s">
        <v>1706</v>
      </c>
      <c r="J1241" s="447" t="s">
        <v>711</v>
      </c>
      <c r="K1241" s="393">
        <f>500000*15%</f>
        <v>75000</v>
      </c>
      <c r="L1241" s="190"/>
      <c r="M1241" s="190"/>
    </row>
    <row r="1242" spans="1:14" s="141" customFormat="1" x14ac:dyDescent="0.2">
      <c r="A1242" s="334"/>
      <c r="B1242" s="183"/>
      <c r="C1242" s="184"/>
      <c r="D1242" s="185"/>
      <c r="E1242" s="185"/>
      <c r="F1242" s="185"/>
      <c r="G1242" s="185"/>
      <c r="H1242" s="185"/>
      <c r="I1242" s="176" t="s">
        <v>1707</v>
      </c>
      <c r="J1242" s="147" t="s">
        <v>711</v>
      </c>
      <c r="K1242" s="393">
        <f>500000*10%</f>
        <v>50000</v>
      </c>
      <c r="L1242" s="190"/>
      <c r="M1242" s="190"/>
    </row>
    <row r="1243" spans="1:14" s="141" customFormat="1" x14ac:dyDescent="0.2">
      <c r="A1243" s="334"/>
      <c r="B1243" s="183"/>
      <c r="C1243" s="184"/>
      <c r="D1243" s="185"/>
      <c r="E1243" s="185"/>
      <c r="F1243" s="185"/>
      <c r="G1243" s="185"/>
      <c r="H1243" s="185"/>
      <c r="I1243" s="186" t="s">
        <v>1708</v>
      </c>
      <c r="J1243" s="446" t="s">
        <v>711</v>
      </c>
      <c r="K1243" s="393">
        <f>500000*10%</f>
        <v>50000</v>
      </c>
      <c r="L1243" s="190"/>
      <c r="M1243" s="190"/>
    </row>
    <row r="1244" spans="1:14" s="141" customFormat="1" x14ac:dyDescent="0.2">
      <c r="A1244" s="335"/>
      <c r="B1244" s="194"/>
      <c r="C1244" s="195"/>
      <c r="D1244" s="196"/>
      <c r="E1244" s="196"/>
      <c r="F1244" s="196"/>
      <c r="G1244" s="196"/>
      <c r="H1244" s="196"/>
      <c r="I1244" s="186"/>
      <c r="J1244" s="147"/>
      <c r="K1244" s="257">
        <f>SUM(K1239:K1243)</f>
        <v>500000</v>
      </c>
      <c r="L1244" s="201"/>
      <c r="M1244" s="201"/>
    </row>
    <row r="1245" spans="1:14" s="141" customFormat="1" x14ac:dyDescent="0.2">
      <c r="A1245" s="333">
        <v>303</v>
      </c>
      <c r="B1245" s="173" t="s">
        <v>1709</v>
      </c>
      <c r="C1245" s="174"/>
      <c r="D1245" s="263" t="s">
        <v>25</v>
      </c>
      <c r="E1245" s="263"/>
      <c r="F1245" s="263" t="s">
        <v>1312</v>
      </c>
      <c r="G1245" s="263" t="s">
        <v>1710</v>
      </c>
      <c r="H1245" s="263" t="s">
        <v>361</v>
      </c>
      <c r="I1245" s="228" t="s">
        <v>1711</v>
      </c>
      <c r="J1245" s="397" t="s">
        <v>711</v>
      </c>
      <c r="K1245" s="383">
        <f>4870000*50%</f>
        <v>2435000</v>
      </c>
      <c r="L1245" s="180" t="s">
        <v>1710</v>
      </c>
      <c r="M1245" s="180" t="s">
        <v>1712</v>
      </c>
    </row>
    <row r="1246" spans="1:14" s="141" customFormat="1" x14ac:dyDescent="0.2">
      <c r="A1246" s="334"/>
      <c r="B1246" s="183"/>
      <c r="C1246" s="184"/>
      <c r="D1246" s="255"/>
      <c r="E1246" s="255"/>
      <c r="F1246" s="255"/>
      <c r="G1246" s="255"/>
      <c r="H1246" s="255"/>
      <c r="I1246" s="283" t="s">
        <v>1546</v>
      </c>
      <c r="J1246" s="187" t="s">
        <v>711</v>
      </c>
      <c r="K1246" s="225">
        <f>4870000*10%</f>
        <v>487000</v>
      </c>
      <c r="L1246" s="190"/>
      <c r="M1246" s="190"/>
    </row>
    <row r="1247" spans="1:14" s="141" customFormat="1" x14ac:dyDescent="0.2">
      <c r="A1247" s="334"/>
      <c r="B1247" s="183"/>
      <c r="C1247" s="184"/>
      <c r="D1247" s="255"/>
      <c r="E1247" s="255"/>
      <c r="F1247" s="255"/>
      <c r="G1247" s="255"/>
      <c r="H1247" s="255"/>
      <c r="I1247" s="192" t="s">
        <v>1713</v>
      </c>
      <c r="J1247" s="447" t="s">
        <v>709</v>
      </c>
      <c r="K1247" s="225">
        <f>4870000*10%</f>
        <v>487000</v>
      </c>
      <c r="L1247" s="190"/>
      <c r="M1247" s="190"/>
      <c r="N1247" s="181"/>
    </row>
    <row r="1248" spans="1:14" s="141" customFormat="1" x14ac:dyDescent="0.2">
      <c r="A1248" s="334"/>
      <c r="B1248" s="183"/>
      <c r="C1248" s="184"/>
      <c r="D1248" s="255"/>
      <c r="E1248" s="255"/>
      <c r="F1248" s="255"/>
      <c r="G1248" s="255"/>
      <c r="H1248" s="255"/>
      <c r="I1248" s="176" t="s">
        <v>1714</v>
      </c>
      <c r="J1248" s="147" t="s">
        <v>711</v>
      </c>
      <c r="K1248" s="393">
        <f>4870000*30%</f>
        <v>1461000</v>
      </c>
      <c r="L1248" s="190"/>
      <c r="M1248" s="190"/>
    </row>
    <row r="1249" spans="1:14" s="141" customFormat="1" x14ac:dyDescent="0.2">
      <c r="A1249" s="335"/>
      <c r="B1249" s="194"/>
      <c r="C1249" s="195"/>
      <c r="D1249" s="256"/>
      <c r="E1249" s="256"/>
      <c r="F1249" s="256"/>
      <c r="G1249" s="256"/>
      <c r="H1249" s="256"/>
      <c r="I1249" s="206"/>
      <c r="J1249" s="392"/>
      <c r="K1249" s="257">
        <f>SUM(K1245:K1248)</f>
        <v>4870000</v>
      </c>
      <c r="L1249" s="201"/>
      <c r="M1249" s="201"/>
    </row>
    <row r="1250" spans="1:14" s="141" customFormat="1" ht="70.5" customHeight="1" x14ac:dyDescent="0.2">
      <c r="A1250" s="448">
        <v>304</v>
      </c>
      <c r="B1250" s="324" t="s">
        <v>1715</v>
      </c>
      <c r="C1250" s="325"/>
      <c r="D1250" s="321" t="s">
        <v>107</v>
      </c>
      <c r="E1250" s="321"/>
      <c r="F1250" s="321"/>
      <c r="G1250" s="321"/>
      <c r="H1250" s="321"/>
      <c r="I1250" s="176" t="s">
        <v>1604</v>
      </c>
      <c r="J1250" s="147" t="s">
        <v>711</v>
      </c>
      <c r="K1250" s="393">
        <v>36200</v>
      </c>
      <c r="L1250" s="319" t="s">
        <v>111</v>
      </c>
      <c r="M1250" s="272" t="s">
        <v>1716</v>
      </c>
      <c r="N1250" s="181"/>
    </row>
    <row r="1251" spans="1:14" s="141" customFormat="1" ht="69" customHeight="1" x14ac:dyDescent="0.2">
      <c r="A1251" s="340">
        <v>305</v>
      </c>
      <c r="B1251" s="324" t="s">
        <v>1717</v>
      </c>
      <c r="C1251" s="325"/>
      <c r="D1251" s="321" t="s">
        <v>107</v>
      </c>
      <c r="E1251" s="321"/>
      <c r="F1251" s="321"/>
      <c r="G1251" s="321"/>
      <c r="H1251" s="321"/>
      <c r="I1251" s="289" t="s">
        <v>1604</v>
      </c>
      <c r="J1251" s="326" t="s">
        <v>711</v>
      </c>
      <c r="K1251" s="291">
        <v>36200</v>
      </c>
      <c r="L1251" s="319" t="s">
        <v>111</v>
      </c>
      <c r="M1251" s="272" t="s">
        <v>1718</v>
      </c>
      <c r="N1251" s="181"/>
    </row>
    <row r="1252" spans="1:14" s="141" customFormat="1" x14ac:dyDescent="0.2">
      <c r="A1252" s="333">
        <v>306</v>
      </c>
      <c r="B1252" s="299" t="s">
        <v>1719</v>
      </c>
      <c r="C1252" s="300"/>
      <c r="D1252" s="175" t="s">
        <v>107</v>
      </c>
      <c r="E1252" s="175"/>
      <c r="F1252" s="175"/>
      <c r="G1252" s="175"/>
      <c r="H1252" s="175" t="s">
        <v>164</v>
      </c>
      <c r="I1252" s="228" t="s">
        <v>1720</v>
      </c>
      <c r="J1252" s="275" t="s">
        <v>711</v>
      </c>
      <c r="K1252" s="276">
        <f>10000*60%</f>
        <v>6000</v>
      </c>
      <c r="L1252" s="180" t="s">
        <v>111</v>
      </c>
      <c r="M1252" s="180" t="s">
        <v>1721</v>
      </c>
    </row>
    <row r="1253" spans="1:14" s="141" customFormat="1" x14ac:dyDescent="0.2">
      <c r="A1253" s="334"/>
      <c r="B1253" s="294"/>
      <c r="C1253" s="295"/>
      <c r="D1253" s="185"/>
      <c r="E1253" s="185"/>
      <c r="F1253" s="185"/>
      <c r="G1253" s="185"/>
      <c r="H1253" s="185"/>
      <c r="I1253" s="192" t="s">
        <v>1722</v>
      </c>
      <c r="J1253" s="279" t="s">
        <v>711</v>
      </c>
      <c r="K1253" s="225">
        <f>10000*40%</f>
        <v>4000</v>
      </c>
      <c r="L1253" s="190"/>
      <c r="M1253" s="190"/>
    </row>
    <row r="1254" spans="1:14" s="141" customFormat="1" x14ac:dyDescent="0.2">
      <c r="A1254" s="335"/>
      <c r="B1254" s="327"/>
      <c r="C1254" s="328"/>
      <c r="D1254" s="196"/>
      <c r="E1254" s="196"/>
      <c r="F1254" s="196"/>
      <c r="G1254" s="196"/>
      <c r="H1254" s="196"/>
      <c r="I1254" s="206"/>
      <c r="J1254" s="282"/>
      <c r="K1254" s="257">
        <f>SUM(K1252:K1253)</f>
        <v>10000</v>
      </c>
      <c r="L1254" s="201"/>
      <c r="M1254" s="201"/>
    </row>
    <row r="1255" spans="1:14" s="141" customFormat="1" x14ac:dyDescent="0.2">
      <c r="A1255" s="333">
        <v>307</v>
      </c>
      <c r="B1255" s="299" t="s">
        <v>1723</v>
      </c>
      <c r="C1255" s="300"/>
      <c r="D1255" s="175" t="s">
        <v>107</v>
      </c>
      <c r="E1255" s="175"/>
      <c r="F1255" s="175"/>
      <c r="G1255" s="175"/>
      <c r="H1255" s="175"/>
      <c r="I1255" s="283" t="s">
        <v>1724</v>
      </c>
      <c r="J1255" s="284" t="s">
        <v>711</v>
      </c>
      <c r="K1255" s="285">
        <f>80000*60%</f>
        <v>48000</v>
      </c>
      <c r="L1255" s="180" t="s">
        <v>111</v>
      </c>
      <c r="M1255" s="180" t="s">
        <v>1725</v>
      </c>
    </row>
    <row r="1256" spans="1:14" s="141" customFormat="1" x14ac:dyDescent="0.2">
      <c r="A1256" s="334"/>
      <c r="B1256" s="294"/>
      <c r="C1256" s="295"/>
      <c r="D1256" s="185"/>
      <c r="E1256" s="185"/>
      <c r="F1256" s="185"/>
      <c r="G1256" s="185"/>
      <c r="H1256" s="185"/>
      <c r="I1256" s="192" t="s">
        <v>1726</v>
      </c>
      <c r="J1256" s="279" t="s">
        <v>711</v>
      </c>
      <c r="K1256" s="225">
        <f>80000*30%</f>
        <v>24000</v>
      </c>
      <c r="L1256" s="190"/>
      <c r="M1256" s="190"/>
    </row>
    <row r="1257" spans="1:14" s="141" customFormat="1" x14ac:dyDescent="0.2">
      <c r="A1257" s="334"/>
      <c r="B1257" s="294"/>
      <c r="C1257" s="295"/>
      <c r="D1257" s="185"/>
      <c r="E1257" s="185"/>
      <c r="F1257" s="185"/>
      <c r="G1257" s="185"/>
      <c r="H1257" s="185"/>
      <c r="I1257" s="192" t="s">
        <v>1727</v>
      </c>
      <c r="J1257" s="279" t="s">
        <v>224</v>
      </c>
      <c r="K1257" s="225">
        <f>80000*10%</f>
        <v>8000</v>
      </c>
      <c r="L1257" s="190"/>
      <c r="M1257" s="190"/>
    </row>
    <row r="1258" spans="1:14" s="141" customFormat="1" x14ac:dyDescent="0.2">
      <c r="A1258" s="335"/>
      <c r="B1258" s="327"/>
      <c r="C1258" s="328"/>
      <c r="D1258" s="196"/>
      <c r="E1258" s="196"/>
      <c r="F1258" s="196"/>
      <c r="G1258" s="196"/>
      <c r="H1258" s="196"/>
      <c r="I1258" s="186"/>
      <c r="J1258" s="304"/>
      <c r="K1258" s="261">
        <f>SUM(K1255:K1257)</f>
        <v>80000</v>
      </c>
      <c r="L1258" s="201"/>
      <c r="M1258" s="201"/>
    </row>
    <row r="1259" spans="1:14" s="141" customFormat="1" x14ac:dyDescent="0.2">
      <c r="A1259" s="333">
        <v>308</v>
      </c>
      <c r="B1259" s="299" t="s">
        <v>1728</v>
      </c>
      <c r="C1259" s="300"/>
      <c r="D1259" s="175" t="s">
        <v>107</v>
      </c>
      <c r="E1259" s="175"/>
      <c r="F1259" s="175"/>
      <c r="G1259" s="175"/>
      <c r="H1259" s="175"/>
      <c r="I1259" s="228" t="s">
        <v>1729</v>
      </c>
      <c r="J1259" s="275" t="s">
        <v>711</v>
      </c>
      <c r="K1259" s="276">
        <f>80000*50%</f>
        <v>40000</v>
      </c>
      <c r="L1259" s="180" t="s">
        <v>111</v>
      </c>
      <c r="M1259" s="180" t="s">
        <v>1730</v>
      </c>
    </row>
    <row r="1260" spans="1:14" s="141" customFormat="1" x14ac:dyDescent="0.2">
      <c r="A1260" s="334"/>
      <c r="B1260" s="294"/>
      <c r="C1260" s="295"/>
      <c r="D1260" s="185"/>
      <c r="E1260" s="185"/>
      <c r="F1260" s="185"/>
      <c r="G1260" s="185"/>
      <c r="H1260" s="185"/>
      <c r="I1260" s="192" t="s">
        <v>1731</v>
      </c>
      <c r="J1260" s="279" t="s">
        <v>711</v>
      </c>
      <c r="K1260" s="225">
        <f>80000*45%</f>
        <v>36000</v>
      </c>
      <c r="L1260" s="190"/>
      <c r="M1260" s="190"/>
    </row>
    <row r="1261" spans="1:14" s="141" customFormat="1" x14ac:dyDescent="0.2">
      <c r="A1261" s="334"/>
      <c r="B1261" s="294"/>
      <c r="C1261" s="295"/>
      <c r="D1261" s="185"/>
      <c r="E1261" s="185"/>
      <c r="F1261" s="185"/>
      <c r="G1261" s="185"/>
      <c r="H1261" s="185"/>
      <c r="I1261" s="192" t="s">
        <v>1732</v>
      </c>
      <c r="J1261" s="279" t="s">
        <v>711</v>
      </c>
      <c r="K1261" s="225">
        <f>80000*5%</f>
        <v>4000</v>
      </c>
      <c r="L1261" s="190"/>
      <c r="M1261" s="190"/>
    </row>
    <row r="1262" spans="1:14" s="141" customFormat="1" x14ac:dyDescent="0.2">
      <c r="A1262" s="335"/>
      <c r="B1262" s="327"/>
      <c r="C1262" s="328"/>
      <c r="D1262" s="196"/>
      <c r="E1262" s="196"/>
      <c r="F1262" s="196"/>
      <c r="G1262" s="196"/>
      <c r="H1262" s="196"/>
      <c r="I1262" s="206"/>
      <c r="J1262" s="282"/>
      <c r="K1262" s="257">
        <f>SUM(K1259:K1261)</f>
        <v>80000</v>
      </c>
      <c r="L1262" s="201"/>
      <c r="M1262" s="201"/>
    </row>
    <row r="1263" spans="1:14" s="141" customFormat="1" x14ac:dyDescent="0.2">
      <c r="A1263" s="333">
        <v>309</v>
      </c>
      <c r="B1263" s="299" t="s">
        <v>1733</v>
      </c>
      <c r="C1263" s="300"/>
      <c r="D1263" s="175" t="s">
        <v>107</v>
      </c>
      <c r="E1263" s="175"/>
      <c r="F1263" s="175"/>
      <c r="G1263" s="175"/>
      <c r="H1263" s="175"/>
      <c r="I1263" s="228" t="s">
        <v>1734</v>
      </c>
      <c r="J1263" s="275" t="s">
        <v>711</v>
      </c>
      <c r="K1263" s="276">
        <f>80000*40%</f>
        <v>32000</v>
      </c>
      <c r="L1263" s="180" t="s">
        <v>111</v>
      </c>
      <c r="M1263" s="180" t="s">
        <v>1735</v>
      </c>
    </row>
    <row r="1264" spans="1:14" s="141" customFormat="1" x14ac:dyDescent="0.2">
      <c r="A1264" s="334"/>
      <c r="B1264" s="294"/>
      <c r="C1264" s="295"/>
      <c r="D1264" s="185"/>
      <c r="E1264" s="185"/>
      <c r="F1264" s="185"/>
      <c r="G1264" s="185"/>
      <c r="H1264" s="185"/>
      <c r="I1264" s="192" t="s">
        <v>1736</v>
      </c>
      <c r="J1264" s="279" t="s">
        <v>711</v>
      </c>
      <c r="K1264" s="225">
        <f>80000*20%</f>
        <v>16000</v>
      </c>
      <c r="L1264" s="190"/>
      <c r="M1264" s="190"/>
    </row>
    <row r="1265" spans="1:14" s="141" customFormat="1" x14ac:dyDescent="0.2">
      <c r="A1265" s="334"/>
      <c r="B1265" s="294"/>
      <c r="C1265" s="295"/>
      <c r="D1265" s="185"/>
      <c r="E1265" s="185"/>
      <c r="F1265" s="185"/>
      <c r="G1265" s="185"/>
      <c r="H1265" s="185"/>
      <c r="I1265" s="192" t="s">
        <v>1737</v>
      </c>
      <c r="J1265" s="279" t="s">
        <v>711</v>
      </c>
      <c r="K1265" s="225">
        <f>80000*20%</f>
        <v>16000</v>
      </c>
      <c r="L1265" s="190"/>
      <c r="M1265" s="190"/>
    </row>
    <row r="1266" spans="1:14" s="141" customFormat="1" x14ac:dyDescent="0.2">
      <c r="A1266" s="334"/>
      <c r="B1266" s="294"/>
      <c r="C1266" s="295"/>
      <c r="D1266" s="185"/>
      <c r="E1266" s="185"/>
      <c r="F1266" s="185"/>
      <c r="G1266" s="185"/>
      <c r="H1266" s="185"/>
      <c r="I1266" s="192" t="s">
        <v>1738</v>
      </c>
      <c r="J1266" s="279" t="s">
        <v>711</v>
      </c>
      <c r="K1266" s="225">
        <f>80000*20%</f>
        <v>16000</v>
      </c>
      <c r="L1266" s="190"/>
      <c r="M1266" s="190"/>
    </row>
    <row r="1267" spans="1:14" s="141" customFormat="1" x14ac:dyDescent="0.2">
      <c r="A1267" s="335"/>
      <c r="B1267" s="327"/>
      <c r="C1267" s="328"/>
      <c r="D1267" s="196"/>
      <c r="E1267" s="196"/>
      <c r="F1267" s="196"/>
      <c r="G1267" s="196"/>
      <c r="H1267" s="196"/>
      <c r="I1267" s="206"/>
      <c r="J1267" s="282"/>
      <c r="K1267" s="257">
        <f>SUM(K1263:K1266)</f>
        <v>80000</v>
      </c>
      <c r="L1267" s="201"/>
      <c r="M1267" s="201"/>
    </row>
    <row r="1268" spans="1:14" s="141" customFormat="1" x14ac:dyDescent="0.2">
      <c r="A1268" s="333">
        <v>310</v>
      </c>
      <c r="B1268" s="299" t="s">
        <v>1739</v>
      </c>
      <c r="C1268" s="300"/>
      <c r="D1268" s="175" t="s">
        <v>107</v>
      </c>
      <c r="E1268" s="175"/>
      <c r="F1268" s="175"/>
      <c r="G1268" s="175"/>
      <c r="H1268" s="175"/>
      <c r="I1268" s="228" t="s">
        <v>1740</v>
      </c>
      <c r="J1268" s="275" t="s">
        <v>711</v>
      </c>
      <c r="K1268" s="276">
        <f>80000*85%</f>
        <v>68000</v>
      </c>
      <c r="L1268" s="180" t="s">
        <v>111</v>
      </c>
      <c r="M1268" s="180" t="s">
        <v>1741</v>
      </c>
    </row>
    <row r="1269" spans="1:14" s="141" customFormat="1" x14ac:dyDescent="0.2">
      <c r="A1269" s="334"/>
      <c r="B1269" s="294"/>
      <c r="C1269" s="295"/>
      <c r="D1269" s="185"/>
      <c r="E1269" s="185"/>
      <c r="F1269" s="185"/>
      <c r="G1269" s="185"/>
      <c r="H1269" s="185"/>
      <c r="I1269" s="192" t="s">
        <v>1570</v>
      </c>
      <c r="J1269" s="279" t="s">
        <v>711</v>
      </c>
      <c r="K1269" s="225">
        <f>80000*5%</f>
        <v>4000</v>
      </c>
      <c r="L1269" s="190"/>
      <c r="M1269" s="190"/>
    </row>
    <row r="1270" spans="1:14" s="141" customFormat="1" x14ac:dyDescent="0.2">
      <c r="A1270" s="334"/>
      <c r="B1270" s="294"/>
      <c r="C1270" s="295"/>
      <c r="D1270" s="185"/>
      <c r="E1270" s="185"/>
      <c r="F1270" s="185"/>
      <c r="G1270" s="185"/>
      <c r="H1270" s="185"/>
      <c r="I1270" s="192" t="s">
        <v>1481</v>
      </c>
      <c r="J1270" s="279" t="s">
        <v>711</v>
      </c>
      <c r="K1270" s="225">
        <f t="shared" ref="K1270:K1271" si="30">80000*5%</f>
        <v>4000</v>
      </c>
      <c r="L1270" s="190"/>
      <c r="M1270" s="190"/>
    </row>
    <row r="1271" spans="1:14" s="141" customFormat="1" x14ac:dyDescent="0.2">
      <c r="A1271" s="334"/>
      <c r="B1271" s="294"/>
      <c r="C1271" s="295"/>
      <c r="D1271" s="185"/>
      <c r="E1271" s="185"/>
      <c r="F1271" s="185"/>
      <c r="G1271" s="185"/>
      <c r="H1271" s="185"/>
      <c r="I1271" s="192" t="s">
        <v>1742</v>
      </c>
      <c r="J1271" s="279" t="s">
        <v>711</v>
      </c>
      <c r="K1271" s="225">
        <f t="shared" si="30"/>
        <v>4000</v>
      </c>
      <c r="L1271" s="190"/>
      <c r="M1271" s="190"/>
    </row>
    <row r="1272" spans="1:14" s="141" customFormat="1" x14ac:dyDescent="0.2">
      <c r="A1272" s="335"/>
      <c r="B1272" s="327"/>
      <c r="C1272" s="328"/>
      <c r="D1272" s="196"/>
      <c r="E1272" s="196"/>
      <c r="F1272" s="196"/>
      <c r="G1272" s="196"/>
      <c r="H1272" s="196"/>
      <c r="I1272" s="206"/>
      <c r="J1272" s="282"/>
      <c r="K1272" s="257">
        <f>SUM(K1268:K1271)</f>
        <v>80000</v>
      </c>
      <c r="L1272" s="201"/>
      <c r="M1272" s="201"/>
    </row>
    <row r="1273" spans="1:14" s="141" customFormat="1" x14ac:dyDescent="0.2">
      <c r="A1273" s="333">
        <v>311</v>
      </c>
      <c r="B1273" s="299" t="s">
        <v>1743</v>
      </c>
      <c r="C1273" s="300"/>
      <c r="D1273" s="175" t="s">
        <v>25</v>
      </c>
      <c r="E1273" s="175"/>
      <c r="F1273" s="175"/>
      <c r="G1273" s="175" t="s">
        <v>1744</v>
      </c>
      <c r="H1273" s="175"/>
      <c r="I1273" s="228" t="s">
        <v>1745</v>
      </c>
      <c r="J1273" s="272" t="s">
        <v>365</v>
      </c>
      <c r="K1273" s="383">
        <f>5000000*56%</f>
        <v>2800000.0000000005</v>
      </c>
      <c r="L1273" s="180" t="s">
        <v>1744</v>
      </c>
      <c r="M1273" s="180" t="s">
        <v>1746</v>
      </c>
    </row>
    <row r="1274" spans="1:14" s="141" customFormat="1" x14ac:dyDescent="0.2">
      <c r="A1274" s="334"/>
      <c r="B1274" s="294"/>
      <c r="C1274" s="295"/>
      <c r="D1274" s="185"/>
      <c r="E1274" s="185"/>
      <c r="F1274" s="185"/>
      <c r="G1274" s="185"/>
      <c r="H1274" s="185"/>
      <c r="I1274" s="192" t="s">
        <v>1747</v>
      </c>
      <c r="J1274" s="187" t="s">
        <v>790</v>
      </c>
      <c r="K1274" s="261">
        <f>5000000*20%</f>
        <v>1000000</v>
      </c>
      <c r="L1274" s="190"/>
      <c r="M1274" s="190"/>
      <c r="N1274" s="181"/>
    </row>
    <row r="1275" spans="1:14" s="141" customFormat="1" x14ac:dyDescent="0.2">
      <c r="A1275" s="334"/>
      <c r="B1275" s="294"/>
      <c r="C1275" s="295"/>
      <c r="D1275" s="185"/>
      <c r="E1275" s="185"/>
      <c r="F1275" s="185"/>
      <c r="G1275" s="185"/>
      <c r="H1275" s="185"/>
      <c r="I1275" s="192" t="s">
        <v>1748</v>
      </c>
      <c r="J1275" s="187" t="s">
        <v>303</v>
      </c>
      <c r="K1275" s="225">
        <f>5000000*12%</f>
        <v>600000</v>
      </c>
      <c r="L1275" s="190"/>
      <c r="M1275" s="190"/>
    </row>
    <row r="1276" spans="1:14" s="141" customFormat="1" x14ac:dyDescent="0.2">
      <c r="A1276" s="334"/>
      <c r="B1276" s="294"/>
      <c r="C1276" s="295"/>
      <c r="D1276" s="185"/>
      <c r="E1276" s="185"/>
      <c r="F1276" s="185"/>
      <c r="G1276" s="185"/>
      <c r="H1276" s="185"/>
      <c r="I1276" s="192" t="s">
        <v>1749</v>
      </c>
      <c r="J1276" s="187" t="s">
        <v>365</v>
      </c>
      <c r="K1276" s="225">
        <f>5000000*12%</f>
        <v>600000</v>
      </c>
      <c r="L1276" s="190"/>
      <c r="M1276" s="190"/>
    </row>
    <row r="1277" spans="1:14" s="141" customFormat="1" x14ac:dyDescent="0.2">
      <c r="A1277" s="334"/>
      <c r="B1277" s="294"/>
      <c r="C1277" s="295"/>
      <c r="D1277" s="185"/>
      <c r="E1277" s="185"/>
      <c r="F1277" s="185"/>
      <c r="G1277" s="185"/>
      <c r="H1277" s="185"/>
      <c r="I1277" s="197"/>
      <c r="J1277" s="226"/>
      <c r="K1277" s="298">
        <f>SUM(K1273:K1276)</f>
        <v>5000000</v>
      </c>
      <c r="L1277" s="201"/>
      <c r="M1277" s="201"/>
    </row>
    <row r="1278" spans="1:14" s="141" customFormat="1" ht="21.75" customHeight="1" x14ac:dyDescent="0.2">
      <c r="A1278" s="333">
        <v>312</v>
      </c>
      <c r="B1278" s="292" t="s">
        <v>1750</v>
      </c>
      <c r="C1278" s="293"/>
      <c r="D1278" s="175" t="s">
        <v>25</v>
      </c>
      <c r="E1278" s="449"/>
      <c r="F1278" s="449"/>
      <c r="G1278" s="449" t="s">
        <v>1744</v>
      </c>
      <c r="H1278" s="449"/>
      <c r="I1278" s="283" t="s">
        <v>1751</v>
      </c>
      <c r="J1278" s="177" t="s">
        <v>365</v>
      </c>
      <c r="K1278" s="393">
        <f>4000000*65%</f>
        <v>2600000</v>
      </c>
      <c r="L1278" s="180" t="s">
        <v>360</v>
      </c>
      <c r="M1278" s="272" t="s">
        <v>1752</v>
      </c>
    </row>
    <row r="1279" spans="1:14" s="141" customFormat="1" x14ac:dyDescent="0.2">
      <c r="A1279" s="334"/>
      <c r="B1279" s="294"/>
      <c r="C1279" s="295"/>
      <c r="D1279" s="185"/>
      <c r="E1279" s="185"/>
      <c r="F1279" s="185"/>
      <c r="G1279" s="185"/>
      <c r="H1279" s="185"/>
      <c r="I1279" s="176" t="s">
        <v>1586</v>
      </c>
      <c r="J1279" s="187" t="s">
        <v>790</v>
      </c>
      <c r="K1279" s="225">
        <f>4000000*5%</f>
        <v>200000</v>
      </c>
      <c r="L1279" s="190"/>
      <c r="M1279" s="177"/>
    </row>
    <row r="1280" spans="1:14" s="141" customFormat="1" x14ac:dyDescent="0.2">
      <c r="A1280" s="334"/>
      <c r="B1280" s="294"/>
      <c r="C1280" s="295"/>
      <c r="D1280" s="185"/>
      <c r="E1280" s="185"/>
      <c r="F1280" s="185"/>
      <c r="G1280" s="185"/>
      <c r="H1280" s="185"/>
      <c r="I1280" s="192" t="s">
        <v>1656</v>
      </c>
      <c r="J1280" s="177" t="s">
        <v>365</v>
      </c>
      <c r="K1280" s="225">
        <f t="shared" ref="K1280:K1285" si="31">4000000*5%</f>
        <v>200000</v>
      </c>
      <c r="L1280" s="190"/>
      <c r="M1280" s="177"/>
    </row>
    <row r="1281" spans="1:13" s="141" customFormat="1" ht="22.5" customHeight="1" x14ac:dyDescent="0.2">
      <c r="A1281" s="334"/>
      <c r="B1281" s="294"/>
      <c r="C1281" s="295"/>
      <c r="D1281" s="185"/>
      <c r="E1281" s="185"/>
      <c r="F1281" s="185"/>
      <c r="G1281" s="185"/>
      <c r="H1281" s="185"/>
      <c r="I1281" s="176" t="s">
        <v>1041</v>
      </c>
      <c r="J1281" s="187" t="s">
        <v>365</v>
      </c>
      <c r="K1281" s="225">
        <f t="shared" si="31"/>
        <v>200000</v>
      </c>
      <c r="L1281" s="190"/>
      <c r="M1281" s="177"/>
    </row>
    <row r="1282" spans="1:13" s="141" customFormat="1" x14ac:dyDescent="0.2">
      <c r="A1282" s="334"/>
      <c r="B1282" s="294"/>
      <c r="C1282" s="295"/>
      <c r="D1282" s="185"/>
      <c r="E1282" s="185"/>
      <c r="F1282" s="185"/>
      <c r="G1282" s="185"/>
      <c r="H1282" s="185"/>
      <c r="I1282" s="192" t="s">
        <v>1753</v>
      </c>
      <c r="J1282" s="187" t="s">
        <v>367</v>
      </c>
      <c r="K1282" s="225">
        <f t="shared" si="31"/>
        <v>200000</v>
      </c>
      <c r="L1282" s="190"/>
      <c r="M1282" s="177"/>
    </row>
    <row r="1283" spans="1:13" s="141" customFormat="1" x14ac:dyDescent="0.2">
      <c r="A1283" s="334"/>
      <c r="B1283" s="294"/>
      <c r="C1283" s="295"/>
      <c r="D1283" s="185"/>
      <c r="E1283" s="185"/>
      <c r="F1283" s="185"/>
      <c r="G1283" s="185"/>
      <c r="H1283" s="185"/>
      <c r="I1283" s="192" t="s">
        <v>1754</v>
      </c>
      <c r="J1283" s="187" t="s">
        <v>365</v>
      </c>
      <c r="K1283" s="225">
        <f t="shared" si="31"/>
        <v>200000</v>
      </c>
      <c r="L1283" s="190"/>
      <c r="M1283" s="177"/>
    </row>
    <row r="1284" spans="1:13" s="141" customFormat="1" x14ac:dyDescent="0.2">
      <c r="A1284" s="334"/>
      <c r="B1284" s="294"/>
      <c r="C1284" s="295"/>
      <c r="D1284" s="185"/>
      <c r="E1284" s="185"/>
      <c r="F1284" s="185"/>
      <c r="G1284" s="185"/>
      <c r="H1284" s="185"/>
      <c r="I1284" s="176" t="s">
        <v>1755</v>
      </c>
      <c r="J1284" s="187" t="s">
        <v>1048</v>
      </c>
      <c r="K1284" s="225">
        <f t="shared" si="31"/>
        <v>200000</v>
      </c>
      <c r="L1284" s="190"/>
      <c r="M1284" s="177"/>
    </row>
    <row r="1285" spans="1:13" s="141" customFormat="1" x14ac:dyDescent="0.2">
      <c r="A1285" s="334"/>
      <c r="B1285" s="294"/>
      <c r="C1285" s="295"/>
      <c r="D1285" s="185"/>
      <c r="E1285" s="185"/>
      <c r="F1285" s="185"/>
      <c r="G1285" s="185"/>
      <c r="H1285" s="185"/>
      <c r="I1285" s="192" t="s">
        <v>1756</v>
      </c>
      <c r="J1285" s="187" t="s">
        <v>365</v>
      </c>
      <c r="K1285" s="225">
        <f t="shared" si="31"/>
        <v>200000</v>
      </c>
      <c r="L1285" s="190"/>
      <c r="M1285" s="177"/>
    </row>
    <row r="1286" spans="1:13" s="141" customFormat="1" x14ac:dyDescent="0.2">
      <c r="A1286" s="335"/>
      <c r="B1286" s="296"/>
      <c r="C1286" s="297"/>
      <c r="D1286" s="196"/>
      <c r="E1286" s="185"/>
      <c r="F1286" s="185"/>
      <c r="G1286" s="185"/>
      <c r="H1286" s="185"/>
      <c r="I1286" s="186"/>
      <c r="J1286" s="191"/>
      <c r="K1286" s="261">
        <f>SUM(K1278:K1285)</f>
        <v>4000000</v>
      </c>
      <c r="L1286" s="201"/>
      <c r="M1286" s="226"/>
    </row>
    <row r="1287" spans="1:13" s="141" customFormat="1" ht="42" customHeight="1" x14ac:dyDescent="0.2">
      <c r="A1287" s="340">
        <v>313</v>
      </c>
      <c r="B1287" s="450" t="s">
        <v>1757</v>
      </c>
      <c r="C1287" s="451" t="s">
        <v>1757</v>
      </c>
      <c r="D1287" s="321" t="s">
        <v>107</v>
      </c>
      <c r="E1287" s="321"/>
      <c r="F1287" s="321"/>
      <c r="G1287" s="321"/>
      <c r="H1287" s="421"/>
      <c r="I1287" s="228" t="s">
        <v>1758</v>
      </c>
      <c r="J1287" s="275" t="s">
        <v>365</v>
      </c>
      <c r="K1287" s="346">
        <v>8000</v>
      </c>
      <c r="L1287" s="319" t="s">
        <v>111</v>
      </c>
      <c r="M1287" s="272" t="s">
        <v>1759</v>
      </c>
    </row>
    <row r="1288" spans="1:13" s="141" customFormat="1" ht="50.25" customHeight="1" x14ac:dyDescent="0.2">
      <c r="A1288" s="340">
        <v>314</v>
      </c>
      <c r="B1288" s="324" t="s">
        <v>1760</v>
      </c>
      <c r="C1288" s="325" t="s">
        <v>1760</v>
      </c>
      <c r="D1288" s="321" t="s">
        <v>107</v>
      </c>
      <c r="E1288" s="321"/>
      <c r="F1288" s="321"/>
      <c r="G1288" s="321"/>
      <c r="H1288" s="421"/>
      <c r="I1288" s="228" t="s">
        <v>1758</v>
      </c>
      <c r="J1288" s="275" t="s">
        <v>365</v>
      </c>
      <c r="K1288" s="346">
        <v>8000</v>
      </c>
      <c r="L1288" s="319" t="s">
        <v>111</v>
      </c>
      <c r="M1288" s="272" t="s">
        <v>1761</v>
      </c>
    </row>
    <row r="1289" spans="1:13" s="141" customFormat="1" ht="50.25" customHeight="1" x14ac:dyDescent="0.2">
      <c r="A1289" s="334">
        <v>315</v>
      </c>
      <c r="B1289" s="299" t="s">
        <v>1762</v>
      </c>
      <c r="C1289" s="300"/>
      <c r="D1289" s="175" t="s">
        <v>25</v>
      </c>
      <c r="E1289" s="175"/>
      <c r="F1289" s="175"/>
      <c r="G1289" s="175" t="s">
        <v>672</v>
      </c>
      <c r="H1289" s="175"/>
      <c r="I1289" s="322" t="s">
        <v>1531</v>
      </c>
      <c r="J1289" s="272" t="s">
        <v>711</v>
      </c>
      <c r="K1289" s="307">
        <f>750000*20%</f>
        <v>150000</v>
      </c>
      <c r="L1289" s="180" t="s">
        <v>672</v>
      </c>
      <c r="M1289" s="180" t="s">
        <v>1763</v>
      </c>
    </row>
    <row r="1290" spans="1:13" s="141" customFormat="1" ht="50.25" customHeight="1" x14ac:dyDescent="0.2">
      <c r="A1290" s="334"/>
      <c r="B1290" s="294"/>
      <c r="C1290" s="295"/>
      <c r="D1290" s="185"/>
      <c r="E1290" s="185"/>
      <c r="F1290" s="185"/>
      <c r="G1290" s="185"/>
      <c r="H1290" s="185"/>
      <c r="I1290" s="192" t="s">
        <v>1764</v>
      </c>
      <c r="J1290" s="187" t="s">
        <v>211</v>
      </c>
      <c r="K1290" s="305">
        <f>750000*20%</f>
        <v>150000</v>
      </c>
      <c r="L1290" s="190"/>
      <c r="M1290" s="190"/>
    </row>
    <row r="1291" spans="1:13" s="141" customFormat="1" ht="50.25" customHeight="1" x14ac:dyDescent="0.2">
      <c r="A1291" s="334"/>
      <c r="B1291" s="294"/>
      <c r="C1291" s="295"/>
      <c r="D1291" s="185"/>
      <c r="E1291" s="185"/>
      <c r="F1291" s="185"/>
      <c r="G1291" s="185"/>
      <c r="H1291" s="185"/>
      <c r="I1291" s="192" t="s">
        <v>1765</v>
      </c>
      <c r="J1291" s="177" t="s">
        <v>367</v>
      </c>
      <c r="K1291" s="305">
        <f>750000*20%</f>
        <v>150000</v>
      </c>
      <c r="L1291" s="190"/>
      <c r="M1291" s="190"/>
    </row>
    <row r="1292" spans="1:13" s="141" customFormat="1" ht="50.25" customHeight="1" x14ac:dyDescent="0.2">
      <c r="A1292" s="334"/>
      <c r="B1292" s="294"/>
      <c r="C1292" s="295"/>
      <c r="D1292" s="185"/>
      <c r="E1292" s="185"/>
      <c r="F1292" s="185"/>
      <c r="G1292" s="185"/>
      <c r="H1292" s="185"/>
      <c r="I1292" s="192" t="s">
        <v>1766</v>
      </c>
      <c r="J1292" s="191" t="s">
        <v>196</v>
      </c>
      <c r="K1292" s="305">
        <f>750000*20%</f>
        <v>150000</v>
      </c>
      <c r="L1292" s="190"/>
      <c r="M1292" s="190"/>
    </row>
    <row r="1293" spans="1:13" s="141" customFormat="1" ht="50.25" customHeight="1" x14ac:dyDescent="0.2">
      <c r="A1293" s="334"/>
      <c r="B1293" s="294"/>
      <c r="C1293" s="295"/>
      <c r="D1293" s="185"/>
      <c r="E1293" s="185"/>
      <c r="F1293" s="185"/>
      <c r="G1293" s="185"/>
      <c r="H1293" s="185"/>
      <c r="I1293" s="176" t="s">
        <v>1767</v>
      </c>
      <c r="J1293" s="187" t="s">
        <v>190</v>
      </c>
      <c r="K1293" s="305">
        <f>750000*20%</f>
        <v>150000</v>
      </c>
      <c r="L1293" s="190"/>
      <c r="M1293" s="190"/>
    </row>
    <row r="1294" spans="1:13" s="141" customFormat="1" ht="50.25" customHeight="1" x14ac:dyDescent="0.2">
      <c r="A1294" s="335"/>
      <c r="B1294" s="296"/>
      <c r="C1294" s="297"/>
      <c r="D1294" s="196"/>
      <c r="E1294" s="196"/>
      <c r="F1294" s="196"/>
      <c r="G1294" s="196"/>
      <c r="H1294" s="196"/>
      <c r="I1294" s="206"/>
      <c r="J1294" s="226"/>
      <c r="K1294" s="311">
        <f>SUM(K1289:K1293)</f>
        <v>750000</v>
      </c>
      <c r="L1294" s="201"/>
      <c r="M1294" s="201"/>
    </row>
    <row r="1295" spans="1:13" s="141" customFormat="1" ht="23.25" customHeight="1" x14ac:dyDescent="0.2">
      <c r="A1295" s="333">
        <v>316</v>
      </c>
      <c r="B1295" s="292" t="s">
        <v>1768</v>
      </c>
      <c r="C1295" s="293"/>
      <c r="D1295" s="175" t="s">
        <v>25</v>
      </c>
      <c r="E1295" s="175"/>
      <c r="F1295" s="175"/>
      <c r="G1295" s="175" t="s">
        <v>1676</v>
      </c>
      <c r="H1295" s="175"/>
      <c r="I1295" s="228" t="s">
        <v>1769</v>
      </c>
      <c r="J1295" s="202" t="s">
        <v>365</v>
      </c>
      <c r="K1295" s="346">
        <f>500000*50%</f>
        <v>250000</v>
      </c>
      <c r="L1295" s="180" t="s">
        <v>1676</v>
      </c>
      <c r="M1295" s="180" t="s">
        <v>1704</v>
      </c>
    </row>
    <row r="1296" spans="1:13" s="141" customFormat="1" ht="23.25" customHeight="1" x14ac:dyDescent="0.2">
      <c r="A1296" s="334"/>
      <c r="B1296" s="294"/>
      <c r="C1296" s="295"/>
      <c r="D1296" s="185"/>
      <c r="E1296" s="185"/>
      <c r="F1296" s="185"/>
      <c r="G1296" s="185"/>
      <c r="H1296" s="185"/>
      <c r="I1296" s="176" t="s">
        <v>1770</v>
      </c>
      <c r="J1296" s="177" t="s">
        <v>365</v>
      </c>
      <c r="K1296" s="302">
        <f>500000*10%</f>
        <v>50000</v>
      </c>
      <c r="L1296" s="190"/>
      <c r="M1296" s="190"/>
    </row>
    <row r="1297" spans="1:13" s="141" customFormat="1" ht="23.25" customHeight="1" x14ac:dyDescent="0.2">
      <c r="A1297" s="334"/>
      <c r="B1297" s="294"/>
      <c r="C1297" s="295"/>
      <c r="D1297" s="185"/>
      <c r="E1297" s="185"/>
      <c r="F1297" s="185"/>
      <c r="G1297" s="185"/>
      <c r="H1297" s="185"/>
      <c r="I1297" s="192" t="s">
        <v>1771</v>
      </c>
      <c r="J1297" s="187" t="s">
        <v>365</v>
      </c>
      <c r="K1297" s="452">
        <f>500000*10%</f>
        <v>50000</v>
      </c>
      <c r="L1297" s="190"/>
      <c r="M1297" s="190"/>
    </row>
    <row r="1298" spans="1:13" s="141" customFormat="1" ht="23.25" customHeight="1" x14ac:dyDescent="0.2">
      <c r="A1298" s="334"/>
      <c r="B1298" s="294"/>
      <c r="C1298" s="295"/>
      <c r="D1298" s="185"/>
      <c r="E1298" s="185"/>
      <c r="F1298" s="185"/>
      <c r="G1298" s="185"/>
      <c r="H1298" s="185"/>
      <c r="I1298" s="192" t="s">
        <v>1772</v>
      </c>
      <c r="J1298" s="177" t="s">
        <v>365</v>
      </c>
      <c r="K1298" s="302">
        <f>500000*10%</f>
        <v>50000</v>
      </c>
      <c r="L1298" s="190"/>
      <c r="M1298" s="190"/>
    </row>
    <row r="1299" spans="1:13" s="141" customFormat="1" ht="26.25" customHeight="1" x14ac:dyDescent="0.2">
      <c r="A1299" s="334"/>
      <c r="B1299" s="294"/>
      <c r="C1299" s="295"/>
      <c r="D1299" s="185"/>
      <c r="E1299" s="185"/>
      <c r="F1299" s="185"/>
      <c r="G1299" s="185"/>
      <c r="H1299" s="185"/>
      <c r="I1299" s="192" t="s">
        <v>1708</v>
      </c>
      <c r="J1299" s="187" t="s">
        <v>365</v>
      </c>
      <c r="K1299" s="452">
        <f>500000*10%</f>
        <v>50000</v>
      </c>
      <c r="L1299" s="190"/>
      <c r="M1299" s="190"/>
    </row>
    <row r="1300" spans="1:13" s="141" customFormat="1" ht="20.25" customHeight="1" x14ac:dyDescent="0.2">
      <c r="A1300" s="334"/>
      <c r="B1300" s="294"/>
      <c r="C1300" s="295"/>
      <c r="D1300" s="185"/>
      <c r="E1300" s="185"/>
      <c r="F1300" s="185"/>
      <c r="G1300" s="185"/>
      <c r="H1300" s="185"/>
      <c r="I1300" s="192" t="s">
        <v>1773</v>
      </c>
      <c r="J1300" s="187" t="s">
        <v>365</v>
      </c>
      <c r="K1300" s="302">
        <f>500000*10%</f>
        <v>50000</v>
      </c>
      <c r="L1300" s="190"/>
      <c r="M1300" s="190"/>
    </row>
    <row r="1301" spans="1:13" s="141" customFormat="1" ht="21" customHeight="1" x14ac:dyDescent="0.2">
      <c r="A1301" s="334"/>
      <c r="B1301" s="294"/>
      <c r="C1301" s="295"/>
      <c r="D1301" s="185"/>
      <c r="E1301" s="185"/>
      <c r="F1301" s="185"/>
      <c r="G1301" s="185"/>
      <c r="H1301" s="185"/>
      <c r="I1301" s="176"/>
      <c r="J1301" s="226"/>
      <c r="K1301" s="453">
        <f>SUM(K1295:K1300)</f>
        <v>500000</v>
      </c>
      <c r="L1301" s="201"/>
      <c r="M1301" s="201"/>
    </row>
    <row r="1302" spans="1:13" s="141" customFormat="1" ht="21" customHeight="1" x14ac:dyDescent="0.2">
      <c r="A1302" s="333">
        <v>317</v>
      </c>
      <c r="B1302" s="292" t="s">
        <v>1774</v>
      </c>
      <c r="C1302" s="293"/>
      <c r="D1302" s="321" t="s">
        <v>25</v>
      </c>
      <c r="E1302" s="321"/>
      <c r="F1302" s="321"/>
      <c r="G1302" s="321" t="s">
        <v>1428</v>
      </c>
      <c r="H1302" s="321"/>
      <c r="I1302" s="228" t="s">
        <v>1775</v>
      </c>
      <c r="J1302" s="202" t="s">
        <v>365</v>
      </c>
      <c r="K1302" s="454">
        <f>900000*35%</f>
        <v>315000</v>
      </c>
      <c r="L1302" s="180" t="s">
        <v>1428</v>
      </c>
      <c r="M1302" s="180" t="s">
        <v>1776</v>
      </c>
    </row>
    <row r="1303" spans="1:13" s="141" customFormat="1" ht="21" customHeight="1" x14ac:dyDescent="0.2">
      <c r="A1303" s="334"/>
      <c r="B1303" s="294"/>
      <c r="C1303" s="295"/>
      <c r="D1303" s="318"/>
      <c r="E1303" s="318"/>
      <c r="F1303" s="318"/>
      <c r="G1303" s="318"/>
      <c r="H1303" s="318"/>
      <c r="I1303" s="176" t="s">
        <v>1777</v>
      </c>
      <c r="J1303" s="187" t="s">
        <v>365</v>
      </c>
      <c r="K1303" s="455">
        <f>900000*5%</f>
        <v>45000</v>
      </c>
      <c r="L1303" s="190"/>
      <c r="M1303" s="190"/>
    </row>
    <row r="1304" spans="1:13" s="141" customFormat="1" ht="21" customHeight="1" x14ac:dyDescent="0.2">
      <c r="A1304" s="334"/>
      <c r="B1304" s="294"/>
      <c r="C1304" s="295"/>
      <c r="D1304" s="318"/>
      <c r="E1304" s="318"/>
      <c r="F1304" s="318"/>
      <c r="G1304" s="318"/>
      <c r="H1304" s="318"/>
      <c r="I1304" s="186" t="s">
        <v>1778</v>
      </c>
      <c r="J1304" s="191" t="s">
        <v>1235</v>
      </c>
      <c r="K1304" s="456">
        <f>900000*5%</f>
        <v>45000</v>
      </c>
      <c r="L1304" s="190"/>
      <c r="M1304" s="190"/>
    </row>
    <row r="1305" spans="1:13" s="141" customFormat="1" ht="21" customHeight="1" x14ac:dyDescent="0.2">
      <c r="A1305" s="334"/>
      <c r="B1305" s="294"/>
      <c r="C1305" s="295"/>
      <c r="D1305" s="318"/>
      <c r="E1305" s="318"/>
      <c r="F1305" s="318"/>
      <c r="G1305" s="318"/>
      <c r="H1305" s="318"/>
      <c r="I1305" s="192" t="s">
        <v>1779</v>
      </c>
      <c r="J1305" s="187" t="s">
        <v>695</v>
      </c>
      <c r="K1305" s="456">
        <f t="shared" ref="K1305:K1315" si="32">900000*5%</f>
        <v>45000</v>
      </c>
      <c r="L1305" s="190"/>
      <c r="M1305" s="190"/>
    </row>
    <row r="1306" spans="1:13" s="141" customFormat="1" ht="21" customHeight="1" x14ac:dyDescent="0.2">
      <c r="A1306" s="334"/>
      <c r="B1306" s="294"/>
      <c r="C1306" s="295"/>
      <c r="D1306" s="318"/>
      <c r="E1306" s="318"/>
      <c r="F1306" s="318"/>
      <c r="G1306" s="318"/>
      <c r="H1306" s="318"/>
      <c r="I1306" s="192" t="s">
        <v>1780</v>
      </c>
      <c r="J1306" s="177" t="s">
        <v>790</v>
      </c>
      <c r="K1306" s="456">
        <f t="shared" si="32"/>
        <v>45000</v>
      </c>
      <c r="L1306" s="190"/>
      <c r="M1306" s="190"/>
    </row>
    <row r="1307" spans="1:13" s="141" customFormat="1" ht="21" customHeight="1" x14ac:dyDescent="0.2">
      <c r="A1307" s="334"/>
      <c r="B1307" s="294"/>
      <c r="C1307" s="295"/>
      <c r="D1307" s="318"/>
      <c r="E1307" s="318"/>
      <c r="F1307" s="318"/>
      <c r="G1307" s="318"/>
      <c r="H1307" s="318"/>
      <c r="I1307" s="192" t="s">
        <v>1781</v>
      </c>
      <c r="J1307" s="187" t="s">
        <v>373</v>
      </c>
      <c r="K1307" s="456">
        <f t="shared" si="32"/>
        <v>45000</v>
      </c>
      <c r="L1307" s="190"/>
      <c r="M1307" s="190"/>
    </row>
    <row r="1308" spans="1:13" s="141" customFormat="1" ht="21" customHeight="1" x14ac:dyDescent="0.2">
      <c r="A1308" s="334"/>
      <c r="B1308" s="294"/>
      <c r="C1308" s="295"/>
      <c r="D1308" s="318"/>
      <c r="E1308" s="318"/>
      <c r="F1308" s="318"/>
      <c r="G1308" s="457"/>
      <c r="H1308" s="318"/>
      <c r="I1308" s="192" t="s">
        <v>1782</v>
      </c>
      <c r="J1308" s="187" t="s">
        <v>373</v>
      </c>
      <c r="K1308" s="456">
        <f t="shared" si="32"/>
        <v>45000</v>
      </c>
      <c r="L1308" s="190"/>
      <c r="M1308" s="190"/>
    </row>
    <row r="1309" spans="1:13" s="141" customFormat="1" ht="21" customHeight="1" x14ac:dyDescent="0.2">
      <c r="A1309" s="334"/>
      <c r="B1309" s="294"/>
      <c r="C1309" s="295"/>
      <c r="D1309" s="318"/>
      <c r="E1309" s="318"/>
      <c r="F1309" s="318"/>
      <c r="G1309" s="457"/>
      <c r="H1309" s="318"/>
      <c r="I1309" s="176" t="s">
        <v>1783</v>
      </c>
      <c r="J1309" s="187" t="s">
        <v>365</v>
      </c>
      <c r="K1309" s="456">
        <f t="shared" si="32"/>
        <v>45000</v>
      </c>
      <c r="L1309" s="190"/>
      <c r="M1309" s="190"/>
    </row>
    <row r="1310" spans="1:13" s="141" customFormat="1" ht="21" customHeight="1" x14ac:dyDescent="0.2">
      <c r="A1310" s="334"/>
      <c r="B1310" s="294"/>
      <c r="C1310" s="295"/>
      <c r="D1310" s="318"/>
      <c r="E1310" s="318"/>
      <c r="F1310" s="318"/>
      <c r="G1310" s="318"/>
      <c r="H1310" s="318"/>
      <c r="I1310" s="192" t="s">
        <v>1784</v>
      </c>
      <c r="J1310" s="187" t="s">
        <v>790</v>
      </c>
      <c r="K1310" s="456">
        <f t="shared" si="32"/>
        <v>45000</v>
      </c>
      <c r="L1310" s="190"/>
      <c r="M1310" s="190"/>
    </row>
    <row r="1311" spans="1:13" s="141" customFormat="1" ht="21" customHeight="1" x14ac:dyDescent="0.2">
      <c r="A1311" s="334"/>
      <c r="B1311" s="294"/>
      <c r="C1311" s="295"/>
      <c r="D1311" s="318"/>
      <c r="E1311" s="318"/>
      <c r="F1311" s="318"/>
      <c r="G1311" s="318"/>
      <c r="H1311" s="318"/>
      <c r="I1311" s="192" t="s">
        <v>1785</v>
      </c>
      <c r="J1311" s="187" t="s">
        <v>373</v>
      </c>
      <c r="K1311" s="456">
        <f t="shared" si="32"/>
        <v>45000</v>
      </c>
      <c r="L1311" s="190"/>
      <c r="M1311" s="190"/>
    </row>
    <row r="1312" spans="1:13" s="141" customFormat="1" ht="21" customHeight="1" x14ac:dyDescent="0.2">
      <c r="A1312" s="334"/>
      <c r="B1312" s="294"/>
      <c r="C1312" s="295"/>
      <c r="D1312" s="318"/>
      <c r="E1312" s="318"/>
      <c r="F1312" s="318"/>
      <c r="G1312" s="318"/>
      <c r="H1312" s="318"/>
      <c r="I1312" s="192" t="s">
        <v>1786</v>
      </c>
      <c r="J1312" s="187" t="s">
        <v>373</v>
      </c>
      <c r="K1312" s="456">
        <f t="shared" si="32"/>
        <v>45000</v>
      </c>
      <c r="L1312" s="190"/>
      <c r="M1312" s="190"/>
    </row>
    <row r="1313" spans="1:13" s="141" customFormat="1" ht="21" customHeight="1" x14ac:dyDescent="0.2">
      <c r="A1313" s="334"/>
      <c r="B1313" s="294"/>
      <c r="C1313" s="295"/>
      <c r="D1313" s="318"/>
      <c r="E1313" s="318"/>
      <c r="F1313" s="318"/>
      <c r="G1313" s="318"/>
      <c r="H1313" s="318"/>
      <c r="I1313" s="283" t="s">
        <v>1787</v>
      </c>
      <c r="J1313" s="177" t="s">
        <v>365</v>
      </c>
      <c r="K1313" s="456">
        <f t="shared" si="32"/>
        <v>45000</v>
      </c>
      <c r="L1313" s="190"/>
      <c r="M1313" s="190"/>
    </row>
    <row r="1314" spans="1:13" s="141" customFormat="1" ht="21" customHeight="1" x14ac:dyDescent="0.2">
      <c r="A1314" s="334"/>
      <c r="B1314" s="294"/>
      <c r="C1314" s="295"/>
      <c r="D1314" s="318"/>
      <c r="E1314" s="318"/>
      <c r="F1314" s="318"/>
      <c r="G1314" s="318"/>
      <c r="H1314" s="318"/>
      <c r="I1314" s="192" t="s">
        <v>1788</v>
      </c>
      <c r="J1314" s="191" t="s">
        <v>617</v>
      </c>
      <c r="K1314" s="456">
        <f>900000*5%</f>
        <v>45000</v>
      </c>
      <c r="L1314" s="190"/>
      <c r="M1314" s="190"/>
    </row>
    <row r="1315" spans="1:13" s="141" customFormat="1" ht="21" customHeight="1" x14ac:dyDescent="0.2">
      <c r="A1315" s="334"/>
      <c r="B1315" s="294"/>
      <c r="C1315" s="295"/>
      <c r="D1315" s="318"/>
      <c r="E1315" s="318"/>
      <c r="F1315" s="318"/>
      <c r="G1315" s="318"/>
      <c r="H1315" s="318"/>
      <c r="I1315" s="192" t="s">
        <v>1789</v>
      </c>
      <c r="J1315" s="187" t="s">
        <v>367</v>
      </c>
      <c r="K1315" s="456">
        <f t="shared" si="32"/>
        <v>45000</v>
      </c>
      <c r="L1315" s="190"/>
      <c r="M1315" s="190"/>
    </row>
    <row r="1316" spans="1:13" s="141" customFormat="1" ht="21" customHeight="1" x14ac:dyDescent="0.2">
      <c r="A1316" s="335"/>
      <c r="B1316" s="296"/>
      <c r="C1316" s="297"/>
      <c r="D1316" s="318"/>
      <c r="E1316" s="318"/>
      <c r="F1316" s="318"/>
      <c r="G1316" s="318"/>
      <c r="H1316" s="318"/>
      <c r="I1316" s="176"/>
      <c r="J1316" s="226"/>
      <c r="K1316" s="455">
        <f>SUM(K1302:K1315)</f>
        <v>900000</v>
      </c>
      <c r="L1316" s="201"/>
      <c r="M1316" s="201"/>
    </row>
    <row r="1317" spans="1:13" s="141" customFormat="1" ht="24" customHeight="1" x14ac:dyDescent="0.2">
      <c r="A1317" s="172">
        <v>318</v>
      </c>
      <c r="B1317" s="173" t="s">
        <v>1790</v>
      </c>
      <c r="C1317" s="174"/>
      <c r="D1317" s="263" t="s">
        <v>107</v>
      </c>
      <c r="E1317" s="175"/>
      <c r="F1317" s="175"/>
      <c r="G1317" s="175"/>
      <c r="H1317" s="175" t="s">
        <v>164</v>
      </c>
      <c r="I1317" s="228" t="s">
        <v>1791</v>
      </c>
      <c r="J1317" s="208" t="s">
        <v>1792</v>
      </c>
      <c r="K1317" s="458">
        <f>K1319*70%</f>
        <v>4480</v>
      </c>
      <c r="L1317" s="174" t="s">
        <v>111</v>
      </c>
      <c r="M1317" s="180" t="s">
        <v>1793</v>
      </c>
    </row>
    <row r="1318" spans="1:13" s="141" customFormat="1" ht="24" customHeight="1" x14ac:dyDescent="0.2">
      <c r="A1318" s="182"/>
      <c r="B1318" s="183"/>
      <c r="C1318" s="184"/>
      <c r="D1318" s="255"/>
      <c r="E1318" s="185"/>
      <c r="F1318" s="185"/>
      <c r="G1318" s="185"/>
      <c r="H1318" s="185"/>
      <c r="I1318" s="186" t="s">
        <v>1794</v>
      </c>
      <c r="J1318" s="223" t="s">
        <v>1795</v>
      </c>
      <c r="K1318" s="220">
        <f>K1319*30%</f>
        <v>1920</v>
      </c>
      <c r="L1318" s="184"/>
      <c r="M1318" s="190"/>
    </row>
    <row r="1319" spans="1:13" s="141" customFormat="1" ht="24" customHeight="1" x14ac:dyDescent="0.2">
      <c r="A1319" s="193"/>
      <c r="B1319" s="194"/>
      <c r="C1319" s="195"/>
      <c r="D1319" s="256"/>
      <c r="E1319" s="196"/>
      <c r="F1319" s="196"/>
      <c r="G1319" s="196"/>
      <c r="H1319" s="196"/>
      <c r="I1319" s="206"/>
      <c r="J1319" s="226"/>
      <c r="K1319" s="436">
        <v>6400</v>
      </c>
      <c r="L1319" s="195"/>
      <c r="M1319" s="201"/>
    </row>
    <row r="1320" spans="1:13" s="141" customFormat="1" ht="24" customHeight="1" x14ac:dyDescent="0.2">
      <c r="A1320" s="172">
        <v>319</v>
      </c>
      <c r="B1320" s="173" t="s">
        <v>1796</v>
      </c>
      <c r="C1320" s="174"/>
      <c r="D1320" s="263" t="s">
        <v>107</v>
      </c>
      <c r="E1320" s="175"/>
      <c r="F1320" s="175"/>
      <c r="G1320" s="175"/>
      <c r="H1320" s="175" t="s">
        <v>137</v>
      </c>
      <c r="I1320" s="176" t="s">
        <v>1797</v>
      </c>
      <c r="J1320" s="177" t="s">
        <v>1792</v>
      </c>
      <c r="K1320" s="329">
        <f>K1323*80%</f>
        <v>16160</v>
      </c>
      <c r="L1320" s="174" t="s">
        <v>111</v>
      </c>
      <c r="M1320" s="180" t="s">
        <v>1798</v>
      </c>
    </row>
    <row r="1321" spans="1:13" s="141" customFormat="1" ht="24" customHeight="1" x14ac:dyDescent="0.2">
      <c r="A1321" s="182"/>
      <c r="B1321" s="183"/>
      <c r="C1321" s="184"/>
      <c r="D1321" s="255"/>
      <c r="E1321" s="185"/>
      <c r="F1321" s="185"/>
      <c r="G1321" s="185"/>
      <c r="H1321" s="185"/>
      <c r="I1321" s="186" t="s">
        <v>1799</v>
      </c>
      <c r="J1321" s="212" t="s">
        <v>1792</v>
      </c>
      <c r="K1321" s="220">
        <f>K1323*10%</f>
        <v>2020</v>
      </c>
      <c r="L1321" s="184"/>
      <c r="M1321" s="190"/>
    </row>
    <row r="1322" spans="1:13" s="141" customFormat="1" ht="24" customHeight="1" x14ac:dyDescent="0.2">
      <c r="A1322" s="182"/>
      <c r="B1322" s="183"/>
      <c r="C1322" s="184"/>
      <c r="D1322" s="255"/>
      <c r="E1322" s="185"/>
      <c r="F1322" s="185"/>
      <c r="G1322" s="185"/>
      <c r="H1322" s="185"/>
      <c r="I1322" s="192" t="s">
        <v>1800</v>
      </c>
      <c r="J1322" s="223" t="s">
        <v>1795</v>
      </c>
      <c r="K1322" s="459">
        <f>K1323*10%</f>
        <v>2020</v>
      </c>
      <c r="L1322" s="184"/>
      <c r="M1322" s="190"/>
    </row>
    <row r="1323" spans="1:13" s="141" customFormat="1" ht="24" customHeight="1" x14ac:dyDescent="0.2">
      <c r="A1323" s="193"/>
      <c r="B1323" s="194"/>
      <c r="C1323" s="195"/>
      <c r="D1323" s="256"/>
      <c r="E1323" s="196"/>
      <c r="F1323" s="196"/>
      <c r="G1323" s="196"/>
      <c r="H1323" s="196"/>
      <c r="I1323" s="197"/>
      <c r="J1323" s="214"/>
      <c r="K1323" s="221">
        <v>20200</v>
      </c>
      <c r="L1323" s="195"/>
      <c r="M1323" s="201"/>
    </row>
    <row r="1324" spans="1:13" s="141" customFormat="1" ht="19.5" customHeight="1" x14ac:dyDescent="0.2">
      <c r="A1324" s="172">
        <v>320</v>
      </c>
      <c r="B1324" s="173" t="s">
        <v>1801</v>
      </c>
      <c r="C1324" s="174"/>
      <c r="D1324" s="263" t="s">
        <v>107</v>
      </c>
      <c r="E1324" s="175"/>
      <c r="F1324" s="175"/>
      <c r="G1324" s="175"/>
      <c r="H1324" s="175" t="s">
        <v>137</v>
      </c>
      <c r="I1324" s="176" t="s">
        <v>1802</v>
      </c>
      <c r="J1324" s="177" t="s">
        <v>1792</v>
      </c>
      <c r="K1324" s="329">
        <f>K1327*40%</f>
        <v>9400</v>
      </c>
      <c r="L1324" s="174" t="s">
        <v>111</v>
      </c>
      <c r="M1324" s="180" t="s">
        <v>1803</v>
      </c>
    </row>
    <row r="1325" spans="1:13" s="141" customFormat="1" ht="19.5" customHeight="1" x14ac:dyDescent="0.2">
      <c r="A1325" s="182"/>
      <c r="B1325" s="183"/>
      <c r="C1325" s="184"/>
      <c r="D1325" s="255"/>
      <c r="E1325" s="185"/>
      <c r="F1325" s="185"/>
      <c r="G1325" s="185"/>
      <c r="H1325" s="185"/>
      <c r="I1325" s="186" t="s">
        <v>1804</v>
      </c>
      <c r="J1325" s="223" t="s">
        <v>1792</v>
      </c>
      <c r="K1325" s="220">
        <f>K1327*30%</f>
        <v>7050</v>
      </c>
      <c r="L1325" s="184"/>
      <c r="M1325" s="190"/>
    </row>
    <row r="1326" spans="1:13" s="141" customFormat="1" ht="19.5" customHeight="1" x14ac:dyDescent="0.2">
      <c r="A1326" s="182"/>
      <c r="B1326" s="183"/>
      <c r="C1326" s="184"/>
      <c r="D1326" s="255"/>
      <c r="E1326" s="185"/>
      <c r="F1326" s="185"/>
      <c r="G1326" s="185"/>
      <c r="H1326" s="185"/>
      <c r="I1326" s="186" t="s">
        <v>1805</v>
      </c>
      <c r="J1326" s="223" t="s">
        <v>1795</v>
      </c>
      <c r="K1326" s="220">
        <f>K1327*30%</f>
        <v>7050</v>
      </c>
      <c r="L1326" s="184"/>
      <c r="M1326" s="190"/>
    </row>
    <row r="1327" spans="1:13" s="141" customFormat="1" ht="19.5" customHeight="1" x14ac:dyDescent="0.2">
      <c r="A1327" s="193"/>
      <c r="B1327" s="194"/>
      <c r="C1327" s="195"/>
      <c r="D1327" s="256"/>
      <c r="E1327" s="196"/>
      <c r="F1327" s="196"/>
      <c r="G1327" s="196"/>
      <c r="H1327" s="196"/>
      <c r="I1327" s="206"/>
      <c r="J1327" s="226"/>
      <c r="K1327" s="436">
        <v>23500</v>
      </c>
      <c r="L1327" s="195"/>
      <c r="M1327" s="201"/>
    </row>
    <row r="1328" spans="1:13" s="141" customFormat="1" ht="20.25" customHeight="1" x14ac:dyDescent="0.2">
      <c r="A1328" s="172">
        <v>321</v>
      </c>
      <c r="B1328" s="173" t="s">
        <v>1806</v>
      </c>
      <c r="C1328" s="174"/>
      <c r="D1328" s="263" t="s">
        <v>107</v>
      </c>
      <c r="E1328" s="175"/>
      <c r="F1328" s="175"/>
      <c r="G1328" s="175"/>
      <c r="H1328" s="175" t="s">
        <v>1475</v>
      </c>
      <c r="I1328" s="228" t="s">
        <v>1807</v>
      </c>
      <c r="J1328" s="208" t="s">
        <v>1792</v>
      </c>
      <c r="K1328" s="329">
        <f>K1335*5%</f>
        <v>900</v>
      </c>
      <c r="L1328" s="174" t="s">
        <v>111</v>
      </c>
      <c r="M1328" s="180" t="s">
        <v>1808</v>
      </c>
    </row>
    <row r="1329" spans="1:13" s="141" customFormat="1" ht="20.25" customHeight="1" x14ac:dyDescent="0.2">
      <c r="A1329" s="182"/>
      <c r="B1329" s="183"/>
      <c r="C1329" s="184"/>
      <c r="D1329" s="255"/>
      <c r="E1329" s="185"/>
      <c r="F1329" s="185"/>
      <c r="G1329" s="185"/>
      <c r="H1329" s="185"/>
      <c r="I1329" s="283" t="s">
        <v>1809</v>
      </c>
      <c r="J1329" s="177" t="s">
        <v>1792</v>
      </c>
      <c r="K1329" s="225">
        <f>K1335*5%</f>
        <v>900</v>
      </c>
      <c r="L1329" s="184"/>
      <c r="M1329" s="190"/>
    </row>
    <row r="1330" spans="1:13" s="141" customFormat="1" ht="20.25" customHeight="1" x14ac:dyDescent="0.2">
      <c r="A1330" s="182"/>
      <c r="B1330" s="183"/>
      <c r="C1330" s="184"/>
      <c r="D1330" s="255"/>
      <c r="E1330" s="185"/>
      <c r="F1330" s="185"/>
      <c r="G1330" s="185"/>
      <c r="H1330" s="185"/>
      <c r="I1330" s="283" t="s">
        <v>1810</v>
      </c>
      <c r="J1330" s="223" t="s">
        <v>1792</v>
      </c>
      <c r="K1330" s="220">
        <f>K1335*5%</f>
        <v>900</v>
      </c>
      <c r="L1330" s="184"/>
      <c r="M1330" s="190"/>
    </row>
    <row r="1331" spans="1:13" s="141" customFormat="1" ht="20.25" customHeight="1" x14ac:dyDescent="0.2">
      <c r="A1331" s="182"/>
      <c r="B1331" s="183"/>
      <c r="C1331" s="184"/>
      <c r="D1331" s="255"/>
      <c r="E1331" s="185"/>
      <c r="F1331" s="185"/>
      <c r="G1331" s="185"/>
      <c r="H1331" s="185"/>
      <c r="I1331" s="283" t="s">
        <v>1811</v>
      </c>
      <c r="J1331" s="223" t="s">
        <v>1792</v>
      </c>
      <c r="K1331" s="460">
        <f>K1335*5%</f>
        <v>900</v>
      </c>
      <c r="L1331" s="184"/>
      <c r="M1331" s="190"/>
    </row>
    <row r="1332" spans="1:13" s="141" customFormat="1" ht="20.25" customHeight="1" x14ac:dyDescent="0.2">
      <c r="A1332" s="182"/>
      <c r="B1332" s="183"/>
      <c r="C1332" s="184"/>
      <c r="D1332" s="255"/>
      <c r="E1332" s="185"/>
      <c r="F1332" s="185"/>
      <c r="G1332" s="185"/>
      <c r="H1332" s="185"/>
      <c r="I1332" s="176" t="s">
        <v>1812</v>
      </c>
      <c r="J1332" s="177" t="s">
        <v>1792</v>
      </c>
      <c r="K1332" s="240">
        <f>K1335*5%</f>
        <v>900</v>
      </c>
      <c r="L1332" s="189"/>
      <c r="M1332" s="190"/>
    </row>
    <row r="1333" spans="1:13" s="141" customFormat="1" ht="20.25" customHeight="1" x14ac:dyDescent="0.2">
      <c r="A1333" s="182"/>
      <c r="B1333" s="183"/>
      <c r="C1333" s="184"/>
      <c r="D1333" s="255"/>
      <c r="E1333" s="185"/>
      <c r="F1333" s="185"/>
      <c r="G1333" s="185"/>
      <c r="H1333" s="185"/>
      <c r="I1333" s="192" t="s">
        <v>1813</v>
      </c>
      <c r="J1333" s="212" t="s">
        <v>1792</v>
      </c>
      <c r="K1333" s="210">
        <f>K1335*5%</f>
        <v>900</v>
      </c>
      <c r="L1333" s="189"/>
      <c r="M1333" s="190"/>
    </row>
    <row r="1334" spans="1:13" s="141" customFormat="1" ht="20.25" customHeight="1" x14ac:dyDescent="0.2">
      <c r="A1334" s="182"/>
      <c r="B1334" s="183"/>
      <c r="C1334" s="184"/>
      <c r="D1334" s="255"/>
      <c r="E1334" s="185"/>
      <c r="F1334" s="185"/>
      <c r="G1334" s="185"/>
      <c r="H1334" s="185"/>
      <c r="I1334" s="192" t="s">
        <v>1814</v>
      </c>
      <c r="J1334" s="212" t="s">
        <v>1795</v>
      </c>
      <c r="K1334" s="217">
        <f>K1335*70%</f>
        <v>12600</v>
      </c>
      <c r="L1334" s="189"/>
      <c r="M1334" s="190"/>
    </row>
    <row r="1335" spans="1:13" s="141" customFormat="1" ht="20.25" customHeight="1" x14ac:dyDescent="0.2">
      <c r="A1335" s="182"/>
      <c r="B1335" s="183"/>
      <c r="C1335" s="184"/>
      <c r="D1335" s="255"/>
      <c r="E1335" s="185"/>
      <c r="F1335" s="185"/>
      <c r="G1335" s="185"/>
      <c r="H1335" s="185"/>
      <c r="I1335" s="186"/>
      <c r="J1335" s="212"/>
      <c r="K1335" s="217">
        <v>18000</v>
      </c>
      <c r="L1335" s="189"/>
      <c r="M1335" s="190"/>
    </row>
    <row r="1336" spans="1:13" s="141" customFormat="1" ht="56.25" customHeight="1" x14ac:dyDescent="0.2">
      <c r="A1336" s="242">
        <v>322</v>
      </c>
      <c r="B1336" s="461" t="s">
        <v>1815</v>
      </c>
      <c r="C1336" s="461" t="s">
        <v>1815</v>
      </c>
      <c r="D1336" s="347" t="s">
        <v>107</v>
      </c>
      <c r="E1336" s="347"/>
      <c r="F1336" s="347"/>
      <c r="G1336" s="347"/>
      <c r="H1336" s="347"/>
      <c r="I1336" s="289" t="s">
        <v>1816</v>
      </c>
      <c r="J1336" s="290" t="s">
        <v>1795</v>
      </c>
      <c r="K1336" s="291">
        <v>20000</v>
      </c>
      <c r="L1336" s="290" t="s">
        <v>111</v>
      </c>
      <c r="M1336" s="290" t="s">
        <v>1817</v>
      </c>
    </row>
    <row r="1337" spans="1:13" s="141" customFormat="1" ht="68.25" customHeight="1" x14ac:dyDescent="0.2">
      <c r="A1337" s="265">
        <v>323</v>
      </c>
      <c r="B1337" s="194" t="s">
        <v>1818</v>
      </c>
      <c r="C1337" s="195" t="s">
        <v>1818</v>
      </c>
      <c r="D1337" s="269" t="s">
        <v>163</v>
      </c>
      <c r="E1337" s="269"/>
      <c r="F1337" s="269"/>
      <c r="G1337" s="269"/>
      <c r="H1337" s="270"/>
      <c r="I1337" s="197" t="s">
        <v>1819</v>
      </c>
      <c r="J1337" s="226" t="s">
        <v>657</v>
      </c>
      <c r="K1337" s="215">
        <v>530000</v>
      </c>
      <c r="L1337" s="226" t="s">
        <v>166</v>
      </c>
      <c r="M1337" s="226" t="s">
        <v>1820</v>
      </c>
    </row>
    <row r="1338" spans="1:13" s="141" customFormat="1" ht="78.75" customHeight="1" x14ac:dyDescent="0.2">
      <c r="A1338" s="242">
        <v>324</v>
      </c>
      <c r="B1338" s="266" t="s">
        <v>1821</v>
      </c>
      <c r="C1338" s="267" t="s">
        <v>1821</v>
      </c>
      <c r="D1338" s="269" t="s">
        <v>163</v>
      </c>
      <c r="E1338" s="269"/>
      <c r="F1338" s="269"/>
      <c r="G1338" s="269"/>
      <c r="H1338" s="270"/>
      <c r="I1338" s="197" t="s">
        <v>1819</v>
      </c>
      <c r="J1338" s="226" t="s">
        <v>657</v>
      </c>
      <c r="K1338" s="271">
        <v>530000</v>
      </c>
      <c r="L1338" s="290" t="s">
        <v>166</v>
      </c>
      <c r="M1338" s="226" t="s">
        <v>1822</v>
      </c>
    </row>
    <row r="1339" spans="1:13" s="141" customFormat="1" ht="24" customHeight="1" x14ac:dyDescent="0.2">
      <c r="A1339" s="172">
        <v>325</v>
      </c>
      <c r="B1339" s="173" t="s">
        <v>1823</v>
      </c>
      <c r="C1339" s="174"/>
      <c r="D1339" s="175" t="s">
        <v>163</v>
      </c>
      <c r="E1339" s="175"/>
      <c r="F1339" s="175"/>
      <c r="G1339" s="175"/>
      <c r="H1339" s="175" t="s">
        <v>137</v>
      </c>
      <c r="I1339" s="228" t="s">
        <v>1824</v>
      </c>
      <c r="J1339" s="259" t="s">
        <v>1027</v>
      </c>
      <c r="K1339" s="219">
        <f>450000*60%</f>
        <v>270000</v>
      </c>
      <c r="L1339" s="180" t="s">
        <v>166</v>
      </c>
      <c r="M1339" s="180" t="s">
        <v>1825</v>
      </c>
    </row>
    <row r="1340" spans="1:13" s="141" customFormat="1" x14ac:dyDescent="0.2">
      <c r="A1340" s="182"/>
      <c r="B1340" s="183"/>
      <c r="C1340" s="184"/>
      <c r="D1340" s="185"/>
      <c r="E1340" s="185"/>
      <c r="F1340" s="185"/>
      <c r="G1340" s="185"/>
      <c r="H1340" s="185"/>
      <c r="I1340" s="192" t="s">
        <v>1826</v>
      </c>
      <c r="J1340" s="187" t="s">
        <v>829</v>
      </c>
      <c r="K1340" s="225">
        <f>450000*20%</f>
        <v>90000</v>
      </c>
      <c r="L1340" s="190"/>
      <c r="M1340" s="190"/>
    </row>
    <row r="1341" spans="1:13" s="141" customFormat="1" x14ac:dyDescent="0.2">
      <c r="A1341" s="182"/>
      <c r="B1341" s="183"/>
      <c r="C1341" s="184"/>
      <c r="D1341" s="185"/>
      <c r="E1341" s="185"/>
      <c r="F1341" s="185"/>
      <c r="G1341" s="185"/>
      <c r="H1341" s="185"/>
      <c r="I1341" s="192" t="s">
        <v>1827</v>
      </c>
      <c r="J1341" s="187" t="s">
        <v>224</v>
      </c>
      <c r="K1341" s="225">
        <f>450000*10%</f>
        <v>45000</v>
      </c>
      <c r="L1341" s="190"/>
      <c r="M1341" s="190"/>
    </row>
    <row r="1342" spans="1:13" s="141" customFormat="1" x14ac:dyDescent="0.2">
      <c r="A1342" s="193"/>
      <c r="B1342" s="194"/>
      <c r="C1342" s="195"/>
      <c r="D1342" s="196"/>
      <c r="E1342" s="196"/>
      <c r="F1342" s="196"/>
      <c r="G1342" s="196"/>
      <c r="H1342" s="196"/>
      <c r="I1342" s="206"/>
      <c r="J1342" s="198"/>
      <c r="K1342" s="221">
        <f>SUM(K1339:K1341)</f>
        <v>405000</v>
      </c>
      <c r="L1342" s="201"/>
      <c r="M1342" s="201"/>
    </row>
    <row r="1343" spans="1:13" s="141" customFormat="1" ht="25.5" customHeight="1" x14ac:dyDescent="0.2">
      <c r="A1343" s="172">
        <v>326</v>
      </c>
      <c r="B1343" s="173" t="s">
        <v>1828</v>
      </c>
      <c r="C1343" s="174"/>
      <c r="D1343" s="175" t="s">
        <v>163</v>
      </c>
      <c r="E1343" s="175"/>
      <c r="F1343" s="175"/>
      <c r="G1343" s="175"/>
      <c r="H1343" s="175" t="s">
        <v>137</v>
      </c>
      <c r="I1343" s="283" t="s">
        <v>1829</v>
      </c>
      <c r="J1343" s="259" t="s">
        <v>1830</v>
      </c>
      <c r="K1343" s="219">
        <f>350150*60%</f>
        <v>210090</v>
      </c>
      <c r="L1343" s="180" t="s">
        <v>166</v>
      </c>
      <c r="M1343" s="180" t="s">
        <v>1831</v>
      </c>
    </row>
    <row r="1344" spans="1:13" s="141" customFormat="1" x14ac:dyDescent="0.2">
      <c r="A1344" s="182"/>
      <c r="B1344" s="183"/>
      <c r="C1344" s="184"/>
      <c r="D1344" s="185"/>
      <c r="E1344" s="185"/>
      <c r="F1344" s="185"/>
      <c r="G1344" s="185"/>
      <c r="H1344" s="185"/>
      <c r="I1344" s="192" t="s">
        <v>1832</v>
      </c>
      <c r="J1344" s="187" t="s">
        <v>367</v>
      </c>
      <c r="K1344" s="225">
        <f>350150*20%</f>
        <v>70030</v>
      </c>
      <c r="L1344" s="190"/>
      <c r="M1344" s="190"/>
    </row>
    <row r="1345" spans="1:13" s="141" customFormat="1" x14ac:dyDescent="0.2">
      <c r="A1345" s="182"/>
      <c r="B1345" s="183"/>
      <c r="C1345" s="184"/>
      <c r="D1345" s="185"/>
      <c r="E1345" s="185"/>
      <c r="F1345" s="185"/>
      <c r="G1345" s="185"/>
      <c r="H1345" s="185"/>
      <c r="I1345" s="192" t="s">
        <v>1833</v>
      </c>
      <c r="J1345" s="187" t="s">
        <v>367</v>
      </c>
      <c r="K1345" s="225">
        <f>350150*20%</f>
        <v>70030</v>
      </c>
      <c r="L1345" s="190"/>
      <c r="M1345" s="190"/>
    </row>
    <row r="1346" spans="1:13" s="141" customFormat="1" x14ac:dyDescent="0.2">
      <c r="A1346" s="193"/>
      <c r="B1346" s="194"/>
      <c r="C1346" s="195"/>
      <c r="D1346" s="196"/>
      <c r="E1346" s="196"/>
      <c r="F1346" s="196"/>
      <c r="G1346" s="196"/>
      <c r="H1346" s="196"/>
      <c r="I1346" s="206"/>
      <c r="J1346" s="198"/>
      <c r="K1346" s="239">
        <f>SUM(K1343:K1345)</f>
        <v>350150</v>
      </c>
      <c r="L1346" s="201"/>
      <c r="M1346" s="201"/>
    </row>
    <row r="1347" spans="1:13" s="141" customFormat="1" ht="24.75" customHeight="1" x14ac:dyDescent="0.2">
      <c r="A1347" s="172">
        <v>327</v>
      </c>
      <c r="B1347" s="173" t="s">
        <v>1834</v>
      </c>
      <c r="C1347" s="174"/>
      <c r="D1347" s="175" t="s">
        <v>163</v>
      </c>
      <c r="E1347" s="175"/>
      <c r="F1347" s="175"/>
      <c r="G1347" s="175"/>
      <c r="H1347" s="175" t="s">
        <v>137</v>
      </c>
      <c r="I1347" s="283" t="s">
        <v>1835</v>
      </c>
      <c r="J1347" s="259" t="s">
        <v>1836</v>
      </c>
      <c r="K1347" s="209">
        <f>70300*50%</f>
        <v>35150</v>
      </c>
      <c r="L1347" s="179" t="s">
        <v>166</v>
      </c>
      <c r="M1347" s="180" t="s">
        <v>1837</v>
      </c>
    </row>
    <row r="1348" spans="1:13" s="141" customFormat="1" x14ac:dyDescent="0.2">
      <c r="A1348" s="182"/>
      <c r="B1348" s="183"/>
      <c r="C1348" s="184"/>
      <c r="D1348" s="185"/>
      <c r="E1348" s="185"/>
      <c r="F1348" s="185"/>
      <c r="G1348" s="185"/>
      <c r="H1348" s="185"/>
      <c r="I1348" s="192" t="s">
        <v>1838</v>
      </c>
      <c r="J1348" s="187" t="s">
        <v>657</v>
      </c>
      <c r="K1348" s="213">
        <f>70300*25%</f>
        <v>17575</v>
      </c>
      <c r="L1348" s="189"/>
      <c r="M1348" s="190"/>
    </row>
    <row r="1349" spans="1:13" s="141" customFormat="1" x14ac:dyDescent="0.2">
      <c r="A1349" s="182"/>
      <c r="B1349" s="183"/>
      <c r="C1349" s="184"/>
      <c r="D1349" s="185"/>
      <c r="E1349" s="185"/>
      <c r="F1349" s="185"/>
      <c r="G1349" s="185"/>
      <c r="H1349" s="185"/>
      <c r="I1349" s="192" t="s">
        <v>1839</v>
      </c>
      <c r="J1349" s="187" t="s">
        <v>657</v>
      </c>
      <c r="K1349" s="213">
        <f>70300*25%</f>
        <v>17575</v>
      </c>
      <c r="L1349" s="189"/>
      <c r="M1349" s="190"/>
    </row>
    <row r="1350" spans="1:13" s="141" customFormat="1" x14ac:dyDescent="0.2">
      <c r="A1350" s="193"/>
      <c r="B1350" s="194"/>
      <c r="C1350" s="195"/>
      <c r="D1350" s="196"/>
      <c r="E1350" s="196"/>
      <c r="F1350" s="196"/>
      <c r="G1350" s="196"/>
      <c r="H1350" s="196"/>
      <c r="I1350" s="206"/>
      <c r="J1350" s="198"/>
      <c r="K1350" s="218">
        <f>SUM(K1347:K1349)</f>
        <v>70300</v>
      </c>
      <c r="L1350" s="200"/>
      <c r="M1350" s="201"/>
    </row>
    <row r="1351" spans="1:13" s="141" customFormat="1" ht="24.75" customHeight="1" x14ac:dyDescent="0.2">
      <c r="A1351" s="172">
        <v>328</v>
      </c>
      <c r="B1351" s="173" t="s">
        <v>1840</v>
      </c>
      <c r="C1351" s="174"/>
      <c r="D1351" s="175" t="s">
        <v>163</v>
      </c>
      <c r="E1351" s="175"/>
      <c r="F1351" s="175"/>
      <c r="G1351" s="175"/>
      <c r="H1351" s="175" t="s">
        <v>137</v>
      </c>
      <c r="I1351" s="283" t="s">
        <v>1841</v>
      </c>
      <c r="J1351" s="259" t="s">
        <v>1027</v>
      </c>
      <c r="K1351" s="219">
        <f>70300*60%</f>
        <v>42180</v>
      </c>
      <c r="L1351" s="180" t="s">
        <v>166</v>
      </c>
      <c r="M1351" s="180" t="s">
        <v>1842</v>
      </c>
    </row>
    <row r="1352" spans="1:13" s="141" customFormat="1" x14ac:dyDescent="0.2">
      <c r="A1352" s="182"/>
      <c r="B1352" s="183"/>
      <c r="C1352" s="184"/>
      <c r="D1352" s="185"/>
      <c r="E1352" s="185"/>
      <c r="F1352" s="185"/>
      <c r="G1352" s="185"/>
      <c r="H1352" s="185"/>
      <c r="I1352" s="192" t="s">
        <v>1843</v>
      </c>
      <c r="J1352" s="187" t="s">
        <v>657</v>
      </c>
      <c r="K1352" s="225">
        <f>70300*20%</f>
        <v>14060</v>
      </c>
      <c r="L1352" s="190"/>
      <c r="M1352" s="190"/>
    </row>
    <row r="1353" spans="1:13" s="141" customFormat="1" x14ac:dyDescent="0.2">
      <c r="A1353" s="182"/>
      <c r="B1353" s="183"/>
      <c r="C1353" s="184"/>
      <c r="D1353" s="185"/>
      <c r="E1353" s="185"/>
      <c r="F1353" s="185"/>
      <c r="G1353" s="185"/>
      <c r="H1353" s="185"/>
      <c r="I1353" s="192" t="s">
        <v>1844</v>
      </c>
      <c r="J1353" s="187" t="s">
        <v>657</v>
      </c>
      <c r="K1353" s="225">
        <f>70300*20%</f>
        <v>14060</v>
      </c>
      <c r="L1353" s="190"/>
      <c r="M1353" s="190"/>
    </row>
    <row r="1354" spans="1:13" s="141" customFormat="1" x14ac:dyDescent="0.2">
      <c r="A1354" s="193"/>
      <c r="B1354" s="194"/>
      <c r="C1354" s="195"/>
      <c r="D1354" s="196"/>
      <c r="E1354" s="196"/>
      <c r="F1354" s="196"/>
      <c r="G1354" s="196"/>
      <c r="H1354" s="196"/>
      <c r="I1354" s="206"/>
      <c r="J1354" s="198"/>
      <c r="K1354" s="221">
        <f>SUM(K1351:K1353)</f>
        <v>70300</v>
      </c>
      <c r="L1354" s="201"/>
      <c r="M1354" s="201"/>
    </row>
    <row r="1355" spans="1:13" s="141" customFormat="1" ht="24.75" customHeight="1" x14ac:dyDescent="0.2">
      <c r="A1355" s="172">
        <v>329</v>
      </c>
      <c r="B1355" s="173" t="s">
        <v>1845</v>
      </c>
      <c r="C1355" s="174"/>
      <c r="D1355" s="175" t="s">
        <v>163</v>
      </c>
      <c r="E1355" s="175"/>
      <c r="F1355" s="175"/>
      <c r="G1355" s="175"/>
      <c r="H1355" s="175" t="s">
        <v>108</v>
      </c>
      <c r="I1355" s="283" t="s">
        <v>1846</v>
      </c>
      <c r="J1355" s="259" t="s">
        <v>1830</v>
      </c>
      <c r="K1355" s="209">
        <f>70300*60%</f>
        <v>42180</v>
      </c>
      <c r="L1355" s="179" t="s">
        <v>166</v>
      </c>
      <c r="M1355" s="180" t="s">
        <v>1847</v>
      </c>
    </row>
    <row r="1356" spans="1:13" s="141" customFormat="1" x14ac:dyDescent="0.2">
      <c r="A1356" s="182"/>
      <c r="B1356" s="183"/>
      <c r="C1356" s="184"/>
      <c r="D1356" s="185"/>
      <c r="E1356" s="185"/>
      <c r="F1356" s="185"/>
      <c r="G1356" s="185"/>
      <c r="H1356" s="185"/>
      <c r="I1356" s="192" t="s">
        <v>1848</v>
      </c>
      <c r="J1356" s="187" t="s">
        <v>695</v>
      </c>
      <c r="K1356" s="213">
        <f>70300*15%</f>
        <v>10545</v>
      </c>
      <c r="L1356" s="189"/>
      <c r="M1356" s="190"/>
    </row>
    <row r="1357" spans="1:13" s="141" customFormat="1" x14ac:dyDescent="0.2">
      <c r="A1357" s="182"/>
      <c r="B1357" s="183"/>
      <c r="C1357" s="184"/>
      <c r="D1357" s="185"/>
      <c r="E1357" s="185"/>
      <c r="F1357" s="185"/>
      <c r="G1357" s="185"/>
      <c r="H1357" s="185"/>
      <c r="I1357" s="192" t="s">
        <v>1849</v>
      </c>
      <c r="J1357" s="187" t="s">
        <v>657</v>
      </c>
      <c r="K1357" s="213">
        <f>70300*15%</f>
        <v>10545</v>
      </c>
      <c r="L1357" s="189"/>
      <c r="M1357" s="190"/>
    </row>
    <row r="1358" spans="1:13" s="141" customFormat="1" x14ac:dyDescent="0.2">
      <c r="A1358" s="182"/>
      <c r="B1358" s="183"/>
      <c r="C1358" s="184"/>
      <c r="D1358" s="185"/>
      <c r="E1358" s="185"/>
      <c r="F1358" s="185"/>
      <c r="G1358" s="185"/>
      <c r="H1358" s="185"/>
      <c r="I1358" s="192" t="s">
        <v>1850</v>
      </c>
      <c r="J1358" s="187" t="s">
        <v>657</v>
      </c>
      <c r="K1358" s="213">
        <f>70300*10%</f>
        <v>7030</v>
      </c>
      <c r="L1358" s="189"/>
      <c r="M1358" s="190"/>
    </row>
    <row r="1359" spans="1:13" s="141" customFormat="1" x14ac:dyDescent="0.2">
      <c r="A1359" s="193"/>
      <c r="B1359" s="194"/>
      <c r="C1359" s="195"/>
      <c r="D1359" s="196"/>
      <c r="E1359" s="196"/>
      <c r="F1359" s="196"/>
      <c r="G1359" s="196"/>
      <c r="H1359" s="196"/>
      <c r="I1359" s="206"/>
      <c r="J1359" s="198"/>
      <c r="K1359" s="218">
        <f>SUM(K1355:K1358)</f>
        <v>70300</v>
      </c>
      <c r="L1359" s="200"/>
      <c r="M1359" s="201"/>
    </row>
    <row r="1360" spans="1:13" s="141" customFormat="1" ht="24" customHeight="1" x14ac:dyDescent="0.2">
      <c r="A1360" s="172">
        <v>330</v>
      </c>
      <c r="B1360" s="173" t="s">
        <v>1851</v>
      </c>
      <c r="C1360" s="174"/>
      <c r="D1360" s="175" t="s">
        <v>163</v>
      </c>
      <c r="E1360" s="175"/>
      <c r="F1360" s="175"/>
      <c r="G1360" s="175"/>
      <c r="H1360" s="175"/>
      <c r="I1360" s="283" t="s">
        <v>1852</v>
      </c>
      <c r="J1360" s="259" t="s">
        <v>1027</v>
      </c>
      <c r="K1360" s="209">
        <f>251223*70%</f>
        <v>175856.09999999998</v>
      </c>
      <c r="L1360" s="179" t="s">
        <v>166</v>
      </c>
      <c r="M1360" s="180" t="s">
        <v>1853</v>
      </c>
    </row>
    <row r="1361" spans="1:13" s="141" customFormat="1" x14ac:dyDescent="0.2">
      <c r="A1361" s="182"/>
      <c r="B1361" s="183"/>
      <c r="C1361" s="184"/>
      <c r="D1361" s="185"/>
      <c r="E1361" s="185"/>
      <c r="F1361" s="185"/>
      <c r="G1361" s="185"/>
      <c r="H1361" s="185"/>
      <c r="I1361" s="192" t="s">
        <v>1854</v>
      </c>
      <c r="J1361" s="187" t="s">
        <v>657</v>
      </c>
      <c r="K1361" s="213">
        <f t="shared" ref="K1361:K1366" si="33">251223*5%</f>
        <v>12561.150000000001</v>
      </c>
      <c r="L1361" s="189"/>
      <c r="M1361" s="190"/>
    </row>
    <row r="1362" spans="1:13" s="141" customFormat="1" x14ac:dyDescent="0.2">
      <c r="A1362" s="182"/>
      <c r="B1362" s="183"/>
      <c r="C1362" s="184"/>
      <c r="D1362" s="185"/>
      <c r="E1362" s="185"/>
      <c r="F1362" s="185"/>
      <c r="G1362" s="185"/>
      <c r="H1362" s="185"/>
      <c r="I1362" s="192" t="s">
        <v>1855</v>
      </c>
      <c r="J1362" s="187" t="s">
        <v>657</v>
      </c>
      <c r="K1362" s="213">
        <f t="shared" si="33"/>
        <v>12561.150000000001</v>
      </c>
      <c r="L1362" s="189"/>
      <c r="M1362" s="190"/>
    </row>
    <row r="1363" spans="1:13" s="141" customFormat="1" x14ac:dyDescent="0.2">
      <c r="A1363" s="182"/>
      <c r="B1363" s="183"/>
      <c r="C1363" s="184"/>
      <c r="D1363" s="185"/>
      <c r="E1363" s="185"/>
      <c r="F1363" s="185"/>
      <c r="G1363" s="185"/>
      <c r="H1363" s="185"/>
      <c r="I1363" s="192" t="s">
        <v>1856</v>
      </c>
      <c r="J1363" s="187" t="s">
        <v>657</v>
      </c>
      <c r="K1363" s="213">
        <f t="shared" si="33"/>
        <v>12561.150000000001</v>
      </c>
      <c r="L1363" s="189"/>
      <c r="M1363" s="190"/>
    </row>
    <row r="1364" spans="1:13" s="141" customFormat="1" x14ac:dyDescent="0.2">
      <c r="A1364" s="182"/>
      <c r="B1364" s="183"/>
      <c r="C1364" s="184"/>
      <c r="D1364" s="185"/>
      <c r="E1364" s="185"/>
      <c r="F1364" s="185"/>
      <c r="G1364" s="185"/>
      <c r="H1364" s="185"/>
      <c r="I1364" s="192" t="s">
        <v>1857</v>
      </c>
      <c r="J1364" s="187" t="s">
        <v>657</v>
      </c>
      <c r="K1364" s="213">
        <f t="shared" si="33"/>
        <v>12561.150000000001</v>
      </c>
      <c r="L1364" s="189"/>
      <c r="M1364" s="190"/>
    </row>
    <row r="1365" spans="1:13" s="141" customFormat="1" x14ac:dyDescent="0.2">
      <c r="A1365" s="182"/>
      <c r="B1365" s="183"/>
      <c r="C1365" s="184"/>
      <c r="D1365" s="185"/>
      <c r="E1365" s="185"/>
      <c r="F1365" s="185"/>
      <c r="G1365" s="185"/>
      <c r="H1365" s="185"/>
      <c r="I1365" s="192" t="s">
        <v>1858</v>
      </c>
      <c r="J1365" s="187" t="s">
        <v>415</v>
      </c>
      <c r="K1365" s="213">
        <f t="shared" si="33"/>
        <v>12561.150000000001</v>
      </c>
      <c r="L1365" s="189"/>
      <c r="M1365" s="190"/>
    </row>
    <row r="1366" spans="1:13" s="141" customFormat="1" x14ac:dyDescent="0.2">
      <c r="A1366" s="182"/>
      <c r="B1366" s="183"/>
      <c r="C1366" s="184"/>
      <c r="D1366" s="185"/>
      <c r="E1366" s="185"/>
      <c r="F1366" s="185"/>
      <c r="G1366" s="185"/>
      <c r="H1366" s="185"/>
      <c r="I1366" s="192" t="s">
        <v>1859</v>
      </c>
      <c r="J1366" s="187" t="s">
        <v>657</v>
      </c>
      <c r="K1366" s="213">
        <f t="shared" si="33"/>
        <v>12561.150000000001</v>
      </c>
      <c r="L1366" s="189"/>
      <c r="M1366" s="190"/>
    </row>
    <row r="1367" spans="1:13" s="141" customFormat="1" x14ac:dyDescent="0.2">
      <c r="A1367" s="193"/>
      <c r="B1367" s="194"/>
      <c r="C1367" s="195"/>
      <c r="D1367" s="196"/>
      <c r="E1367" s="196"/>
      <c r="F1367" s="196"/>
      <c r="G1367" s="196"/>
      <c r="H1367" s="196"/>
      <c r="I1367" s="206"/>
      <c r="J1367" s="198"/>
      <c r="K1367" s="218">
        <f>SUM(K1360:K1366)</f>
        <v>251222.99999999994</v>
      </c>
      <c r="L1367" s="200"/>
      <c r="M1367" s="201"/>
    </row>
    <row r="1368" spans="1:13" s="141" customFormat="1" ht="24" customHeight="1" x14ac:dyDescent="0.2">
      <c r="A1368" s="172">
        <v>331</v>
      </c>
      <c r="B1368" s="173" t="s">
        <v>1860</v>
      </c>
      <c r="C1368" s="174"/>
      <c r="D1368" s="175" t="s">
        <v>163</v>
      </c>
      <c r="E1368" s="175"/>
      <c r="F1368" s="175"/>
      <c r="G1368" s="175"/>
      <c r="H1368" s="175" t="s">
        <v>1011</v>
      </c>
      <c r="I1368" s="283" t="s">
        <v>1861</v>
      </c>
      <c r="J1368" s="259" t="s">
        <v>1027</v>
      </c>
      <c r="K1368" s="209">
        <f>20800*70%</f>
        <v>14559.999999999998</v>
      </c>
      <c r="L1368" s="179" t="s">
        <v>166</v>
      </c>
      <c r="M1368" s="180" t="s">
        <v>1862</v>
      </c>
    </row>
    <row r="1369" spans="1:13" s="141" customFormat="1" x14ac:dyDescent="0.2">
      <c r="A1369" s="182"/>
      <c r="B1369" s="183"/>
      <c r="C1369" s="184"/>
      <c r="D1369" s="185"/>
      <c r="E1369" s="185"/>
      <c r="F1369" s="185"/>
      <c r="G1369" s="185"/>
      <c r="H1369" s="185"/>
      <c r="I1369" s="192" t="s">
        <v>1863</v>
      </c>
      <c r="J1369" s="187" t="s">
        <v>829</v>
      </c>
      <c r="K1369" s="213">
        <f>20800*10%</f>
        <v>2080</v>
      </c>
      <c r="L1369" s="189"/>
      <c r="M1369" s="190"/>
    </row>
    <row r="1370" spans="1:13" s="141" customFormat="1" x14ac:dyDescent="0.2">
      <c r="A1370" s="182"/>
      <c r="B1370" s="183"/>
      <c r="C1370" s="184"/>
      <c r="D1370" s="185"/>
      <c r="E1370" s="185"/>
      <c r="F1370" s="185"/>
      <c r="G1370" s="185"/>
      <c r="H1370" s="185"/>
      <c r="I1370" s="192" t="s">
        <v>1864</v>
      </c>
      <c r="J1370" s="187" t="s">
        <v>657</v>
      </c>
      <c r="K1370" s="213">
        <f>20800*10%</f>
        <v>2080</v>
      </c>
      <c r="L1370" s="189"/>
      <c r="M1370" s="190"/>
    </row>
    <row r="1371" spans="1:13" s="141" customFormat="1" x14ac:dyDescent="0.2">
      <c r="A1371" s="182"/>
      <c r="B1371" s="183"/>
      <c r="C1371" s="184"/>
      <c r="D1371" s="185"/>
      <c r="E1371" s="185"/>
      <c r="F1371" s="185"/>
      <c r="G1371" s="185"/>
      <c r="H1371" s="185"/>
      <c r="I1371" s="192" t="s">
        <v>1865</v>
      </c>
      <c r="J1371" s="187" t="s">
        <v>274</v>
      </c>
      <c r="K1371" s="213">
        <f>20800*5%</f>
        <v>1040</v>
      </c>
      <c r="L1371" s="189"/>
      <c r="M1371" s="190"/>
    </row>
    <row r="1372" spans="1:13" s="141" customFormat="1" x14ac:dyDescent="0.2">
      <c r="A1372" s="182"/>
      <c r="B1372" s="183"/>
      <c r="C1372" s="184"/>
      <c r="D1372" s="185"/>
      <c r="E1372" s="185"/>
      <c r="F1372" s="185"/>
      <c r="G1372" s="185"/>
      <c r="H1372" s="185"/>
      <c r="I1372" s="192" t="s">
        <v>741</v>
      </c>
      <c r="J1372" s="187" t="s">
        <v>709</v>
      </c>
      <c r="K1372" s="213">
        <f>20800*5%</f>
        <v>1040</v>
      </c>
      <c r="L1372" s="189"/>
      <c r="M1372" s="190"/>
    </row>
    <row r="1373" spans="1:13" s="141" customFormat="1" x14ac:dyDescent="0.2">
      <c r="A1373" s="193"/>
      <c r="B1373" s="194"/>
      <c r="C1373" s="195"/>
      <c r="D1373" s="196"/>
      <c r="E1373" s="196"/>
      <c r="F1373" s="196"/>
      <c r="G1373" s="196"/>
      <c r="H1373" s="196"/>
      <c r="I1373" s="206"/>
      <c r="J1373" s="198"/>
      <c r="K1373" s="218">
        <f>SUM(K1368:K1372)</f>
        <v>20800</v>
      </c>
      <c r="L1373" s="200"/>
      <c r="M1373" s="201"/>
    </row>
    <row r="1374" spans="1:13" s="141" customFormat="1" ht="20.25" customHeight="1" x14ac:dyDescent="0.2">
      <c r="A1374" s="172">
        <v>332</v>
      </c>
      <c r="B1374" s="173" t="s">
        <v>1866</v>
      </c>
      <c r="C1374" s="174"/>
      <c r="D1374" s="175" t="s">
        <v>163</v>
      </c>
      <c r="E1374" s="175"/>
      <c r="F1374" s="175"/>
      <c r="G1374" s="175"/>
      <c r="H1374" s="175"/>
      <c r="I1374" s="283" t="s">
        <v>1867</v>
      </c>
      <c r="J1374" s="259" t="s">
        <v>1027</v>
      </c>
      <c r="K1374" s="224">
        <f>80500*70%</f>
        <v>56350</v>
      </c>
      <c r="L1374" s="180" t="s">
        <v>166</v>
      </c>
      <c r="M1374" s="180" t="s">
        <v>1868</v>
      </c>
    </row>
    <row r="1375" spans="1:13" s="141" customFormat="1" ht="20.25" customHeight="1" x14ac:dyDescent="0.2">
      <c r="A1375" s="182"/>
      <c r="B1375" s="183"/>
      <c r="C1375" s="184"/>
      <c r="D1375" s="185"/>
      <c r="E1375" s="185"/>
      <c r="F1375" s="185"/>
      <c r="G1375" s="185"/>
      <c r="H1375" s="185"/>
      <c r="I1375" s="192" t="s">
        <v>1869</v>
      </c>
      <c r="J1375" s="187" t="s">
        <v>657</v>
      </c>
      <c r="K1375" s="220">
        <f>80500*15%</f>
        <v>12075</v>
      </c>
      <c r="L1375" s="190"/>
      <c r="M1375" s="190"/>
    </row>
    <row r="1376" spans="1:13" s="141" customFormat="1" ht="20.25" customHeight="1" x14ac:dyDescent="0.2">
      <c r="A1376" s="182"/>
      <c r="B1376" s="183"/>
      <c r="C1376" s="184"/>
      <c r="D1376" s="185"/>
      <c r="E1376" s="185"/>
      <c r="F1376" s="185"/>
      <c r="G1376" s="185"/>
      <c r="H1376" s="185"/>
      <c r="I1376" s="192" t="s">
        <v>1870</v>
      </c>
      <c r="J1376" s="187" t="s">
        <v>829</v>
      </c>
      <c r="K1376" s="220">
        <f>80500*15%</f>
        <v>12075</v>
      </c>
      <c r="L1376" s="190"/>
      <c r="M1376" s="190"/>
    </row>
    <row r="1377" spans="1:13" s="141" customFormat="1" ht="20.25" customHeight="1" x14ac:dyDescent="0.2">
      <c r="A1377" s="193"/>
      <c r="B1377" s="194"/>
      <c r="C1377" s="195"/>
      <c r="D1377" s="196"/>
      <c r="E1377" s="196"/>
      <c r="F1377" s="196"/>
      <c r="G1377" s="196"/>
      <c r="H1377" s="196"/>
      <c r="I1377" s="206"/>
      <c r="J1377" s="198"/>
      <c r="K1377" s="221">
        <f>SUM(K1374:K1376)</f>
        <v>80500</v>
      </c>
      <c r="L1377" s="201"/>
      <c r="M1377" s="201"/>
    </row>
    <row r="1378" spans="1:13" s="141" customFormat="1" ht="22.5" customHeight="1" x14ac:dyDescent="0.2">
      <c r="A1378" s="172">
        <v>333</v>
      </c>
      <c r="B1378" s="173" t="s">
        <v>1871</v>
      </c>
      <c r="C1378" s="174"/>
      <c r="D1378" s="175" t="s">
        <v>163</v>
      </c>
      <c r="E1378" s="175"/>
      <c r="F1378" s="175"/>
      <c r="G1378" s="175"/>
      <c r="H1378" s="175" t="s">
        <v>137</v>
      </c>
      <c r="I1378" s="283" t="s">
        <v>1861</v>
      </c>
      <c r="J1378" s="259" t="s">
        <v>1872</v>
      </c>
      <c r="K1378" s="224">
        <f>501000*70%</f>
        <v>350700</v>
      </c>
      <c r="L1378" s="180" t="s">
        <v>166</v>
      </c>
      <c r="M1378" s="180" t="s">
        <v>1873</v>
      </c>
    </row>
    <row r="1379" spans="1:13" s="141" customFormat="1" x14ac:dyDescent="0.2">
      <c r="A1379" s="182"/>
      <c r="B1379" s="183"/>
      <c r="C1379" s="184"/>
      <c r="D1379" s="185"/>
      <c r="E1379" s="185"/>
      <c r="F1379" s="185"/>
      <c r="G1379" s="185"/>
      <c r="H1379" s="185"/>
      <c r="I1379" s="192" t="s">
        <v>1870</v>
      </c>
      <c r="J1379" s="187" t="s">
        <v>367</v>
      </c>
      <c r="K1379" s="220">
        <f>501000*15%</f>
        <v>75150</v>
      </c>
      <c r="L1379" s="190"/>
      <c r="M1379" s="190"/>
    </row>
    <row r="1380" spans="1:13" s="141" customFormat="1" x14ac:dyDescent="0.2">
      <c r="A1380" s="182"/>
      <c r="B1380" s="183"/>
      <c r="C1380" s="184"/>
      <c r="D1380" s="185"/>
      <c r="E1380" s="185"/>
      <c r="F1380" s="185"/>
      <c r="G1380" s="185"/>
      <c r="H1380" s="185"/>
      <c r="I1380" s="192" t="s">
        <v>1874</v>
      </c>
      <c r="J1380" s="187" t="s">
        <v>695</v>
      </c>
      <c r="K1380" s="220">
        <f>501000*15%</f>
        <v>75150</v>
      </c>
      <c r="L1380" s="190"/>
      <c r="M1380" s="190"/>
    </row>
    <row r="1381" spans="1:13" s="141" customFormat="1" x14ac:dyDescent="0.2">
      <c r="A1381" s="193"/>
      <c r="B1381" s="194"/>
      <c r="C1381" s="195"/>
      <c r="D1381" s="196"/>
      <c r="E1381" s="196"/>
      <c r="F1381" s="196"/>
      <c r="G1381" s="196"/>
      <c r="H1381" s="196"/>
      <c r="I1381" s="206"/>
      <c r="J1381" s="198"/>
      <c r="K1381" s="221">
        <f>SUM(K1378:K1380)</f>
        <v>501000</v>
      </c>
      <c r="L1381" s="201"/>
      <c r="M1381" s="201"/>
    </row>
    <row r="1382" spans="1:13" s="141" customFormat="1" ht="24" customHeight="1" x14ac:dyDescent="0.2">
      <c r="A1382" s="172">
        <v>334</v>
      </c>
      <c r="B1382" s="173" t="s">
        <v>1875</v>
      </c>
      <c r="C1382" s="174"/>
      <c r="D1382" s="175" t="s">
        <v>163</v>
      </c>
      <c r="E1382" s="175"/>
      <c r="F1382" s="175"/>
      <c r="G1382" s="175"/>
      <c r="H1382" s="175" t="s">
        <v>1475</v>
      </c>
      <c r="I1382" s="283" t="s">
        <v>1876</v>
      </c>
      <c r="J1382" s="259" t="s">
        <v>1027</v>
      </c>
      <c r="K1382" s="209">
        <f>179400*50%</f>
        <v>89700</v>
      </c>
      <c r="L1382" s="179" t="s">
        <v>166</v>
      </c>
      <c r="M1382" s="180" t="s">
        <v>1877</v>
      </c>
    </row>
    <row r="1383" spans="1:13" s="141" customFormat="1" ht="21" customHeight="1" x14ac:dyDescent="0.2">
      <c r="A1383" s="182"/>
      <c r="B1383" s="183"/>
      <c r="C1383" s="184"/>
      <c r="D1383" s="185"/>
      <c r="E1383" s="185"/>
      <c r="F1383" s="185"/>
      <c r="G1383" s="185"/>
      <c r="H1383" s="185"/>
      <c r="I1383" s="192" t="s">
        <v>1878</v>
      </c>
      <c r="J1383" s="187" t="s">
        <v>657</v>
      </c>
      <c r="K1383" s="213">
        <f>179400*10%</f>
        <v>17940</v>
      </c>
      <c r="L1383" s="189"/>
      <c r="M1383" s="190"/>
    </row>
    <row r="1384" spans="1:13" s="141" customFormat="1" x14ac:dyDescent="0.2">
      <c r="A1384" s="182"/>
      <c r="B1384" s="183"/>
      <c r="C1384" s="184"/>
      <c r="D1384" s="185"/>
      <c r="E1384" s="185"/>
      <c r="F1384" s="185"/>
      <c r="G1384" s="185"/>
      <c r="H1384" s="185"/>
      <c r="I1384" s="192" t="s">
        <v>1879</v>
      </c>
      <c r="J1384" s="187" t="s">
        <v>657</v>
      </c>
      <c r="K1384" s="213">
        <f>179400*10%</f>
        <v>17940</v>
      </c>
      <c r="L1384" s="189"/>
      <c r="M1384" s="190"/>
    </row>
    <row r="1385" spans="1:13" s="141" customFormat="1" x14ac:dyDescent="0.2">
      <c r="A1385" s="182"/>
      <c r="B1385" s="183"/>
      <c r="C1385" s="184"/>
      <c r="D1385" s="185"/>
      <c r="E1385" s="185"/>
      <c r="F1385" s="185"/>
      <c r="G1385" s="185"/>
      <c r="H1385" s="185"/>
      <c r="I1385" s="192" t="s">
        <v>1880</v>
      </c>
      <c r="J1385" s="187" t="s">
        <v>657</v>
      </c>
      <c r="K1385" s="213">
        <f>179400*5%</f>
        <v>8970</v>
      </c>
      <c r="L1385" s="189"/>
      <c r="M1385" s="190"/>
    </row>
    <row r="1386" spans="1:13" s="141" customFormat="1" x14ac:dyDescent="0.2">
      <c r="A1386" s="182"/>
      <c r="B1386" s="183"/>
      <c r="C1386" s="184"/>
      <c r="D1386" s="185"/>
      <c r="E1386" s="185"/>
      <c r="F1386" s="185"/>
      <c r="G1386" s="185"/>
      <c r="H1386" s="185"/>
      <c r="I1386" s="192" t="s">
        <v>1881</v>
      </c>
      <c r="J1386" s="187" t="s">
        <v>657</v>
      </c>
      <c r="K1386" s="213">
        <f>179400*5%</f>
        <v>8970</v>
      </c>
      <c r="L1386" s="189"/>
      <c r="M1386" s="190"/>
    </row>
    <row r="1387" spans="1:13" s="141" customFormat="1" x14ac:dyDescent="0.2">
      <c r="A1387" s="182"/>
      <c r="B1387" s="183"/>
      <c r="C1387" s="184"/>
      <c r="D1387" s="185"/>
      <c r="E1387" s="185"/>
      <c r="F1387" s="185"/>
      <c r="G1387" s="185"/>
      <c r="H1387" s="185"/>
      <c r="I1387" s="192" t="s">
        <v>1882</v>
      </c>
      <c r="J1387" s="187" t="s">
        <v>657</v>
      </c>
      <c r="K1387" s="213">
        <f>179400*10%</f>
        <v>17940</v>
      </c>
      <c r="L1387" s="189"/>
      <c r="M1387" s="190"/>
    </row>
    <row r="1388" spans="1:13" s="141" customFormat="1" x14ac:dyDescent="0.2">
      <c r="A1388" s="182"/>
      <c r="B1388" s="183"/>
      <c r="C1388" s="184"/>
      <c r="D1388" s="185"/>
      <c r="E1388" s="185"/>
      <c r="F1388" s="185"/>
      <c r="G1388" s="185"/>
      <c r="H1388" s="185"/>
      <c r="I1388" s="192" t="s">
        <v>1883</v>
      </c>
      <c r="J1388" s="187" t="s">
        <v>657</v>
      </c>
      <c r="K1388" s="213">
        <f>179400*5%</f>
        <v>8970</v>
      </c>
      <c r="L1388" s="189"/>
      <c r="M1388" s="190"/>
    </row>
    <row r="1389" spans="1:13" s="141" customFormat="1" x14ac:dyDescent="0.2">
      <c r="A1389" s="182"/>
      <c r="B1389" s="183"/>
      <c r="C1389" s="184"/>
      <c r="D1389" s="185"/>
      <c r="E1389" s="185"/>
      <c r="F1389" s="185"/>
      <c r="G1389" s="185"/>
      <c r="H1389" s="185"/>
      <c r="I1389" s="192" t="s">
        <v>1884</v>
      </c>
      <c r="J1389" s="187" t="s">
        <v>657</v>
      </c>
      <c r="K1389" s="213">
        <f>179400*5%</f>
        <v>8970</v>
      </c>
      <c r="L1389" s="189"/>
      <c r="M1389" s="190"/>
    </row>
    <row r="1390" spans="1:13" s="141" customFormat="1" x14ac:dyDescent="0.2">
      <c r="A1390" s="193"/>
      <c r="B1390" s="194"/>
      <c r="C1390" s="195"/>
      <c r="D1390" s="196"/>
      <c r="E1390" s="196"/>
      <c r="F1390" s="196"/>
      <c r="G1390" s="196"/>
      <c r="H1390" s="196"/>
      <c r="I1390" s="206"/>
      <c r="J1390" s="198"/>
      <c r="K1390" s="218">
        <f>SUM(K1382:K1389)</f>
        <v>179400</v>
      </c>
      <c r="L1390" s="200"/>
      <c r="M1390" s="201"/>
    </row>
    <row r="1391" spans="1:13" s="141" customFormat="1" ht="21" customHeight="1" x14ac:dyDescent="0.2">
      <c r="A1391" s="172">
        <v>335</v>
      </c>
      <c r="B1391" s="173" t="s">
        <v>1885</v>
      </c>
      <c r="C1391" s="174"/>
      <c r="D1391" s="175" t="s">
        <v>163</v>
      </c>
      <c r="E1391" s="175"/>
      <c r="F1391" s="175"/>
      <c r="G1391" s="175"/>
      <c r="H1391" s="175"/>
      <c r="I1391" s="283" t="s">
        <v>1886</v>
      </c>
      <c r="J1391" s="259" t="s">
        <v>1027</v>
      </c>
      <c r="K1391" s="224">
        <f>194900*65%</f>
        <v>126685</v>
      </c>
      <c r="L1391" s="180" t="s">
        <v>166</v>
      </c>
      <c r="M1391" s="180" t="s">
        <v>1887</v>
      </c>
    </row>
    <row r="1392" spans="1:13" s="141" customFormat="1" x14ac:dyDescent="0.2">
      <c r="A1392" s="182"/>
      <c r="B1392" s="183"/>
      <c r="C1392" s="184"/>
      <c r="D1392" s="185"/>
      <c r="E1392" s="185"/>
      <c r="F1392" s="185"/>
      <c r="G1392" s="185"/>
      <c r="H1392" s="185"/>
      <c r="I1392" s="192" t="s">
        <v>1888</v>
      </c>
      <c r="J1392" s="187" t="s">
        <v>657</v>
      </c>
      <c r="K1392" s="220">
        <f t="shared" ref="K1392:K1398" si="34">194900*5%</f>
        <v>9745</v>
      </c>
      <c r="L1392" s="190"/>
      <c r="M1392" s="190"/>
    </row>
    <row r="1393" spans="1:13" s="141" customFormat="1" x14ac:dyDescent="0.2">
      <c r="A1393" s="182"/>
      <c r="B1393" s="183"/>
      <c r="C1393" s="184"/>
      <c r="D1393" s="185"/>
      <c r="E1393" s="185"/>
      <c r="F1393" s="185"/>
      <c r="G1393" s="185"/>
      <c r="H1393" s="185"/>
      <c r="I1393" s="192" t="s">
        <v>1889</v>
      </c>
      <c r="J1393" s="187" t="s">
        <v>373</v>
      </c>
      <c r="K1393" s="220">
        <f t="shared" si="34"/>
        <v>9745</v>
      </c>
      <c r="L1393" s="190"/>
      <c r="M1393" s="190"/>
    </row>
    <row r="1394" spans="1:13" s="141" customFormat="1" x14ac:dyDescent="0.2">
      <c r="A1394" s="182"/>
      <c r="B1394" s="183"/>
      <c r="C1394" s="184"/>
      <c r="D1394" s="185"/>
      <c r="E1394" s="185"/>
      <c r="F1394" s="185"/>
      <c r="G1394" s="185"/>
      <c r="H1394" s="185"/>
      <c r="I1394" s="192" t="s">
        <v>1890</v>
      </c>
      <c r="J1394" s="187" t="s">
        <v>657</v>
      </c>
      <c r="K1394" s="220">
        <f t="shared" si="34"/>
        <v>9745</v>
      </c>
      <c r="L1394" s="190"/>
      <c r="M1394" s="190"/>
    </row>
    <row r="1395" spans="1:13" s="141" customFormat="1" x14ac:dyDescent="0.2">
      <c r="A1395" s="182"/>
      <c r="B1395" s="183"/>
      <c r="C1395" s="184"/>
      <c r="D1395" s="185"/>
      <c r="E1395" s="185"/>
      <c r="F1395" s="185"/>
      <c r="G1395" s="185"/>
      <c r="H1395" s="185"/>
      <c r="I1395" s="192" t="s">
        <v>1891</v>
      </c>
      <c r="J1395" s="187" t="s">
        <v>829</v>
      </c>
      <c r="K1395" s="220">
        <f t="shared" si="34"/>
        <v>9745</v>
      </c>
      <c r="L1395" s="190"/>
      <c r="M1395" s="190"/>
    </row>
    <row r="1396" spans="1:13" s="141" customFormat="1" x14ac:dyDescent="0.2">
      <c r="A1396" s="182"/>
      <c r="B1396" s="183"/>
      <c r="C1396" s="184"/>
      <c r="D1396" s="185"/>
      <c r="E1396" s="185"/>
      <c r="F1396" s="185"/>
      <c r="G1396" s="185"/>
      <c r="H1396" s="185"/>
      <c r="I1396" s="192" t="s">
        <v>792</v>
      </c>
      <c r="J1396" s="187" t="s">
        <v>711</v>
      </c>
      <c r="K1396" s="220">
        <f t="shared" si="34"/>
        <v>9745</v>
      </c>
      <c r="L1396" s="190"/>
      <c r="M1396" s="190"/>
    </row>
    <row r="1397" spans="1:13" s="141" customFormat="1" x14ac:dyDescent="0.2">
      <c r="A1397" s="182"/>
      <c r="B1397" s="183"/>
      <c r="C1397" s="184"/>
      <c r="D1397" s="185"/>
      <c r="E1397" s="185"/>
      <c r="F1397" s="185"/>
      <c r="G1397" s="185"/>
      <c r="H1397" s="185"/>
      <c r="I1397" s="192" t="s">
        <v>1892</v>
      </c>
      <c r="J1397" s="187" t="s">
        <v>657</v>
      </c>
      <c r="K1397" s="220">
        <f t="shared" si="34"/>
        <v>9745</v>
      </c>
      <c r="L1397" s="190"/>
      <c r="M1397" s="190"/>
    </row>
    <row r="1398" spans="1:13" s="141" customFormat="1" x14ac:dyDescent="0.2">
      <c r="A1398" s="182"/>
      <c r="B1398" s="183"/>
      <c r="C1398" s="184"/>
      <c r="D1398" s="185"/>
      <c r="E1398" s="185"/>
      <c r="F1398" s="185"/>
      <c r="G1398" s="185"/>
      <c r="H1398" s="185"/>
      <c r="I1398" s="192" t="s">
        <v>1893</v>
      </c>
      <c r="J1398" s="187" t="s">
        <v>711</v>
      </c>
      <c r="K1398" s="220">
        <f t="shared" si="34"/>
        <v>9745</v>
      </c>
      <c r="L1398" s="190"/>
      <c r="M1398" s="190"/>
    </row>
    <row r="1399" spans="1:13" s="141" customFormat="1" x14ac:dyDescent="0.2">
      <c r="A1399" s="193"/>
      <c r="B1399" s="194"/>
      <c r="C1399" s="195"/>
      <c r="D1399" s="196"/>
      <c r="E1399" s="196"/>
      <c r="F1399" s="196"/>
      <c r="G1399" s="196"/>
      <c r="H1399" s="196"/>
      <c r="I1399" s="186"/>
      <c r="J1399" s="191"/>
      <c r="K1399" s="232">
        <f>SUM(K1391:K1398)</f>
        <v>194900</v>
      </c>
      <c r="L1399" s="201"/>
      <c r="M1399" s="201"/>
    </row>
    <row r="1400" spans="1:13" s="141" customFormat="1" ht="23.25" customHeight="1" x14ac:dyDescent="0.2">
      <c r="A1400" s="172">
        <v>336</v>
      </c>
      <c r="B1400" s="173" t="s">
        <v>1894</v>
      </c>
      <c r="C1400" s="174"/>
      <c r="D1400" s="175" t="s">
        <v>163</v>
      </c>
      <c r="E1400" s="175"/>
      <c r="F1400" s="175"/>
      <c r="G1400" s="175"/>
      <c r="H1400" s="175" t="s">
        <v>164</v>
      </c>
      <c r="I1400" s="228" t="s">
        <v>1895</v>
      </c>
      <c r="J1400" s="202" t="s">
        <v>1027</v>
      </c>
      <c r="K1400" s="276">
        <f>120000*60%</f>
        <v>72000</v>
      </c>
      <c r="L1400" s="180" t="s">
        <v>166</v>
      </c>
      <c r="M1400" s="180" t="s">
        <v>1896</v>
      </c>
    </row>
    <row r="1401" spans="1:13" s="141" customFormat="1" x14ac:dyDescent="0.2">
      <c r="A1401" s="182"/>
      <c r="B1401" s="183"/>
      <c r="C1401" s="184"/>
      <c r="D1401" s="185"/>
      <c r="E1401" s="185"/>
      <c r="F1401" s="185"/>
      <c r="G1401" s="185"/>
      <c r="H1401" s="185"/>
      <c r="I1401" s="192" t="s">
        <v>1897</v>
      </c>
      <c r="J1401" s="187" t="s">
        <v>657</v>
      </c>
      <c r="K1401" s="225">
        <f>120000*40%</f>
        <v>48000</v>
      </c>
      <c r="L1401" s="190"/>
      <c r="M1401" s="190"/>
    </row>
    <row r="1402" spans="1:13" s="141" customFormat="1" x14ac:dyDescent="0.2">
      <c r="A1402" s="193"/>
      <c r="B1402" s="194"/>
      <c r="C1402" s="195"/>
      <c r="D1402" s="196"/>
      <c r="E1402" s="196"/>
      <c r="F1402" s="196"/>
      <c r="G1402" s="196"/>
      <c r="H1402" s="196"/>
      <c r="I1402" s="206"/>
      <c r="J1402" s="198"/>
      <c r="K1402" s="257">
        <f>SUM(K1400:K1401)</f>
        <v>120000</v>
      </c>
      <c r="L1402" s="201"/>
      <c r="M1402" s="201"/>
    </row>
    <row r="1403" spans="1:13" s="141" customFormat="1" ht="22.5" customHeight="1" x14ac:dyDescent="0.2">
      <c r="A1403" s="172">
        <v>337</v>
      </c>
      <c r="B1403" s="173" t="s">
        <v>1898</v>
      </c>
      <c r="C1403" s="174"/>
      <c r="D1403" s="175" t="s">
        <v>163</v>
      </c>
      <c r="E1403" s="175"/>
      <c r="F1403" s="175"/>
      <c r="G1403" s="175"/>
      <c r="H1403" s="175"/>
      <c r="I1403" s="228" t="s">
        <v>1895</v>
      </c>
      <c r="J1403" s="202" t="s">
        <v>1027</v>
      </c>
      <c r="K1403" s="462">
        <f>809800*60%</f>
        <v>485880</v>
      </c>
      <c r="L1403" s="179" t="s">
        <v>166</v>
      </c>
      <c r="M1403" s="180" t="s">
        <v>1899</v>
      </c>
    </row>
    <row r="1404" spans="1:13" s="141" customFormat="1" x14ac:dyDescent="0.2">
      <c r="A1404" s="182"/>
      <c r="B1404" s="183"/>
      <c r="C1404" s="184"/>
      <c r="D1404" s="185"/>
      <c r="E1404" s="185"/>
      <c r="F1404" s="185"/>
      <c r="G1404" s="185"/>
      <c r="H1404" s="185"/>
      <c r="I1404" s="192" t="s">
        <v>1897</v>
      </c>
      <c r="J1404" s="187" t="s">
        <v>657</v>
      </c>
      <c r="K1404" s="213">
        <f>809800*40%</f>
        <v>323920</v>
      </c>
      <c r="L1404" s="189"/>
      <c r="M1404" s="190"/>
    </row>
    <row r="1405" spans="1:13" s="141" customFormat="1" x14ac:dyDescent="0.2">
      <c r="A1405" s="193"/>
      <c r="B1405" s="194"/>
      <c r="C1405" s="195"/>
      <c r="D1405" s="196"/>
      <c r="E1405" s="196"/>
      <c r="F1405" s="196"/>
      <c r="G1405" s="196"/>
      <c r="H1405" s="196"/>
      <c r="I1405" s="206"/>
      <c r="J1405" s="198"/>
      <c r="K1405" s="218">
        <f>SUM(K1403:K1404)</f>
        <v>809800</v>
      </c>
      <c r="L1405" s="200"/>
      <c r="M1405" s="201"/>
    </row>
    <row r="1406" spans="1:13" s="141" customFormat="1" ht="18.75" customHeight="1" x14ac:dyDescent="0.2">
      <c r="A1406" s="172">
        <v>338</v>
      </c>
      <c r="B1406" s="173" t="s">
        <v>1900</v>
      </c>
      <c r="C1406" s="174"/>
      <c r="D1406" s="175" t="s">
        <v>163</v>
      </c>
      <c r="E1406" s="175"/>
      <c r="F1406" s="175"/>
      <c r="G1406" s="175"/>
      <c r="H1406" s="175" t="s">
        <v>164</v>
      </c>
      <c r="I1406" s="283" t="s">
        <v>1901</v>
      </c>
      <c r="J1406" s="259" t="s">
        <v>1027</v>
      </c>
      <c r="K1406" s="209">
        <f>949800*60%</f>
        <v>569880</v>
      </c>
      <c r="L1406" s="179" t="s">
        <v>166</v>
      </c>
      <c r="M1406" s="180" t="s">
        <v>1902</v>
      </c>
    </row>
    <row r="1407" spans="1:13" s="141" customFormat="1" x14ac:dyDescent="0.2">
      <c r="A1407" s="182"/>
      <c r="B1407" s="183"/>
      <c r="C1407" s="184"/>
      <c r="D1407" s="185"/>
      <c r="E1407" s="185"/>
      <c r="F1407" s="185"/>
      <c r="G1407" s="185"/>
      <c r="H1407" s="185"/>
      <c r="I1407" s="192" t="s">
        <v>1903</v>
      </c>
      <c r="J1407" s="187" t="s">
        <v>657</v>
      </c>
      <c r="K1407" s="213">
        <f>949800*40%</f>
        <v>379920</v>
      </c>
      <c r="L1407" s="189"/>
      <c r="M1407" s="190"/>
    </row>
    <row r="1408" spans="1:13" s="141" customFormat="1" x14ac:dyDescent="0.2">
      <c r="A1408" s="193"/>
      <c r="B1408" s="194"/>
      <c r="C1408" s="195"/>
      <c r="D1408" s="196"/>
      <c r="E1408" s="196"/>
      <c r="F1408" s="196"/>
      <c r="G1408" s="196"/>
      <c r="H1408" s="196"/>
      <c r="I1408" s="206"/>
      <c r="J1408" s="198"/>
      <c r="K1408" s="218">
        <f>SUM(K1406:K1407)</f>
        <v>949800</v>
      </c>
      <c r="L1408" s="200"/>
      <c r="M1408" s="201"/>
    </row>
    <row r="1409" spans="1:13" s="141" customFormat="1" ht="48.75" customHeight="1" x14ac:dyDescent="0.2">
      <c r="A1409" s="316">
        <v>339</v>
      </c>
      <c r="B1409" s="173" t="s">
        <v>1904</v>
      </c>
      <c r="C1409" s="174"/>
      <c r="D1409" s="321" t="s">
        <v>163</v>
      </c>
      <c r="E1409" s="321"/>
      <c r="F1409" s="321"/>
      <c r="G1409" s="321"/>
      <c r="H1409" s="321" t="s">
        <v>164</v>
      </c>
      <c r="I1409" s="289" t="s">
        <v>1905</v>
      </c>
      <c r="J1409" s="330" t="s">
        <v>1027</v>
      </c>
      <c r="K1409" s="224">
        <v>10900</v>
      </c>
      <c r="L1409" s="272" t="s">
        <v>166</v>
      </c>
      <c r="M1409" s="272" t="s">
        <v>1906</v>
      </c>
    </row>
    <row r="1410" spans="1:13" s="141" customFormat="1" ht="50.25" customHeight="1" x14ac:dyDescent="0.2">
      <c r="A1410" s="316">
        <v>340</v>
      </c>
      <c r="B1410" s="173" t="s">
        <v>1907</v>
      </c>
      <c r="C1410" s="174"/>
      <c r="D1410" s="321" t="s">
        <v>163</v>
      </c>
      <c r="E1410" s="321"/>
      <c r="F1410" s="321"/>
      <c r="G1410" s="321"/>
      <c r="H1410" s="321" t="s">
        <v>164</v>
      </c>
      <c r="I1410" s="289" t="s">
        <v>1905</v>
      </c>
      <c r="J1410" s="312" t="s">
        <v>1027</v>
      </c>
      <c r="K1410" s="209">
        <v>100000</v>
      </c>
      <c r="L1410" s="323" t="s">
        <v>166</v>
      </c>
      <c r="M1410" s="272" t="s">
        <v>1908</v>
      </c>
    </row>
    <row r="1411" spans="1:13" s="141" customFormat="1" ht="24" customHeight="1" x14ac:dyDescent="0.2">
      <c r="A1411" s="172">
        <v>341</v>
      </c>
      <c r="B1411" s="173" t="s">
        <v>1909</v>
      </c>
      <c r="C1411" s="174"/>
      <c r="D1411" s="175" t="s">
        <v>163</v>
      </c>
      <c r="E1411" s="175"/>
      <c r="F1411" s="175"/>
      <c r="G1411" s="175"/>
      <c r="H1411" s="175" t="s">
        <v>164</v>
      </c>
      <c r="I1411" s="283" t="s">
        <v>1910</v>
      </c>
      <c r="J1411" s="259" t="s">
        <v>1836</v>
      </c>
      <c r="K1411" s="224">
        <f>100000*60%</f>
        <v>60000</v>
      </c>
      <c r="L1411" s="180" t="s">
        <v>166</v>
      </c>
      <c r="M1411" s="180" t="s">
        <v>1911</v>
      </c>
    </row>
    <row r="1412" spans="1:13" s="141" customFormat="1" x14ac:dyDescent="0.2">
      <c r="A1412" s="182"/>
      <c r="B1412" s="183"/>
      <c r="C1412" s="184"/>
      <c r="D1412" s="185"/>
      <c r="E1412" s="185"/>
      <c r="F1412" s="185"/>
      <c r="G1412" s="185"/>
      <c r="H1412" s="185"/>
      <c r="I1412" s="192" t="s">
        <v>1912</v>
      </c>
      <c r="J1412" s="187" t="s">
        <v>695</v>
      </c>
      <c r="K1412" s="220">
        <f>100000*40%</f>
        <v>40000</v>
      </c>
      <c r="L1412" s="190"/>
      <c r="M1412" s="190"/>
    </row>
    <row r="1413" spans="1:13" s="141" customFormat="1" x14ac:dyDescent="0.2">
      <c r="A1413" s="193"/>
      <c r="B1413" s="194"/>
      <c r="C1413" s="195"/>
      <c r="D1413" s="196"/>
      <c r="E1413" s="196"/>
      <c r="F1413" s="196"/>
      <c r="G1413" s="196"/>
      <c r="H1413" s="196"/>
      <c r="I1413" s="206"/>
      <c r="J1413" s="198"/>
      <c r="K1413" s="221">
        <f>SUM(K1411:K1412)</f>
        <v>100000</v>
      </c>
      <c r="L1413" s="201"/>
      <c r="M1413" s="201"/>
    </row>
    <row r="1414" spans="1:13" s="141" customFormat="1" ht="23.25" customHeight="1" x14ac:dyDescent="0.2">
      <c r="A1414" s="172">
        <v>342</v>
      </c>
      <c r="B1414" s="173" t="s">
        <v>1913</v>
      </c>
      <c r="C1414" s="174"/>
      <c r="D1414" s="175" t="s">
        <v>163</v>
      </c>
      <c r="E1414" s="175"/>
      <c r="F1414" s="175"/>
      <c r="G1414" s="175"/>
      <c r="H1414" s="175" t="s">
        <v>164</v>
      </c>
      <c r="I1414" s="283" t="s">
        <v>1910</v>
      </c>
      <c r="J1414" s="259" t="s">
        <v>1027</v>
      </c>
      <c r="K1414" s="209">
        <f>1100200*60%</f>
        <v>660120</v>
      </c>
      <c r="L1414" s="179" t="s">
        <v>166</v>
      </c>
      <c r="M1414" s="180" t="s">
        <v>1914</v>
      </c>
    </row>
    <row r="1415" spans="1:13" s="141" customFormat="1" ht="23.25" customHeight="1" x14ac:dyDescent="0.2">
      <c r="A1415" s="182"/>
      <c r="B1415" s="183"/>
      <c r="C1415" s="184"/>
      <c r="D1415" s="185"/>
      <c r="E1415" s="185"/>
      <c r="F1415" s="185"/>
      <c r="G1415" s="185"/>
      <c r="H1415" s="185"/>
      <c r="I1415" s="192" t="s">
        <v>1912</v>
      </c>
      <c r="J1415" s="187" t="s">
        <v>657</v>
      </c>
      <c r="K1415" s="213">
        <f>1100200*40%</f>
        <v>440080</v>
      </c>
      <c r="L1415" s="189"/>
      <c r="M1415" s="190"/>
    </row>
    <row r="1416" spans="1:13" s="141" customFormat="1" ht="23.25" customHeight="1" x14ac:dyDescent="0.2">
      <c r="A1416" s="193"/>
      <c r="B1416" s="194"/>
      <c r="C1416" s="195"/>
      <c r="D1416" s="196"/>
      <c r="E1416" s="196"/>
      <c r="F1416" s="196"/>
      <c r="G1416" s="196"/>
      <c r="H1416" s="196"/>
      <c r="I1416" s="206"/>
      <c r="J1416" s="198"/>
      <c r="K1416" s="218">
        <f>SUM(K1414:K1415)</f>
        <v>1100200</v>
      </c>
      <c r="L1416" s="200"/>
      <c r="M1416" s="201"/>
    </row>
    <row r="1417" spans="1:13" s="141" customFormat="1" ht="23.25" customHeight="1" x14ac:dyDescent="0.2">
      <c r="A1417" s="172">
        <v>343</v>
      </c>
      <c r="B1417" s="173" t="s">
        <v>1915</v>
      </c>
      <c r="C1417" s="174"/>
      <c r="D1417" s="175" t="s">
        <v>163</v>
      </c>
      <c r="E1417" s="175"/>
      <c r="F1417" s="175"/>
      <c r="G1417" s="175"/>
      <c r="H1417" s="175" t="s">
        <v>164</v>
      </c>
      <c r="I1417" s="283" t="s">
        <v>1916</v>
      </c>
      <c r="J1417" s="259" t="s">
        <v>1027</v>
      </c>
      <c r="K1417" s="209">
        <f>100000*60%</f>
        <v>60000</v>
      </c>
      <c r="L1417" s="179" t="s">
        <v>166</v>
      </c>
      <c r="M1417" s="180" t="s">
        <v>1917</v>
      </c>
    </row>
    <row r="1418" spans="1:13" s="141" customFormat="1" ht="23.25" customHeight="1" x14ac:dyDescent="0.2">
      <c r="A1418" s="182"/>
      <c r="B1418" s="183"/>
      <c r="C1418" s="184"/>
      <c r="D1418" s="185"/>
      <c r="E1418" s="185"/>
      <c r="F1418" s="185"/>
      <c r="G1418" s="185"/>
      <c r="H1418" s="185"/>
      <c r="I1418" s="192" t="s">
        <v>1918</v>
      </c>
      <c r="J1418" s="187" t="s">
        <v>657</v>
      </c>
      <c r="K1418" s="213">
        <f>100000*40%</f>
        <v>40000</v>
      </c>
      <c r="L1418" s="189"/>
      <c r="M1418" s="190"/>
    </row>
    <row r="1419" spans="1:13" s="141" customFormat="1" ht="23.25" customHeight="1" x14ac:dyDescent="0.2">
      <c r="A1419" s="193"/>
      <c r="B1419" s="194"/>
      <c r="C1419" s="195"/>
      <c r="D1419" s="196"/>
      <c r="E1419" s="196"/>
      <c r="F1419" s="196"/>
      <c r="G1419" s="196"/>
      <c r="H1419" s="196"/>
      <c r="I1419" s="206"/>
      <c r="J1419" s="198"/>
      <c r="K1419" s="218">
        <f>SUM(K1417:K1418)</f>
        <v>100000</v>
      </c>
      <c r="L1419" s="200"/>
      <c r="M1419" s="201"/>
    </row>
    <row r="1420" spans="1:13" s="141" customFormat="1" ht="23.25" customHeight="1" x14ac:dyDescent="0.2">
      <c r="A1420" s="172">
        <v>344</v>
      </c>
      <c r="B1420" s="173" t="s">
        <v>1919</v>
      </c>
      <c r="C1420" s="174"/>
      <c r="D1420" s="175" t="s">
        <v>163</v>
      </c>
      <c r="E1420" s="175"/>
      <c r="F1420" s="175"/>
      <c r="G1420" s="175"/>
      <c r="H1420" s="175" t="s">
        <v>164</v>
      </c>
      <c r="I1420" s="283" t="s">
        <v>1916</v>
      </c>
      <c r="J1420" s="259" t="s">
        <v>1027</v>
      </c>
      <c r="K1420" s="224">
        <f>1237200*60%</f>
        <v>742320</v>
      </c>
      <c r="L1420" s="180" t="s">
        <v>166</v>
      </c>
      <c r="M1420" s="180" t="s">
        <v>1920</v>
      </c>
    </row>
    <row r="1421" spans="1:13" s="141" customFormat="1" ht="23.25" customHeight="1" x14ac:dyDescent="0.2">
      <c r="A1421" s="182"/>
      <c r="B1421" s="183"/>
      <c r="C1421" s="184"/>
      <c r="D1421" s="185"/>
      <c r="E1421" s="185"/>
      <c r="F1421" s="185"/>
      <c r="G1421" s="185"/>
      <c r="H1421" s="185"/>
      <c r="I1421" s="192" t="s">
        <v>1918</v>
      </c>
      <c r="J1421" s="187" t="s">
        <v>657</v>
      </c>
      <c r="K1421" s="220">
        <f>1237200*40%</f>
        <v>494880</v>
      </c>
      <c r="L1421" s="190"/>
      <c r="M1421" s="190"/>
    </row>
    <row r="1422" spans="1:13" s="141" customFormat="1" ht="23.25" customHeight="1" x14ac:dyDescent="0.2">
      <c r="A1422" s="193"/>
      <c r="B1422" s="194"/>
      <c r="C1422" s="195"/>
      <c r="D1422" s="196"/>
      <c r="E1422" s="196"/>
      <c r="F1422" s="196"/>
      <c r="G1422" s="196"/>
      <c r="H1422" s="196"/>
      <c r="I1422" s="206"/>
      <c r="J1422" s="198"/>
      <c r="K1422" s="221">
        <f>SUM(K1420:K1421)</f>
        <v>1237200</v>
      </c>
      <c r="L1422" s="201"/>
      <c r="M1422" s="201"/>
    </row>
    <row r="1423" spans="1:13" s="141" customFormat="1" ht="23.25" customHeight="1" x14ac:dyDescent="0.2">
      <c r="A1423" s="172">
        <v>345</v>
      </c>
      <c r="B1423" s="173" t="s">
        <v>1921</v>
      </c>
      <c r="C1423" s="174"/>
      <c r="D1423" s="263" t="s">
        <v>107</v>
      </c>
      <c r="E1423" s="175"/>
      <c r="F1423" s="175"/>
      <c r="G1423" s="175"/>
      <c r="H1423" s="175" t="s">
        <v>137</v>
      </c>
      <c r="I1423" s="176" t="s">
        <v>1922</v>
      </c>
      <c r="J1423" s="202" t="s">
        <v>1027</v>
      </c>
      <c r="K1423" s="222">
        <f>K1426*80%</f>
        <v>2000</v>
      </c>
      <c r="L1423" s="179" t="s">
        <v>111</v>
      </c>
      <c r="M1423" s="180" t="s">
        <v>1923</v>
      </c>
    </row>
    <row r="1424" spans="1:13" s="141" customFormat="1" ht="23.25" customHeight="1" x14ac:dyDescent="0.2">
      <c r="A1424" s="182"/>
      <c r="B1424" s="183"/>
      <c r="C1424" s="184"/>
      <c r="D1424" s="255"/>
      <c r="E1424" s="185"/>
      <c r="F1424" s="185"/>
      <c r="G1424" s="185"/>
      <c r="H1424" s="185"/>
      <c r="I1424" s="192" t="s">
        <v>1924</v>
      </c>
      <c r="J1424" s="177" t="s">
        <v>1027</v>
      </c>
      <c r="K1424" s="210">
        <f>K1426*10%</f>
        <v>250</v>
      </c>
      <c r="L1424" s="189"/>
      <c r="M1424" s="190"/>
    </row>
    <row r="1425" spans="1:13" s="141" customFormat="1" ht="23.25" customHeight="1" x14ac:dyDescent="0.2">
      <c r="A1425" s="182"/>
      <c r="B1425" s="183"/>
      <c r="C1425" s="184"/>
      <c r="D1425" s="255"/>
      <c r="E1425" s="185"/>
      <c r="F1425" s="185"/>
      <c r="G1425" s="185"/>
      <c r="H1425" s="185"/>
      <c r="I1425" s="176" t="s">
        <v>1925</v>
      </c>
      <c r="J1425" s="223" t="s">
        <v>829</v>
      </c>
      <c r="K1425" s="217">
        <f>K1426*10%</f>
        <v>250</v>
      </c>
      <c r="L1425" s="189"/>
      <c r="M1425" s="190"/>
    </row>
    <row r="1426" spans="1:13" s="141" customFormat="1" ht="23.25" customHeight="1" x14ac:dyDescent="0.2">
      <c r="A1426" s="193"/>
      <c r="B1426" s="194"/>
      <c r="C1426" s="195"/>
      <c r="D1426" s="256"/>
      <c r="E1426" s="196"/>
      <c r="F1426" s="196"/>
      <c r="G1426" s="196"/>
      <c r="H1426" s="196"/>
      <c r="I1426" s="206"/>
      <c r="J1426" s="226"/>
      <c r="K1426" s="227">
        <v>2500</v>
      </c>
      <c r="L1426" s="200"/>
      <c r="M1426" s="201"/>
    </row>
    <row r="1427" spans="1:13" s="141" customFormat="1" ht="25.5" customHeight="1" x14ac:dyDescent="0.2">
      <c r="A1427" s="172">
        <v>346</v>
      </c>
      <c r="B1427" s="173" t="s">
        <v>1926</v>
      </c>
      <c r="C1427" s="174"/>
      <c r="D1427" s="263" t="s">
        <v>107</v>
      </c>
      <c r="E1427" s="175"/>
      <c r="F1427" s="175"/>
      <c r="G1427" s="175"/>
      <c r="H1427" s="175" t="s">
        <v>1011</v>
      </c>
      <c r="I1427" s="176" t="s">
        <v>1927</v>
      </c>
      <c r="J1427" s="177" t="s">
        <v>1027</v>
      </c>
      <c r="K1427" s="216">
        <f>K1432*80%</f>
        <v>5600</v>
      </c>
      <c r="L1427" s="179" t="s">
        <v>111</v>
      </c>
      <c r="M1427" s="180" t="s">
        <v>1928</v>
      </c>
    </row>
    <row r="1428" spans="1:13" s="141" customFormat="1" ht="23.25" customHeight="1" x14ac:dyDescent="0.2">
      <c r="A1428" s="182"/>
      <c r="B1428" s="183"/>
      <c r="C1428" s="184"/>
      <c r="D1428" s="255"/>
      <c r="E1428" s="185"/>
      <c r="F1428" s="185"/>
      <c r="G1428" s="185"/>
      <c r="H1428" s="185"/>
      <c r="I1428" s="186" t="s">
        <v>1929</v>
      </c>
      <c r="J1428" s="223" t="s">
        <v>1027</v>
      </c>
      <c r="K1428" s="217">
        <f>K1432*5%</f>
        <v>350</v>
      </c>
      <c r="L1428" s="189"/>
      <c r="M1428" s="190"/>
    </row>
    <row r="1429" spans="1:13" s="141" customFormat="1" ht="23.25" customHeight="1" x14ac:dyDescent="0.2">
      <c r="A1429" s="182"/>
      <c r="B1429" s="183"/>
      <c r="C1429" s="184"/>
      <c r="D1429" s="255"/>
      <c r="E1429" s="185"/>
      <c r="F1429" s="185"/>
      <c r="G1429" s="185"/>
      <c r="H1429" s="185"/>
      <c r="I1429" s="192" t="s">
        <v>1930</v>
      </c>
      <c r="J1429" s="223" t="s">
        <v>1027</v>
      </c>
      <c r="K1429" s="217">
        <f>K1432*5%</f>
        <v>350</v>
      </c>
      <c r="L1429" s="189"/>
      <c r="M1429" s="190"/>
    </row>
    <row r="1430" spans="1:13" s="141" customFormat="1" ht="23.25" customHeight="1" x14ac:dyDescent="0.2">
      <c r="A1430" s="182"/>
      <c r="B1430" s="183"/>
      <c r="C1430" s="184"/>
      <c r="D1430" s="255"/>
      <c r="E1430" s="185"/>
      <c r="F1430" s="185"/>
      <c r="G1430" s="185"/>
      <c r="H1430" s="185"/>
      <c r="I1430" s="192" t="s">
        <v>1931</v>
      </c>
      <c r="J1430" s="223" t="s">
        <v>983</v>
      </c>
      <c r="K1430" s="213">
        <f>K1432*5%</f>
        <v>350</v>
      </c>
      <c r="L1430" s="189"/>
      <c r="M1430" s="190"/>
    </row>
    <row r="1431" spans="1:13" s="141" customFormat="1" ht="23.25" customHeight="1" x14ac:dyDescent="0.2">
      <c r="A1431" s="182"/>
      <c r="B1431" s="183"/>
      <c r="C1431" s="184"/>
      <c r="D1431" s="255"/>
      <c r="E1431" s="185"/>
      <c r="F1431" s="185"/>
      <c r="G1431" s="185"/>
      <c r="H1431" s="185"/>
      <c r="I1431" s="176" t="s">
        <v>1932</v>
      </c>
      <c r="J1431" s="223" t="s">
        <v>657</v>
      </c>
      <c r="K1431" s="210">
        <f>K1432*5%</f>
        <v>350</v>
      </c>
      <c r="L1431" s="189"/>
      <c r="M1431" s="190"/>
    </row>
    <row r="1432" spans="1:13" s="141" customFormat="1" ht="27" customHeight="1" x14ac:dyDescent="0.2">
      <c r="A1432" s="193"/>
      <c r="B1432" s="194"/>
      <c r="C1432" s="195"/>
      <c r="D1432" s="256"/>
      <c r="E1432" s="196"/>
      <c r="F1432" s="196"/>
      <c r="G1432" s="196"/>
      <c r="H1432" s="196"/>
      <c r="I1432" s="206"/>
      <c r="J1432" s="226"/>
      <c r="K1432" s="227">
        <v>7000</v>
      </c>
      <c r="L1432" s="200"/>
      <c r="M1432" s="201"/>
    </row>
    <row r="1433" spans="1:13" s="141" customFormat="1" ht="22.5" customHeight="1" x14ac:dyDescent="0.2">
      <c r="A1433" s="172">
        <v>347</v>
      </c>
      <c r="B1433" s="173" t="s">
        <v>1933</v>
      </c>
      <c r="C1433" s="174"/>
      <c r="D1433" s="263" t="s">
        <v>107</v>
      </c>
      <c r="E1433" s="175"/>
      <c r="F1433" s="175"/>
      <c r="G1433" s="175"/>
      <c r="H1433" s="175" t="s">
        <v>1391</v>
      </c>
      <c r="I1433" s="176" t="s">
        <v>1934</v>
      </c>
      <c r="J1433" s="177" t="s">
        <v>1027</v>
      </c>
      <c r="K1433" s="216">
        <f>K1439*20%</f>
        <v>1400</v>
      </c>
      <c r="L1433" s="179" t="s">
        <v>111</v>
      </c>
      <c r="M1433" s="180" t="s">
        <v>1935</v>
      </c>
    </row>
    <row r="1434" spans="1:13" s="141" customFormat="1" ht="22.5" customHeight="1" x14ac:dyDescent="0.2">
      <c r="A1434" s="182"/>
      <c r="B1434" s="183"/>
      <c r="C1434" s="184"/>
      <c r="D1434" s="255"/>
      <c r="E1434" s="185"/>
      <c r="F1434" s="185"/>
      <c r="G1434" s="185"/>
      <c r="H1434" s="185"/>
      <c r="I1434" s="186" t="s">
        <v>1936</v>
      </c>
      <c r="J1434" s="223" t="s">
        <v>1027</v>
      </c>
      <c r="K1434" s="217">
        <f>K1439*5%</f>
        <v>350</v>
      </c>
      <c r="L1434" s="189"/>
      <c r="M1434" s="190"/>
    </row>
    <row r="1435" spans="1:13" s="141" customFormat="1" ht="22.5" customHeight="1" x14ac:dyDescent="0.2">
      <c r="A1435" s="182"/>
      <c r="B1435" s="183"/>
      <c r="C1435" s="184"/>
      <c r="D1435" s="255"/>
      <c r="E1435" s="185"/>
      <c r="F1435" s="185"/>
      <c r="G1435" s="185"/>
      <c r="H1435" s="185"/>
      <c r="I1435" s="186" t="s">
        <v>1931</v>
      </c>
      <c r="J1435" s="177" t="s">
        <v>983</v>
      </c>
      <c r="K1435" s="240">
        <f>K1439*5%</f>
        <v>350</v>
      </c>
      <c r="L1435" s="189"/>
      <c r="M1435" s="190"/>
    </row>
    <row r="1436" spans="1:13" s="141" customFormat="1" ht="22.5" customHeight="1" x14ac:dyDescent="0.2">
      <c r="A1436" s="182"/>
      <c r="B1436" s="183"/>
      <c r="C1436" s="184"/>
      <c r="D1436" s="255"/>
      <c r="E1436" s="185"/>
      <c r="F1436" s="185"/>
      <c r="G1436" s="185"/>
      <c r="H1436" s="185"/>
      <c r="I1436" s="186" t="s">
        <v>1937</v>
      </c>
      <c r="J1436" s="223" t="s">
        <v>983</v>
      </c>
      <c r="K1436" s="210">
        <f>K1439*5%</f>
        <v>350</v>
      </c>
      <c r="L1436" s="189"/>
      <c r="M1436" s="190"/>
    </row>
    <row r="1437" spans="1:13" s="141" customFormat="1" ht="22.5" customHeight="1" x14ac:dyDescent="0.2">
      <c r="A1437" s="182"/>
      <c r="B1437" s="183"/>
      <c r="C1437" s="184"/>
      <c r="D1437" s="255"/>
      <c r="E1437" s="185"/>
      <c r="F1437" s="185"/>
      <c r="G1437" s="185"/>
      <c r="H1437" s="185"/>
      <c r="I1437" s="192" t="s">
        <v>1938</v>
      </c>
      <c r="J1437" s="177" t="s">
        <v>1027</v>
      </c>
      <c r="K1437" s="211">
        <f>K1439*60%</f>
        <v>4200</v>
      </c>
      <c r="L1437" s="189"/>
      <c r="M1437" s="190"/>
    </row>
    <row r="1438" spans="1:13" s="141" customFormat="1" ht="22.5" customHeight="1" x14ac:dyDescent="0.2">
      <c r="A1438" s="182"/>
      <c r="B1438" s="183"/>
      <c r="C1438" s="184"/>
      <c r="D1438" s="255"/>
      <c r="E1438" s="185"/>
      <c r="F1438" s="185"/>
      <c r="G1438" s="185"/>
      <c r="H1438" s="185"/>
      <c r="I1438" s="176" t="s">
        <v>1939</v>
      </c>
      <c r="J1438" s="212" t="s">
        <v>657</v>
      </c>
      <c r="K1438" s="213">
        <f>K1439*5%</f>
        <v>350</v>
      </c>
      <c r="L1438" s="189"/>
      <c r="M1438" s="190"/>
    </row>
    <row r="1439" spans="1:13" s="141" customFormat="1" ht="22.5" customHeight="1" x14ac:dyDescent="0.2">
      <c r="A1439" s="193"/>
      <c r="B1439" s="194"/>
      <c r="C1439" s="195"/>
      <c r="D1439" s="256"/>
      <c r="E1439" s="196"/>
      <c r="F1439" s="196"/>
      <c r="G1439" s="196"/>
      <c r="H1439" s="196"/>
      <c r="I1439" s="206"/>
      <c r="J1439" s="214"/>
      <c r="K1439" s="215">
        <v>7000</v>
      </c>
      <c r="L1439" s="200"/>
      <c r="M1439" s="201"/>
    </row>
    <row r="1440" spans="1:13" s="141" customFormat="1" ht="23.25" customHeight="1" x14ac:dyDescent="0.2">
      <c r="A1440" s="172">
        <v>348</v>
      </c>
      <c r="B1440" s="173" t="s">
        <v>1940</v>
      </c>
      <c r="C1440" s="174"/>
      <c r="D1440" s="263" t="s">
        <v>107</v>
      </c>
      <c r="E1440" s="175"/>
      <c r="F1440" s="175"/>
      <c r="G1440" s="175"/>
      <c r="H1440" s="175" t="s">
        <v>108</v>
      </c>
      <c r="I1440" s="228" t="s">
        <v>1941</v>
      </c>
      <c r="J1440" s="177" t="s">
        <v>1027</v>
      </c>
      <c r="K1440" s="216">
        <f>K1444*70%</f>
        <v>6300</v>
      </c>
      <c r="L1440" s="179" t="s">
        <v>111</v>
      </c>
      <c r="M1440" s="180" t="s">
        <v>1942</v>
      </c>
    </row>
    <row r="1441" spans="1:13" s="141" customFormat="1" ht="23.25" customHeight="1" x14ac:dyDescent="0.2">
      <c r="A1441" s="182"/>
      <c r="B1441" s="183"/>
      <c r="C1441" s="184"/>
      <c r="D1441" s="255"/>
      <c r="E1441" s="185"/>
      <c r="F1441" s="185"/>
      <c r="G1441" s="185"/>
      <c r="H1441" s="185"/>
      <c r="I1441" s="192" t="s">
        <v>1943</v>
      </c>
      <c r="J1441" s="223" t="s">
        <v>1027</v>
      </c>
      <c r="K1441" s="213">
        <f>K1444*10%</f>
        <v>900</v>
      </c>
      <c r="L1441" s="189"/>
      <c r="M1441" s="190"/>
    </row>
    <row r="1442" spans="1:13" s="141" customFormat="1" ht="23.25" customHeight="1" x14ac:dyDescent="0.2">
      <c r="A1442" s="182"/>
      <c r="B1442" s="183"/>
      <c r="C1442" s="184"/>
      <c r="D1442" s="255"/>
      <c r="E1442" s="185"/>
      <c r="F1442" s="185"/>
      <c r="G1442" s="185"/>
      <c r="H1442" s="185"/>
      <c r="I1442" s="192" t="s">
        <v>1944</v>
      </c>
      <c r="J1442" s="223" t="s">
        <v>1027</v>
      </c>
      <c r="K1442" s="213">
        <f>K1444*10%</f>
        <v>900</v>
      </c>
      <c r="L1442" s="189"/>
      <c r="M1442" s="190"/>
    </row>
    <row r="1443" spans="1:13" s="141" customFormat="1" ht="23.25" customHeight="1" x14ac:dyDescent="0.2">
      <c r="A1443" s="182"/>
      <c r="B1443" s="183"/>
      <c r="C1443" s="184"/>
      <c r="D1443" s="255"/>
      <c r="E1443" s="185"/>
      <c r="F1443" s="185"/>
      <c r="G1443" s="185"/>
      <c r="H1443" s="185"/>
      <c r="I1443" s="176" t="s">
        <v>1945</v>
      </c>
      <c r="J1443" s="177" t="s">
        <v>657</v>
      </c>
      <c r="K1443" s="210">
        <f>K1444*10%</f>
        <v>900</v>
      </c>
      <c r="L1443" s="189"/>
      <c r="M1443" s="190"/>
    </row>
    <row r="1444" spans="1:13" s="141" customFormat="1" ht="23.25" customHeight="1" x14ac:dyDescent="0.2">
      <c r="A1444" s="193"/>
      <c r="B1444" s="194"/>
      <c r="C1444" s="195"/>
      <c r="D1444" s="256"/>
      <c r="E1444" s="196"/>
      <c r="F1444" s="196"/>
      <c r="G1444" s="196"/>
      <c r="H1444" s="196"/>
      <c r="I1444" s="206"/>
      <c r="J1444" s="214"/>
      <c r="K1444" s="218">
        <v>9000</v>
      </c>
      <c r="L1444" s="200"/>
      <c r="M1444" s="201"/>
    </row>
    <row r="1445" spans="1:13" s="141" customFormat="1" ht="42" customHeight="1" x14ac:dyDescent="0.2">
      <c r="A1445" s="341">
        <v>349</v>
      </c>
      <c r="B1445" s="418" t="s">
        <v>1946</v>
      </c>
      <c r="C1445" s="419"/>
      <c r="D1445" s="321" t="s">
        <v>107</v>
      </c>
      <c r="E1445" s="321"/>
      <c r="F1445" s="321"/>
      <c r="G1445" s="321"/>
      <c r="H1445" s="321"/>
      <c r="I1445" s="289" t="s">
        <v>1819</v>
      </c>
      <c r="J1445" s="290" t="s">
        <v>657</v>
      </c>
      <c r="K1445" s="291">
        <v>60000</v>
      </c>
      <c r="L1445" s="319" t="s">
        <v>111</v>
      </c>
      <c r="M1445" s="272" t="s">
        <v>1947</v>
      </c>
    </row>
    <row r="1446" spans="1:13" s="141" customFormat="1" ht="88.5" customHeight="1" x14ac:dyDescent="0.2">
      <c r="A1446" s="242">
        <v>350</v>
      </c>
      <c r="B1446" s="324" t="s">
        <v>1948</v>
      </c>
      <c r="C1446" s="325"/>
      <c r="D1446" s="321" t="s">
        <v>107</v>
      </c>
      <c r="E1446" s="321"/>
      <c r="F1446" s="321"/>
      <c r="G1446" s="321"/>
      <c r="H1446" s="321"/>
      <c r="I1446" s="289" t="s">
        <v>1949</v>
      </c>
      <c r="J1446" s="290" t="s">
        <v>657</v>
      </c>
      <c r="K1446" s="291">
        <v>30000</v>
      </c>
      <c r="L1446" s="319" t="s">
        <v>111</v>
      </c>
      <c r="M1446" s="272" t="s">
        <v>1950</v>
      </c>
    </row>
    <row r="1447" spans="1:13" s="141" customFormat="1" ht="23.25" customHeight="1" x14ac:dyDescent="0.2">
      <c r="A1447" s="172">
        <v>351</v>
      </c>
      <c r="B1447" s="299" t="s">
        <v>1951</v>
      </c>
      <c r="C1447" s="300"/>
      <c r="D1447" s="175" t="s">
        <v>107</v>
      </c>
      <c r="E1447" s="175"/>
      <c r="F1447" s="175"/>
      <c r="G1447" s="175"/>
      <c r="H1447" s="175"/>
      <c r="I1447" s="283" t="s">
        <v>1952</v>
      </c>
      <c r="J1447" s="284" t="s">
        <v>657</v>
      </c>
      <c r="K1447" s="285">
        <f>60000*50%</f>
        <v>30000</v>
      </c>
      <c r="L1447" s="180" t="s">
        <v>111</v>
      </c>
      <c r="M1447" s="180" t="s">
        <v>1953</v>
      </c>
    </row>
    <row r="1448" spans="1:13" s="141" customFormat="1" ht="23.25" customHeight="1" x14ac:dyDescent="0.2">
      <c r="A1448" s="182"/>
      <c r="B1448" s="294"/>
      <c r="C1448" s="295"/>
      <c r="D1448" s="185"/>
      <c r="E1448" s="185"/>
      <c r="F1448" s="185"/>
      <c r="G1448" s="185"/>
      <c r="H1448" s="185"/>
      <c r="I1448" s="192" t="s">
        <v>917</v>
      </c>
      <c r="J1448" s="279" t="s">
        <v>657</v>
      </c>
      <c r="K1448" s="225">
        <f>60000*30%</f>
        <v>18000</v>
      </c>
      <c r="L1448" s="190"/>
      <c r="M1448" s="190"/>
    </row>
    <row r="1449" spans="1:13" s="141" customFormat="1" ht="23.25" customHeight="1" x14ac:dyDescent="0.2">
      <c r="A1449" s="182"/>
      <c r="B1449" s="294"/>
      <c r="C1449" s="295"/>
      <c r="D1449" s="185"/>
      <c r="E1449" s="185"/>
      <c r="F1449" s="185"/>
      <c r="G1449" s="185"/>
      <c r="H1449" s="185"/>
      <c r="I1449" s="192" t="s">
        <v>1945</v>
      </c>
      <c r="J1449" s="279" t="s">
        <v>657</v>
      </c>
      <c r="K1449" s="225">
        <f>60000*10%</f>
        <v>6000</v>
      </c>
      <c r="L1449" s="190"/>
      <c r="M1449" s="190"/>
    </row>
    <row r="1450" spans="1:13" s="141" customFormat="1" ht="23.25" customHeight="1" x14ac:dyDescent="0.2">
      <c r="A1450" s="182"/>
      <c r="B1450" s="294"/>
      <c r="C1450" s="295"/>
      <c r="D1450" s="185"/>
      <c r="E1450" s="185"/>
      <c r="F1450" s="185"/>
      <c r="G1450" s="185"/>
      <c r="H1450" s="185"/>
      <c r="I1450" s="192" t="s">
        <v>1954</v>
      </c>
      <c r="J1450" s="279" t="s">
        <v>657</v>
      </c>
      <c r="K1450" s="225">
        <f>60000*10%</f>
        <v>6000</v>
      </c>
      <c r="L1450" s="190"/>
      <c r="M1450" s="190"/>
    </row>
    <row r="1451" spans="1:13" s="141" customFormat="1" ht="23.25" customHeight="1" x14ac:dyDescent="0.2">
      <c r="A1451" s="193"/>
      <c r="B1451" s="327"/>
      <c r="C1451" s="328"/>
      <c r="D1451" s="196"/>
      <c r="E1451" s="196"/>
      <c r="F1451" s="196"/>
      <c r="G1451" s="196"/>
      <c r="H1451" s="196"/>
      <c r="I1451" s="186"/>
      <c r="J1451" s="304"/>
      <c r="K1451" s="261">
        <f>SUM(K1447:K1450)</f>
        <v>60000</v>
      </c>
      <c r="L1451" s="201"/>
      <c r="M1451" s="201"/>
    </row>
    <row r="1452" spans="1:13" s="141" customFormat="1" ht="23.25" customHeight="1" x14ac:dyDescent="0.2">
      <c r="A1452" s="172">
        <v>352</v>
      </c>
      <c r="B1452" s="273" t="s">
        <v>1955</v>
      </c>
      <c r="C1452" s="274"/>
      <c r="D1452" s="175" t="s">
        <v>107</v>
      </c>
      <c r="E1452" s="175"/>
      <c r="F1452" s="175"/>
      <c r="G1452" s="175"/>
      <c r="H1452" s="175"/>
      <c r="I1452" s="228" t="s">
        <v>1956</v>
      </c>
      <c r="J1452" s="275" t="s">
        <v>657</v>
      </c>
      <c r="K1452" s="276">
        <f>7000*70%</f>
        <v>4900</v>
      </c>
      <c r="L1452" s="180" t="s">
        <v>111</v>
      </c>
      <c r="M1452" s="180" t="s">
        <v>1957</v>
      </c>
    </row>
    <row r="1453" spans="1:13" s="141" customFormat="1" ht="23.25" customHeight="1" x14ac:dyDescent="0.2">
      <c r="A1453" s="182"/>
      <c r="B1453" s="277"/>
      <c r="C1453" s="278"/>
      <c r="D1453" s="185"/>
      <c r="E1453" s="185"/>
      <c r="F1453" s="185"/>
      <c r="G1453" s="185"/>
      <c r="H1453" s="185"/>
      <c r="I1453" s="192" t="s">
        <v>1958</v>
      </c>
      <c r="J1453" s="279" t="s">
        <v>657</v>
      </c>
      <c r="K1453" s="225">
        <f>7000*10%</f>
        <v>700</v>
      </c>
      <c r="L1453" s="190"/>
      <c r="M1453" s="190"/>
    </row>
    <row r="1454" spans="1:13" s="141" customFormat="1" ht="23.25" customHeight="1" x14ac:dyDescent="0.2">
      <c r="A1454" s="182"/>
      <c r="B1454" s="277"/>
      <c r="C1454" s="278"/>
      <c r="D1454" s="185"/>
      <c r="E1454" s="185"/>
      <c r="F1454" s="185"/>
      <c r="G1454" s="185"/>
      <c r="H1454" s="185"/>
      <c r="I1454" s="192" t="s">
        <v>1959</v>
      </c>
      <c r="J1454" s="279" t="s">
        <v>657</v>
      </c>
      <c r="K1454" s="225">
        <f t="shared" ref="K1454:K1455" si="35">7000*10%</f>
        <v>700</v>
      </c>
      <c r="L1454" s="190"/>
      <c r="M1454" s="190"/>
    </row>
    <row r="1455" spans="1:13" s="141" customFormat="1" ht="23.25" customHeight="1" x14ac:dyDescent="0.2">
      <c r="A1455" s="182"/>
      <c r="B1455" s="277"/>
      <c r="C1455" s="278"/>
      <c r="D1455" s="185"/>
      <c r="E1455" s="185"/>
      <c r="F1455" s="185"/>
      <c r="G1455" s="185"/>
      <c r="H1455" s="185"/>
      <c r="I1455" s="192" t="s">
        <v>1960</v>
      </c>
      <c r="J1455" s="279" t="s">
        <v>657</v>
      </c>
      <c r="K1455" s="225">
        <f t="shared" si="35"/>
        <v>700</v>
      </c>
      <c r="L1455" s="190"/>
      <c r="M1455" s="190"/>
    </row>
    <row r="1456" spans="1:13" s="141" customFormat="1" ht="23.25" customHeight="1" x14ac:dyDescent="0.2">
      <c r="A1456" s="193"/>
      <c r="B1456" s="280"/>
      <c r="C1456" s="281"/>
      <c r="D1456" s="196"/>
      <c r="E1456" s="196"/>
      <c r="F1456" s="196"/>
      <c r="G1456" s="196"/>
      <c r="H1456" s="196"/>
      <c r="I1456" s="206"/>
      <c r="J1456" s="282"/>
      <c r="K1456" s="257">
        <f>SUM(K1452:K1455)</f>
        <v>7000</v>
      </c>
      <c r="L1456" s="201"/>
      <c r="M1456" s="201"/>
    </row>
    <row r="1457" spans="1:13" s="141" customFormat="1" ht="23.25" customHeight="1" x14ac:dyDescent="0.2">
      <c r="A1457" s="172">
        <v>353</v>
      </c>
      <c r="B1457" s="273" t="s">
        <v>1961</v>
      </c>
      <c r="C1457" s="274"/>
      <c r="D1457" s="175" t="s">
        <v>107</v>
      </c>
      <c r="E1457" s="175"/>
      <c r="F1457" s="175"/>
      <c r="G1457" s="175"/>
      <c r="H1457" s="175"/>
      <c r="I1457" s="283" t="s">
        <v>1962</v>
      </c>
      <c r="J1457" s="284" t="s">
        <v>657</v>
      </c>
      <c r="K1457" s="285">
        <f>9000*70%</f>
        <v>6300</v>
      </c>
      <c r="L1457" s="180" t="s">
        <v>111</v>
      </c>
      <c r="M1457" s="180" t="s">
        <v>1963</v>
      </c>
    </row>
    <row r="1458" spans="1:13" s="141" customFormat="1" ht="23.25" customHeight="1" x14ac:dyDescent="0.2">
      <c r="A1458" s="182"/>
      <c r="B1458" s="277"/>
      <c r="C1458" s="278"/>
      <c r="D1458" s="185"/>
      <c r="E1458" s="185"/>
      <c r="F1458" s="185"/>
      <c r="G1458" s="185"/>
      <c r="H1458" s="185"/>
      <c r="I1458" s="192" t="s">
        <v>1964</v>
      </c>
      <c r="J1458" s="279" t="s">
        <v>657</v>
      </c>
      <c r="K1458" s="225">
        <f>9000*10%</f>
        <v>900</v>
      </c>
      <c r="L1458" s="190"/>
      <c r="M1458" s="190"/>
    </row>
    <row r="1459" spans="1:13" s="141" customFormat="1" ht="23.25" customHeight="1" x14ac:dyDescent="0.2">
      <c r="A1459" s="182"/>
      <c r="B1459" s="277"/>
      <c r="C1459" s="278"/>
      <c r="D1459" s="185"/>
      <c r="E1459" s="185"/>
      <c r="F1459" s="185"/>
      <c r="G1459" s="185"/>
      <c r="H1459" s="185"/>
      <c r="I1459" s="192" t="s">
        <v>1958</v>
      </c>
      <c r="J1459" s="279" t="s">
        <v>657</v>
      </c>
      <c r="K1459" s="225">
        <f t="shared" ref="K1459:K1460" si="36">9000*10%</f>
        <v>900</v>
      </c>
      <c r="L1459" s="190"/>
      <c r="M1459" s="190"/>
    </row>
    <row r="1460" spans="1:13" s="141" customFormat="1" ht="23.25" customHeight="1" x14ac:dyDescent="0.2">
      <c r="A1460" s="182"/>
      <c r="B1460" s="277"/>
      <c r="C1460" s="278"/>
      <c r="D1460" s="185"/>
      <c r="E1460" s="185"/>
      <c r="F1460" s="185"/>
      <c r="G1460" s="185"/>
      <c r="H1460" s="185"/>
      <c r="I1460" s="192" t="s">
        <v>1965</v>
      </c>
      <c r="J1460" s="279" t="s">
        <v>657</v>
      </c>
      <c r="K1460" s="225">
        <f t="shared" si="36"/>
        <v>900</v>
      </c>
      <c r="L1460" s="190"/>
      <c r="M1460" s="190"/>
    </row>
    <row r="1461" spans="1:13" s="141" customFormat="1" ht="23.25" customHeight="1" x14ac:dyDescent="0.2">
      <c r="A1461" s="193"/>
      <c r="B1461" s="280"/>
      <c r="C1461" s="281"/>
      <c r="D1461" s="196"/>
      <c r="E1461" s="196"/>
      <c r="F1461" s="196"/>
      <c r="G1461" s="196"/>
      <c r="H1461" s="196"/>
      <c r="I1461" s="186"/>
      <c r="J1461" s="304"/>
      <c r="K1461" s="261">
        <f>SUM(K1457:K1460)</f>
        <v>9000</v>
      </c>
      <c r="L1461" s="201"/>
      <c r="M1461" s="201"/>
    </row>
    <row r="1462" spans="1:13" s="141" customFormat="1" ht="23.25" customHeight="1" x14ac:dyDescent="0.2">
      <c r="A1462" s="172">
        <v>354</v>
      </c>
      <c r="B1462" s="273" t="s">
        <v>1966</v>
      </c>
      <c r="C1462" s="274"/>
      <c r="D1462" s="175" t="s">
        <v>107</v>
      </c>
      <c r="E1462" s="175"/>
      <c r="F1462" s="175"/>
      <c r="G1462" s="175"/>
      <c r="H1462" s="175"/>
      <c r="I1462" s="228" t="s">
        <v>1967</v>
      </c>
      <c r="J1462" s="275" t="s">
        <v>657</v>
      </c>
      <c r="K1462" s="276">
        <f>10000*70%</f>
        <v>7000</v>
      </c>
      <c r="L1462" s="180" t="s">
        <v>111</v>
      </c>
      <c r="M1462" s="180" t="s">
        <v>1968</v>
      </c>
    </row>
    <row r="1463" spans="1:13" s="141" customFormat="1" ht="23.25" customHeight="1" x14ac:dyDescent="0.2">
      <c r="A1463" s="182"/>
      <c r="B1463" s="277"/>
      <c r="C1463" s="278"/>
      <c r="D1463" s="185"/>
      <c r="E1463" s="185"/>
      <c r="F1463" s="185"/>
      <c r="G1463" s="185"/>
      <c r="H1463" s="185"/>
      <c r="I1463" s="192" t="s">
        <v>1965</v>
      </c>
      <c r="J1463" s="279" t="s">
        <v>657</v>
      </c>
      <c r="K1463" s="225">
        <f t="shared" ref="K1463:K1465" si="37">10000*10%</f>
        <v>1000</v>
      </c>
      <c r="L1463" s="190"/>
      <c r="M1463" s="190"/>
    </row>
    <row r="1464" spans="1:13" s="141" customFormat="1" ht="23.25" customHeight="1" x14ac:dyDescent="0.2">
      <c r="A1464" s="182"/>
      <c r="B1464" s="277"/>
      <c r="C1464" s="278"/>
      <c r="D1464" s="185"/>
      <c r="E1464" s="185"/>
      <c r="F1464" s="185"/>
      <c r="G1464" s="185"/>
      <c r="H1464" s="185"/>
      <c r="I1464" s="192" t="s">
        <v>1958</v>
      </c>
      <c r="J1464" s="279" t="s">
        <v>657</v>
      </c>
      <c r="K1464" s="225">
        <f t="shared" si="37"/>
        <v>1000</v>
      </c>
      <c r="L1464" s="190"/>
      <c r="M1464" s="190"/>
    </row>
    <row r="1465" spans="1:13" s="141" customFormat="1" ht="23.25" customHeight="1" x14ac:dyDescent="0.2">
      <c r="A1465" s="182"/>
      <c r="B1465" s="277"/>
      <c r="C1465" s="278"/>
      <c r="D1465" s="185"/>
      <c r="E1465" s="185"/>
      <c r="F1465" s="185"/>
      <c r="G1465" s="185"/>
      <c r="H1465" s="185"/>
      <c r="I1465" s="192" t="s">
        <v>1960</v>
      </c>
      <c r="J1465" s="279" t="s">
        <v>657</v>
      </c>
      <c r="K1465" s="225">
        <f t="shared" si="37"/>
        <v>1000</v>
      </c>
      <c r="L1465" s="190"/>
      <c r="M1465" s="190"/>
    </row>
    <row r="1466" spans="1:13" s="141" customFormat="1" ht="23.25" customHeight="1" x14ac:dyDescent="0.2">
      <c r="A1466" s="193"/>
      <c r="B1466" s="280"/>
      <c r="C1466" s="281"/>
      <c r="D1466" s="196"/>
      <c r="E1466" s="196"/>
      <c r="F1466" s="196"/>
      <c r="G1466" s="196"/>
      <c r="H1466" s="196"/>
      <c r="I1466" s="206"/>
      <c r="J1466" s="282"/>
      <c r="K1466" s="257">
        <f>SUM(K1462:K1465)</f>
        <v>10000</v>
      </c>
      <c r="L1466" s="201"/>
      <c r="M1466" s="201"/>
    </row>
    <row r="1467" spans="1:13" s="141" customFormat="1" ht="23.25" customHeight="1" x14ac:dyDescent="0.2">
      <c r="A1467" s="172">
        <v>355</v>
      </c>
      <c r="B1467" s="299" t="s">
        <v>1969</v>
      </c>
      <c r="C1467" s="300"/>
      <c r="D1467" s="175" t="s">
        <v>107</v>
      </c>
      <c r="E1467" s="175"/>
      <c r="F1467" s="175"/>
      <c r="G1467" s="175"/>
      <c r="H1467" s="175"/>
      <c r="I1467" s="283" t="s">
        <v>1970</v>
      </c>
      <c r="J1467" s="284" t="s">
        <v>657</v>
      </c>
      <c r="K1467" s="285">
        <f>18000*50%</f>
        <v>9000</v>
      </c>
      <c r="L1467" s="180" t="s">
        <v>111</v>
      </c>
      <c r="M1467" s="180" t="s">
        <v>1971</v>
      </c>
    </row>
    <row r="1468" spans="1:13" s="141" customFormat="1" ht="23.25" customHeight="1" x14ac:dyDescent="0.2">
      <c r="A1468" s="182"/>
      <c r="B1468" s="294"/>
      <c r="C1468" s="295"/>
      <c r="D1468" s="185"/>
      <c r="E1468" s="185"/>
      <c r="F1468" s="185"/>
      <c r="G1468" s="185"/>
      <c r="H1468" s="185"/>
      <c r="I1468" s="192" t="s">
        <v>1972</v>
      </c>
      <c r="J1468" s="279" t="s">
        <v>657</v>
      </c>
      <c r="K1468" s="225">
        <f>18000*10%</f>
        <v>1800</v>
      </c>
      <c r="L1468" s="190"/>
      <c r="M1468" s="190"/>
    </row>
    <row r="1469" spans="1:13" s="141" customFormat="1" ht="23.25" customHeight="1" x14ac:dyDescent="0.2">
      <c r="A1469" s="182"/>
      <c r="B1469" s="294"/>
      <c r="C1469" s="295"/>
      <c r="D1469" s="185"/>
      <c r="E1469" s="185"/>
      <c r="F1469" s="185"/>
      <c r="G1469" s="185"/>
      <c r="H1469" s="185"/>
      <c r="I1469" s="192" t="s">
        <v>1973</v>
      </c>
      <c r="J1469" s="279" t="s">
        <v>657</v>
      </c>
      <c r="K1469" s="225">
        <f t="shared" ref="K1469:K1472" si="38">18000*10%</f>
        <v>1800</v>
      </c>
      <c r="L1469" s="190"/>
      <c r="M1469" s="190"/>
    </row>
    <row r="1470" spans="1:13" s="141" customFormat="1" ht="23.25" customHeight="1" x14ac:dyDescent="0.2">
      <c r="A1470" s="182"/>
      <c r="B1470" s="294"/>
      <c r="C1470" s="295"/>
      <c r="D1470" s="185"/>
      <c r="E1470" s="185"/>
      <c r="F1470" s="185"/>
      <c r="G1470" s="185"/>
      <c r="H1470" s="185"/>
      <c r="I1470" s="192" t="s">
        <v>1882</v>
      </c>
      <c r="J1470" s="279" t="s">
        <v>657</v>
      </c>
      <c r="K1470" s="225">
        <f t="shared" si="38"/>
        <v>1800</v>
      </c>
      <c r="L1470" s="190"/>
      <c r="M1470" s="190"/>
    </row>
    <row r="1471" spans="1:13" s="141" customFormat="1" ht="23.25" customHeight="1" x14ac:dyDescent="0.2">
      <c r="A1471" s="182"/>
      <c r="B1471" s="294"/>
      <c r="C1471" s="295"/>
      <c r="D1471" s="185"/>
      <c r="E1471" s="185"/>
      <c r="F1471" s="185"/>
      <c r="G1471" s="185"/>
      <c r="H1471" s="185"/>
      <c r="I1471" s="192" t="s">
        <v>1974</v>
      </c>
      <c r="J1471" s="279" t="s">
        <v>657</v>
      </c>
      <c r="K1471" s="225">
        <f t="shared" si="38"/>
        <v>1800</v>
      </c>
      <c r="L1471" s="190"/>
      <c r="M1471" s="190"/>
    </row>
    <row r="1472" spans="1:13" s="141" customFormat="1" ht="23.25" customHeight="1" x14ac:dyDescent="0.2">
      <c r="A1472" s="182"/>
      <c r="B1472" s="294"/>
      <c r="C1472" s="295"/>
      <c r="D1472" s="185"/>
      <c r="E1472" s="185"/>
      <c r="F1472" s="185"/>
      <c r="G1472" s="185"/>
      <c r="H1472" s="185"/>
      <c r="I1472" s="192" t="s">
        <v>1975</v>
      </c>
      <c r="J1472" s="279" t="s">
        <v>657</v>
      </c>
      <c r="K1472" s="225">
        <f t="shared" si="38"/>
        <v>1800</v>
      </c>
      <c r="L1472" s="190"/>
      <c r="M1472" s="190"/>
    </row>
    <row r="1473" spans="1:14" s="141" customFormat="1" ht="23.25" customHeight="1" x14ac:dyDescent="0.2">
      <c r="A1473" s="193"/>
      <c r="B1473" s="327"/>
      <c r="C1473" s="328"/>
      <c r="D1473" s="196"/>
      <c r="E1473" s="196"/>
      <c r="F1473" s="196"/>
      <c r="G1473" s="196"/>
      <c r="H1473" s="196"/>
      <c r="I1473" s="186"/>
      <c r="J1473" s="304"/>
      <c r="K1473" s="261">
        <f>SUM(K1467:K1472)</f>
        <v>18000</v>
      </c>
      <c r="L1473" s="201"/>
      <c r="M1473" s="201"/>
    </row>
    <row r="1474" spans="1:14" s="141" customFormat="1" ht="23.25" customHeight="1" x14ac:dyDescent="0.2">
      <c r="A1474" s="172">
        <v>356</v>
      </c>
      <c r="B1474" s="273" t="s">
        <v>1976</v>
      </c>
      <c r="C1474" s="274"/>
      <c r="D1474" s="175" t="s">
        <v>107</v>
      </c>
      <c r="E1474" s="175"/>
      <c r="F1474" s="175"/>
      <c r="G1474" s="175"/>
      <c r="H1474" s="175"/>
      <c r="I1474" s="228" t="s">
        <v>1977</v>
      </c>
      <c r="J1474" s="275" t="s">
        <v>657</v>
      </c>
      <c r="K1474" s="276">
        <f>2500*50%</f>
        <v>1250</v>
      </c>
      <c r="L1474" s="180" t="s">
        <v>111</v>
      </c>
      <c r="M1474" s="180" t="s">
        <v>1978</v>
      </c>
    </row>
    <row r="1475" spans="1:14" s="141" customFormat="1" ht="23.25" customHeight="1" x14ac:dyDescent="0.2">
      <c r="A1475" s="182"/>
      <c r="B1475" s="277"/>
      <c r="C1475" s="278"/>
      <c r="D1475" s="185"/>
      <c r="E1475" s="185"/>
      <c r="F1475" s="185"/>
      <c r="G1475" s="185"/>
      <c r="H1475" s="185"/>
      <c r="I1475" s="192" t="s">
        <v>1958</v>
      </c>
      <c r="J1475" s="279" t="s">
        <v>657</v>
      </c>
      <c r="K1475" s="225">
        <f>2500*10%</f>
        <v>250</v>
      </c>
      <c r="L1475" s="190"/>
      <c r="M1475" s="190"/>
    </row>
    <row r="1476" spans="1:14" s="141" customFormat="1" ht="23.25" customHeight="1" x14ac:dyDescent="0.2">
      <c r="A1476" s="182"/>
      <c r="B1476" s="277"/>
      <c r="C1476" s="278"/>
      <c r="D1476" s="185"/>
      <c r="E1476" s="185"/>
      <c r="F1476" s="185"/>
      <c r="G1476" s="185"/>
      <c r="H1476" s="185"/>
      <c r="I1476" s="192" t="s">
        <v>1959</v>
      </c>
      <c r="J1476" s="279" t="s">
        <v>657</v>
      </c>
      <c r="K1476" s="225">
        <f t="shared" ref="K1476:K1479" si="39">2500*10%</f>
        <v>250</v>
      </c>
      <c r="L1476" s="190"/>
      <c r="M1476" s="190"/>
    </row>
    <row r="1477" spans="1:14" s="141" customFormat="1" ht="23.25" customHeight="1" x14ac:dyDescent="0.2">
      <c r="A1477" s="182"/>
      <c r="B1477" s="277"/>
      <c r="C1477" s="278"/>
      <c r="D1477" s="185"/>
      <c r="E1477" s="185"/>
      <c r="F1477" s="185"/>
      <c r="G1477" s="185"/>
      <c r="H1477" s="185"/>
      <c r="I1477" s="192" t="s">
        <v>1960</v>
      </c>
      <c r="J1477" s="279" t="s">
        <v>657</v>
      </c>
      <c r="K1477" s="225">
        <f t="shared" si="39"/>
        <v>250</v>
      </c>
      <c r="L1477" s="190"/>
      <c r="M1477" s="190"/>
    </row>
    <row r="1478" spans="1:14" s="141" customFormat="1" ht="23.25" customHeight="1" x14ac:dyDescent="0.2">
      <c r="A1478" s="182"/>
      <c r="B1478" s="277"/>
      <c r="C1478" s="278"/>
      <c r="D1478" s="185"/>
      <c r="E1478" s="185"/>
      <c r="F1478" s="185"/>
      <c r="G1478" s="185"/>
      <c r="H1478" s="185"/>
      <c r="I1478" s="192" t="s">
        <v>1979</v>
      </c>
      <c r="J1478" s="279" t="s">
        <v>657</v>
      </c>
      <c r="K1478" s="225">
        <f t="shared" si="39"/>
        <v>250</v>
      </c>
      <c r="L1478" s="190"/>
      <c r="M1478" s="190"/>
    </row>
    <row r="1479" spans="1:14" s="141" customFormat="1" ht="23.25" customHeight="1" x14ac:dyDescent="0.2">
      <c r="A1479" s="182"/>
      <c r="B1479" s="277"/>
      <c r="C1479" s="278"/>
      <c r="D1479" s="185"/>
      <c r="E1479" s="185"/>
      <c r="F1479" s="185"/>
      <c r="G1479" s="185"/>
      <c r="H1479" s="185"/>
      <c r="I1479" s="192" t="s">
        <v>1980</v>
      </c>
      <c r="J1479" s="279" t="s">
        <v>657</v>
      </c>
      <c r="K1479" s="225">
        <f t="shared" si="39"/>
        <v>250</v>
      </c>
      <c r="L1479" s="190"/>
      <c r="M1479" s="190"/>
    </row>
    <row r="1480" spans="1:14" s="141" customFormat="1" ht="23.25" customHeight="1" x14ac:dyDescent="0.2">
      <c r="A1480" s="193"/>
      <c r="B1480" s="280"/>
      <c r="C1480" s="281"/>
      <c r="D1480" s="196"/>
      <c r="E1480" s="196"/>
      <c r="F1480" s="196"/>
      <c r="G1480" s="196"/>
      <c r="H1480" s="196"/>
      <c r="I1480" s="206"/>
      <c r="J1480" s="282"/>
      <c r="K1480" s="257">
        <f>SUM(K1474:K1479)</f>
        <v>2500</v>
      </c>
      <c r="L1480" s="201"/>
      <c r="M1480" s="201"/>
    </row>
    <row r="1481" spans="1:14" s="141" customFormat="1" ht="24" customHeight="1" x14ac:dyDescent="0.2">
      <c r="A1481" s="172">
        <v>357</v>
      </c>
      <c r="B1481" s="173" t="s">
        <v>1981</v>
      </c>
      <c r="C1481" s="174"/>
      <c r="D1481" s="175" t="s">
        <v>107</v>
      </c>
      <c r="E1481" s="175"/>
      <c r="F1481" s="175"/>
      <c r="G1481" s="175"/>
      <c r="H1481" s="175"/>
      <c r="I1481" s="283" t="s">
        <v>1982</v>
      </c>
      <c r="J1481" s="259" t="s">
        <v>1036</v>
      </c>
      <c r="K1481" s="209">
        <f>3500*50%</f>
        <v>1750</v>
      </c>
      <c r="L1481" s="179" t="s">
        <v>111</v>
      </c>
      <c r="M1481" s="180" t="s">
        <v>1983</v>
      </c>
      <c r="N1481" s="181"/>
    </row>
    <row r="1482" spans="1:14" s="141" customFormat="1" x14ac:dyDescent="0.2">
      <c r="A1482" s="182"/>
      <c r="B1482" s="183"/>
      <c r="C1482" s="184"/>
      <c r="D1482" s="185"/>
      <c r="E1482" s="185"/>
      <c r="F1482" s="185"/>
      <c r="G1482" s="185"/>
      <c r="H1482" s="185"/>
      <c r="I1482" s="192" t="s">
        <v>1984</v>
      </c>
      <c r="J1482" s="187" t="s">
        <v>1048</v>
      </c>
      <c r="K1482" s="213">
        <f>3500*10%</f>
        <v>350</v>
      </c>
      <c r="L1482" s="189"/>
      <c r="M1482" s="190"/>
    </row>
    <row r="1483" spans="1:14" s="141" customFormat="1" x14ac:dyDescent="0.2">
      <c r="A1483" s="182"/>
      <c r="B1483" s="183"/>
      <c r="C1483" s="184"/>
      <c r="D1483" s="185"/>
      <c r="E1483" s="185"/>
      <c r="F1483" s="185"/>
      <c r="G1483" s="185"/>
      <c r="H1483" s="185"/>
      <c r="I1483" s="192" t="s">
        <v>1985</v>
      </c>
      <c r="J1483" s="187" t="s">
        <v>1048</v>
      </c>
      <c r="K1483" s="213">
        <f>3500*10%</f>
        <v>350</v>
      </c>
      <c r="L1483" s="189"/>
      <c r="M1483" s="190"/>
      <c r="N1483" s="181"/>
    </row>
    <row r="1484" spans="1:14" s="141" customFormat="1" x14ac:dyDescent="0.2">
      <c r="A1484" s="182"/>
      <c r="B1484" s="183"/>
      <c r="C1484" s="184"/>
      <c r="D1484" s="185"/>
      <c r="E1484" s="185"/>
      <c r="F1484" s="185"/>
      <c r="G1484" s="185"/>
      <c r="H1484" s="185"/>
      <c r="I1484" s="192" t="s">
        <v>1986</v>
      </c>
      <c r="J1484" s="187" t="s">
        <v>1048</v>
      </c>
      <c r="K1484" s="213">
        <f>3500*10%</f>
        <v>350</v>
      </c>
      <c r="L1484" s="189"/>
      <c r="M1484" s="190"/>
    </row>
    <row r="1485" spans="1:14" s="141" customFormat="1" x14ac:dyDescent="0.2">
      <c r="A1485" s="182"/>
      <c r="B1485" s="183"/>
      <c r="C1485" s="184"/>
      <c r="D1485" s="185"/>
      <c r="E1485" s="185"/>
      <c r="F1485" s="185"/>
      <c r="G1485" s="185"/>
      <c r="H1485" s="185"/>
      <c r="I1485" s="192" t="s">
        <v>1987</v>
      </c>
      <c r="J1485" s="187" t="s">
        <v>1048</v>
      </c>
      <c r="K1485" s="213">
        <f>3500*10%</f>
        <v>350</v>
      </c>
      <c r="L1485" s="189"/>
      <c r="M1485" s="190"/>
    </row>
    <row r="1486" spans="1:14" s="141" customFormat="1" x14ac:dyDescent="0.2">
      <c r="A1486" s="182"/>
      <c r="B1486" s="183"/>
      <c r="C1486" s="184"/>
      <c r="D1486" s="185"/>
      <c r="E1486" s="185"/>
      <c r="F1486" s="185"/>
      <c r="G1486" s="185"/>
      <c r="H1486" s="185"/>
      <c r="I1486" s="192" t="s">
        <v>1988</v>
      </c>
      <c r="J1486" s="187" t="s">
        <v>1048</v>
      </c>
      <c r="K1486" s="213">
        <f>3500*10%</f>
        <v>350</v>
      </c>
      <c r="L1486" s="189"/>
      <c r="M1486" s="190"/>
    </row>
    <row r="1487" spans="1:14" s="141" customFormat="1" x14ac:dyDescent="0.2">
      <c r="A1487" s="193"/>
      <c r="B1487" s="194"/>
      <c r="C1487" s="195"/>
      <c r="D1487" s="196"/>
      <c r="E1487" s="196"/>
      <c r="F1487" s="196"/>
      <c r="G1487" s="196"/>
      <c r="H1487" s="196"/>
      <c r="I1487" s="206"/>
      <c r="J1487" s="198"/>
      <c r="K1487" s="218">
        <f>SUM(K1481:K1486)</f>
        <v>3500</v>
      </c>
      <c r="L1487" s="200"/>
      <c r="M1487" s="201"/>
    </row>
    <row r="1488" spans="1:14" s="141" customFormat="1" ht="24" customHeight="1" x14ac:dyDescent="0.2">
      <c r="A1488" s="172">
        <v>358</v>
      </c>
      <c r="B1488" s="173" t="s">
        <v>1989</v>
      </c>
      <c r="C1488" s="174"/>
      <c r="D1488" s="175" t="s">
        <v>107</v>
      </c>
      <c r="E1488" s="175"/>
      <c r="F1488" s="175"/>
      <c r="G1488" s="175"/>
      <c r="H1488" s="175"/>
      <c r="I1488" s="283" t="s">
        <v>1990</v>
      </c>
      <c r="J1488" s="259" t="s">
        <v>1036</v>
      </c>
      <c r="K1488" s="209">
        <f>3500*70%</f>
        <v>2450</v>
      </c>
      <c r="L1488" s="179" t="s">
        <v>111</v>
      </c>
      <c r="M1488" s="180" t="s">
        <v>1991</v>
      </c>
    </row>
    <row r="1489" spans="1:13" s="141" customFormat="1" x14ac:dyDescent="0.2">
      <c r="A1489" s="182"/>
      <c r="B1489" s="183"/>
      <c r="C1489" s="184"/>
      <c r="D1489" s="185"/>
      <c r="E1489" s="185"/>
      <c r="F1489" s="185"/>
      <c r="G1489" s="185"/>
      <c r="H1489" s="185"/>
      <c r="I1489" s="192" t="s">
        <v>1987</v>
      </c>
      <c r="J1489" s="187" t="s">
        <v>1048</v>
      </c>
      <c r="K1489" s="213">
        <f>3500*10%</f>
        <v>350</v>
      </c>
      <c r="L1489" s="189"/>
      <c r="M1489" s="190"/>
    </row>
    <row r="1490" spans="1:13" s="141" customFormat="1" x14ac:dyDescent="0.2">
      <c r="A1490" s="182"/>
      <c r="B1490" s="183"/>
      <c r="C1490" s="184"/>
      <c r="D1490" s="185"/>
      <c r="E1490" s="185"/>
      <c r="F1490" s="185"/>
      <c r="G1490" s="185"/>
      <c r="H1490" s="185"/>
      <c r="I1490" s="192" t="s">
        <v>1992</v>
      </c>
      <c r="J1490" s="187" t="s">
        <v>1048</v>
      </c>
      <c r="K1490" s="213">
        <f>3500*10%</f>
        <v>350</v>
      </c>
      <c r="L1490" s="189"/>
      <c r="M1490" s="190"/>
    </row>
    <row r="1491" spans="1:13" s="141" customFormat="1" x14ac:dyDescent="0.2">
      <c r="A1491" s="182"/>
      <c r="B1491" s="183"/>
      <c r="C1491" s="184"/>
      <c r="D1491" s="185"/>
      <c r="E1491" s="185"/>
      <c r="F1491" s="185"/>
      <c r="G1491" s="185"/>
      <c r="H1491" s="185"/>
      <c r="I1491" s="192" t="s">
        <v>1993</v>
      </c>
      <c r="J1491" s="187" t="s">
        <v>1048</v>
      </c>
      <c r="K1491" s="213">
        <f>3500*10%</f>
        <v>350</v>
      </c>
      <c r="L1491" s="189"/>
      <c r="M1491" s="190"/>
    </row>
    <row r="1492" spans="1:13" s="141" customFormat="1" x14ac:dyDescent="0.2">
      <c r="A1492" s="193"/>
      <c r="B1492" s="194"/>
      <c r="C1492" s="195"/>
      <c r="D1492" s="196"/>
      <c r="E1492" s="196"/>
      <c r="F1492" s="196"/>
      <c r="G1492" s="196"/>
      <c r="H1492" s="196"/>
      <c r="I1492" s="206"/>
      <c r="J1492" s="198"/>
      <c r="K1492" s="218">
        <f>SUM(K1488:K1491)</f>
        <v>3500</v>
      </c>
      <c r="L1492" s="200"/>
      <c r="M1492" s="201"/>
    </row>
    <row r="1493" spans="1:13" s="141" customFormat="1" ht="24.75" customHeight="1" x14ac:dyDescent="0.2">
      <c r="A1493" s="172">
        <v>359</v>
      </c>
      <c r="B1493" s="173" t="s">
        <v>1994</v>
      </c>
      <c r="C1493" s="174"/>
      <c r="D1493" s="175" t="s">
        <v>107</v>
      </c>
      <c r="E1493" s="175"/>
      <c r="F1493" s="175"/>
      <c r="G1493" s="175"/>
      <c r="H1493" s="175"/>
      <c r="I1493" s="283" t="s">
        <v>1995</v>
      </c>
      <c r="J1493" s="259" t="s">
        <v>1036</v>
      </c>
      <c r="K1493" s="209">
        <f>4000*45%</f>
        <v>1800</v>
      </c>
      <c r="L1493" s="179" t="s">
        <v>111</v>
      </c>
      <c r="M1493" s="180" t="s">
        <v>1996</v>
      </c>
    </row>
    <row r="1494" spans="1:13" s="141" customFormat="1" x14ac:dyDescent="0.2">
      <c r="A1494" s="182"/>
      <c r="B1494" s="183"/>
      <c r="C1494" s="184"/>
      <c r="D1494" s="185"/>
      <c r="E1494" s="185"/>
      <c r="F1494" s="185"/>
      <c r="G1494" s="185"/>
      <c r="H1494" s="185"/>
      <c r="I1494" s="192" t="s">
        <v>1997</v>
      </c>
      <c r="J1494" s="187" t="s">
        <v>1048</v>
      </c>
      <c r="K1494" s="213">
        <f>4000*15%</f>
        <v>600</v>
      </c>
      <c r="L1494" s="189"/>
      <c r="M1494" s="190"/>
    </row>
    <row r="1495" spans="1:13" s="141" customFormat="1" x14ac:dyDescent="0.2">
      <c r="A1495" s="182"/>
      <c r="B1495" s="183"/>
      <c r="C1495" s="184"/>
      <c r="D1495" s="185"/>
      <c r="E1495" s="185"/>
      <c r="F1495" s="185"/>
      <c r="G1495" s="185"/>
      <c r="H1495" s="185"/>
      <c r="I1495" s="192" t="s">
        <v>1998</v>
      </c>
      <c r="J1495" s="187" t="s">
        <v>1048</v>
      </c>
      <c r="K1495" s="213">
        <f>4000*10%</f>
        <v>400</v>
      </c>
      <c r="L1495" s="189"/>
      <c r="M1495" s="190"/>
    </row>
    <row r="1496" spans="1:13" s="141" customFormat="1" x14ac:dyDescent="0.2">
      <c r="A1496" s="182"/>
      <c r="B1496" s="183"/>
      <c r="C1496" s="184"/>
      <c r="D1496" s="185"/>
      <c r="E1496" s="185"/>
      <c r="F1496" s="185"/>
      <c r="G1496" s="185"/>
      <c r="H1496" s="185"/>
      <c r="I1496" s="192" t="s">
        <v>1999</v>
      </c>
      <c r="J1496" s="187" t="s">
        <v>1048</v>
      </c>
      <c r="K1496" s="213">
        <f>4000*10%</f>
        <v>400</v>
      </c>
      <c r="L1496" s="189"/>
      <c r="M1496" s="190"/>
    </row>
    <row r="1497" spans="1:13" s="141" customFormat="1" x14ac:dyDescent="0.2">
      <c r="A1497" s="182"/>
      <c r="B1497" s="183"/>
      <c r="C1497" s="184"/>
      <c r="D1497" s="185"/>
      <c r="E1497" s="185"/>
      <c r="F1497" s="185"/>
      <c r="G1497" s="185"/>
      <c r="H1497" s="185"/>
      <c r="I1497" s="192" t="s">
        <v>2000</v>
      </c>
      <c r="J1497" s="187" t="s">
        <v>1048</v>
      </c>
      <c r="K1497" s="213">
        <f>4000*10%</f>
        <v>400</v>
      </c>
      <c r="L1497" s="189"/>
      <c r="M1497" s="190"/>
    </row>
    <row r="1498" spans="1:13" s="141" customFormat="1" x14ac:dyDescent="0.2">
      <c r="A1498" s="182"/>
      <c r="B1498" s="183"/>
      <c r="C1498" s="184"/>
      <c r="D1498" s="185"/>
      <c r="E1498" s="185"/>
      <c r="F1498" s="185"/>
      <c r="G1498" s="185"/>
      <c r="H1498" s="185"/>
      <c r="I1498" s="192" t="s">
        <v>2001</v>
      </c>
      <c r="J1498" s="187" t="s">
        <v>1048</v>
      </c>
      <c r="K1498" s="213">
        <f>4000*5%</f>
        <v>200</v>
      </c>
      <c r="L1498" s="189"/>
      <c r="M1498" s="190"/>
    </row>
    <row r="1499" spans="1:13" s="141" customFormat="1" x14ac:dyDescent="0.2">
      <c r="A1499" s="182"/>
      <c r="B1499" s="183"/>
      <c r="C1499" s="184"/>
      <c r="D1499" s="185"/>
      <c r="E1499" s="185"/>
      <c r="F1499" s="185"/>
      <c r="G1499" s="185"/>
      <c r="H1499" s="185"/>
      <c r="I1499" s="192" t="s">
        <v>2002</v>
      </c>
      <c r="J1499" s="187" t="s">
        <v>1048</v>
      </c>
      <c r="K1499" s="213">
        <f>4000*5%</f>
        <v>200</v>
      </c>
      <c r="L1499" s="189"/>
      <c r="M1499" s="190"/>
    </row>
    <row r="1500" spans="1:13" s="141" customFormat="1" x14ac:dyDescent="0.2">
      <c r="A1500" s="193"/>
      <c r="B1500" s="194"/>
      <c r="C1500" s="195"/>
      <c r="D1500" s="196"/>
      <c r="E1500" s="196"/>
      <c r="F1500" s="196"/>
      <c r="G1500" s="196"/>
      <c r="H1500" s="196"/>
      <c r="I1500" s="206"/>
      <c r="J1500" s="198"/>
      <c r="K1500" s="218">
        <f>SUM(K1493:K1499)</f>
        <v>4000</v>
      </c>
      <c r="L1500" s="200"/>
      <c r="M1500" s="201"/>
    </row>
    <row r="1501" spans="1:13" s="141" customFormat="1" ht="23.25" customHeight="1" x14ac:dyDescent="0.2">
      <c r="A1501" s="172">
        <v>360</v>
      </c>
      <c r="B1501" s="173" t="s">
        <v>2003</v>
      </c>
      <c r="C1501" s="174"/>
      <c r="D1501" s="175" t="s">
        <v>107</v>
      </c>
      <c r="E1501" s="175"/>
      <c r="F1501" s="175"/>
      <c r="G1501" s="175"/>
      <c r="H1501" s="175" t="s">
        <v>137</v>
      </c>
      <c r="I1501" s="283" t="s">
        <v>2004</v>
      </c>
      <c r="J1501" s="259" t="s">
        <v>1036</v>
      </c>
      <c r="K1501" s="209">
        <f>3500*20%</f>
        <v>700</v>
      </c>
      <c r="L1501" s="179" t="s">
        <v>111</v>
      </c>
      <c r="M1501" s="180" t="s">
        <v>2005</v>
      </c>
    </row>
    <row r="1502" spans="1:13" s="141" customFormat="1" x14ac:dyDescent="0.2">
      <c r="A1502" s="182"/>
      <c r="B1502" s="183"/>
      <c r="C1502" s="184"/>
      <c r="D1502" s="185"/>
      <c r="E1502" s="185"/>
      <c r="F1502" s="185"/>
      <c r="G1502" s="185"/>
      <c r="H1502" s="185"/>
      <c r="I1502" s="192" t="s">
        <v>2006</v>
      </c>
      <c r="J1502" s="187" t="s">
        <v>1048</v>
      </c>
      <c r="K1502" s="213">
        <f>3500*20%</f>
        <v>700</v>
      </c>
      <c r="L1502" s="189"/>
      <c r="M1502" s="190"/>
    </row>
    <row r="1503" spans="1:13" s="141" customFormat="1" x14ac:dyDescent="0.2">
      <c r="A1503" s="182"/>
      <c r="B1503" s="183"/>
      <c r="C1503" s="184"/>
      <c r="D1503" s="185"/>
      <c r="E1503" s="185"/>
      <c r="F1503" s="185"/>
      <c r="G1503" s="185"/>
      <c r="H1503" s="185"/>
      <c r="I1503" s="192" t="s">
        <v>2007</v>
      </c>
      <c r="J1503" s="187" t="s">
        <v>1048</v>
      </c>
      <c r="K1503" s="213">
        <f>3500*60%</f>
        <v>2100</v>
      </c>
      <c r="L1503" s="189"/>
      <c r="M1503" s="190"/>
    </row>
    <row r="1504" spans="1:13" s="141" customFormat="1" x14ac:dyDescent="0.2">
      <c r="A1504" s="193"/>
      <c r="B1504" s="194"/>
      <c r="C1504" s="195"/>
      <c r="D1504" s="196"/>
      <c r="E1504" s="196"/>
      <c r="F1504" s="196"/>
      <c r="G1504" s="196"/>
      <c r="H1504" s="196"/>
      <c r="I1504" s="206"/>
      <c r="J1504" s="198"/>
      <c r="K1504" s="218">
        <f>SUM(K1501:K1503)</f>
        <v>3500</v>
      </c>
      <c r="L1504" s="200"/>
      <c r="M1504" s="201"/>
    </row>
    <row r="1505" spans="1:13" s="141" customFormat="1" ht="22.5" customHeight="1" x14ac:dyDescent="0.2">
      <c r="A1505" s="172">
        <v>361</v>
      </c>
      <c r="B1505" s="173" t="s">
        <v>2008</v>
      </c>
      <c r="C1505" s="174"/>
      <c r="D1505" s="175" t="s">
        <v>107</v>
      </c>
      <c r="E1505" s="175"/>
      <c r="F1505" s="175"/>
      <c r="G1505" s="175"/>
      <c r="H1505" s="175" t="s">
        <v>164</v>
      </c>
      <c r="I1505" s="283" t="s">
        <v>2009</v>
      </c>
      <c r="J1505" s="259" t="s">
        <v>1036</v>
      </c>
      <c r="K1505" s="209">
        <f>4100*80%</f>
        <v>3280</v>
      </c>
      <c r="L1505" s="179" t="s">
        <v>111</v>
      </c>
      <c r="M1505" s="180" t="s">
        <v>2010</v>
      </c>
    </row>
    <row r="1506" spans="1:13" s="141" customFormat="1" x14ac:dyDescent="0.2">
      <c r="A1506" s="182"/>
      <c r="B1506" s="183"/>
      <c r="C1506" s="184"/>
      <c r="D1506" s="185"/>
      <c r="E1506" s="185"/>
      <c r="F1506" s="185"/>
      <c r="G1506" s="185"/>
      <c r="H1506" s="185"/>
      <c r="I1506" s="192" t="s">
        <v>2011</v>
      </c>
      <c r="J1506" s="187" t="s">
        <v>1048</v>
      </c>
      <c r="K1506" s="213">
        <f>4100*20%</f>
        <v>820</v>
      </c>
      <c r="L1506" s="189"/>
      <c r="M1506" s="190"/>
    </row>
    <row r="1507" spans="1:13" s="141" customFormat="1" x14ac:dyDescent="0.2">
      <c r="A1507" s="193"/>
      <c r="B1507" s="194"/>
      <c r="C1507" s="195"/>
      <c r="D1507" s="196"/>
      <c r="E1507" s="196"/>
      <c r="F1507" s="196"/>
      <c r="G1507" s="196"/>
      <c r="H1507" s="196"/>
      <c r="I1507" s="206"/>
      <c r="J1507" s="198"/>
      <c r="K1507" s="218">
        <f>SUM(K1505:K1506)</f>
        <v>4100</v>
      </c>
      <c r="L1507" s="200"/>
      <c r="M1507" s="201"/>
    </row>
    <row r="1508" spans="1:13" s="141" customFormat="1" ht="21" customHeight="1" x14ac:dyDescent="0.2">
      <c r="A1508" s="172">
        <v>362</v>
      </c>
      <c r="B1508" s="173" t="s">
        <v>2012</v>
      </c>
      <c r="C1508" s="174"/>
      <c r="D1508" s="175" t="s">
        <v>107</v>
      </c>
      <c r="E1508" s="175"/>
      <c r="F1508" s="175"/>
      <c r="G1508" s="175"/>
      <c r="H1508" s="175" t="s">
        <v>108</v>
      </c>
      <c r="I1508" s="283" t="s">
        <v>2013</v>
      </c>
      <c r="J1508" s="259" t="s">
        <v>1036</v>
      </c>
      <c r="K1508" s="209">
        <f>4000*10%</f>
        <v>400</v>
      </c>
      <c r="L1508" s="179" t="s">
        <v>111</v>
      </c>
      <c r="M1508" s="180" t="s">
        <v>2014</v>
      </c>
    </row>
    <row r="1509" spans="1:13" s="141" customFormat="1" x14ac:dyDescent="0.2">
      <c r="A1509" s="182"/>
      <c r="B1509" s="183"/>
      <c r="C1509" s="184"/>
      <c r="D1509" s="185"/>
      <c r="E1509" s="185"/>
      <c r="F1509" s="185"/>
      <c r="G1509" s="185"/>
      <c r="H1509" s="185"/>
      <c r="I1509" s="192" t="s">
        <v>2015</v>
      </c>
      <c r="J1509" s="187" t="s">
        <v>1048</v>
      </c>
      <c r="K1509" s="213">
        <f>4000*70%</f>
        <v>2800</v>
      </c>
      <c r="L1509" s="189"/>
      <c r="M1509" s="190"/>
    </row>
    <row r="1510" spans="1:13" s="141" customFormat="1" x14ac:dyDescent="0.2">
      <c r="A1510" s="182"/>
      <c r="B1510" s="183"/>
      <c r="C1510" s="184"/>
      <c r="D1510" s="185"/>
      <c r="E1510" s="185"/>
      <c r="F1510" s="185"/>
      <c r="G1510" s="185"/>
      <c r="H1510" s="185"/>
      <c r="I1510" s="192" t="s">
        <v>1987</v>
      </c>
      <c r="J1510" s="187" t="s">
        <v>1048</v>
      </c>
      <c r="K1510" s="213">
        <f>4000*10%</f>
        <v>400</v>
      </c>
      <c r="L1510" s="189"/>
      <c r="M1510" s="190"/>
    </row>
    <row r="1511" spans="1:13" s="141" customFormat="1" x14ac:dyDescent="0.2">
      <c r="A1511" s="182"/>
      <c r="B1511" s="183"/>
      <c r="C1511" s="184"/>
      <c r="D1511" s="185"/>
      <c r="E1511" s="185"/>
      <c r="F1511" s="185"/>
      <c r="G1511" s="185"/>
      <c r="H1511" s="185"/>
      <c r="I1511" s="192" t="s">
        <v>1988</v>
      </c>
      <c r="J1511" s="187" t="s">
        <v>1048</v>
      </c>
      <c r="K1511" s="213">
        <f>4000*10%</f>
        <v>400</v>
      </c>
      <c r="L1511" s="189"/>
      <c r="M1511" s="190"/>
    </row>
    <row r="1512" spans="1:13" s="141" customFormat="1" x14ac:dyDescent="0.2">
      <c r="A1512" s="193"/>
      <c r="B1512" s="194"/>
      <c r="C1512" s="195"/>
      <c r="D1512" s="196"/>
      <c r="E1512" s="196"/>
      <c r="F1512" s="196"/>
      <c r="G1512" s="196"/>
      <c r="H1512" s="196"/>
      <c r="I1512" s="206"/>
      <c r="J1512" s="198"/>
      <c r="K1512" s="218">
        <f>SUM(K1508:K1511)</f>
        <v>4000</v>
      </c>
      <c r="L1512" s="200"/>
      <c r="M1512" s="201"/>
    </row>
    <row r="1513" spans="1:13" s="141" customFormat="1" ht="20.25" customHeight="1" x14ac:dyDescent="0.2">
      <c r="A1513" s="172">
        <v>363</v>
      </c>
      <c r="B1513" s="173" t="s">
        <v>2016</v>
      </c>
      <c r="C1513" s="174"/>
      <c r="D1513" s="175" t="s">
        <v>107</v>
      </c>
      <c r="E1513" s="175"/>
      <c r="F1513" s="175"/>
      <c r="G1513" s="175"/>
      <c r="H1513" s="175"/>
      <c r="I1513" s="283" t="s">
        <v>2017</v>
      </c>
      <c r="J1513" s="259" t="s">
        <v>1036</v>
      </c>
      <c r="K1513" s="209">
        <f>4000*85%</f>
        <v>3400</v>
      </c>
      <c r="L1513" s="179" t="s">
        <v>111</v>
      </c>
      <c r="M1513" s="180" t="s">
        <v>2018</v>
      </c>
    </row>
    <row r="1514" spans="1:13" s="141" customFormat="1" ht="20.25" customHeight="1" x14ac:dyDescent="0.2">
      <c r="A1514" s="182"/>
      <c r="B1514" s="183"/>
      <c r="C1514" s="184"/>
      <c r="D1514" s="185"/>
      <c r="E1514" s="185"/>
      <c r="F1514" s="185"/>
      <c r="G1514" s="185"/>
      <c r="H1514" s="185"/>
      <c r="I1514" s="192" t="s">
        <v>2019</v>
      </c>
      <c r="J1514" s="187" t="s">
        <v>1048</v>
      </c>
      <c r="K1514" s="213">
        <f>4000*5%</f>
        <v>200</v>
      </c>
      <c r="L1514" s="189"/>
      <c r="M1514" s="190"/>
    </row>
    <row r="1515" spans="1:13" s="141" customFormat="1" ht="20.25" customHeight="1" x14ac:dyDescent="0.2">
      <c r="A1515" s="182"/>
      <c r="B1515" s="183"/>
      <c r="C1515" s="184"/>
      <c r="D1515" s="185"/>
      <c r="E1515" s="185"/>
      <c r="F1515" s="185"/>
      <c r="G1515" s="185"/>
      <c r="H1515" s="185"/>
      <c r="I1515" s="192" t="s">
        <v>2020</v>
      </c>
      <c r="J1515" s="187" t="s">
        <v>1048</v>
      </c>
      <c r="K1515" s="213">
        <f>4000*5%</f>
        <v>200</v>
      </c>
      <c r="L1515" s="189"/>
      <c r="M1515" s="190"/>
    </row>
    <row r="1516" spans="1:13" s="141" customFormat="1" ht="20.25" customHeight="1" x14ac:dyDescent="0.2">
      <c r="A1516" s="182"/>
      <c r="B1516" s="183"/>
      <c r="C1516" s="184"/>
      <c r="D1516" s="185"/>
      <c r="E1516" s="185"/>
      <c r="F1516" s="185"/>
      <c r="G1516" s="185"/>
      <c r="H1516" s="185"/>
      <c r="I1516" s="192" t="s">
        <v>2021</v>
      </c>
      <c r="J1516" s="187" t="s">
        <v>2022</v>
      </c>
      <c r="K1516" s="213">
        <f>4000*5%</f>
        <v>200</v>
      </c>
      <c r="L1516" s="189"/>
      <c r="M1516" s="190"/>
    </row>
    <row r="1517" spans="1:13" s="141" customFormat="1" ht="20.25" customHeight="1" x14ac:dyDescent="0.2">
      <c r="A1517" s="193"/>
      <c r="B1517" s="194"/>
      <c r="C1517" s="195"/>
      <c r="D1517" s="196"/>
      <c r="E1517" s="196"/>
      <c r="F1517" s="196"/>
      <c r="G1517" s="196"/>
      <c r="H1517" s="196"/>
      <c r="I1517" s="206"/>
      <c r="J1517" s="198"/>
      <c r="K1517" s="218">
        <f>SUM(K1513:K1516)</f>
        <v>4000</v>
      </c>
      <c r="L1517" s="200"/>
      <c r="M1517" s="201"/>
    </row>
    <row r="1518" spans="1:13" s="141" customFormat="1" ht="20.25" customHeight="1" x14ac:dyDescent="0.2">
      <c r="A1518" s="172">
        <v>364</v>
      </c>
      <c r="B1518" s="173" t="s">
        <v>2023</v>
      </c>
      <c r="C1518" s="174"/>
      <c r="D1518" s="175" t="s">
        <v>107</v>
      </c>
      <c r="E1518" s="175"/>
      <c r="F1518" s="175"/>
      <c r="G1518" s="175"/>
      <c r="H1518" s="175"/>
      <c r="I1518" s="283" t="s">
        <v>2024</v>
      </c>
      <c r="J1518" s="259" t="s">
        <v>1036</v>
      </c>
      <c r="K1518" s="209">
        <f>3700*60%</f>
        <v>2220</v>
      </c>
      <c r="L1518" s="179" t="s">
        <v>111</v>
      </c>
      <c r="M1518" s="180" t="s">
        <v>2025</v>
      </c>
    </row>
    <row r="1519" spans="1:13" s="141" customFormat="1" x14ac:dyDescent="0.2">
      <c r="A1519" s="182"/>
      <c r="B1519" s="183"/>
      <c r="C1519" s="184"/>
      <c r="D1519" s="185"/>
      <c r="E1519" s="185"/>
      <c r="F1519" s="185"/>
      <c r="G1519" s="185"/>
      <c r="H1519" s="185"/>
      <c r="I1519" s="192" t="s">
        <v>2026</v>
      </c>
      <c r="J1519" s="187" t="s">
        <v>1048</v>
      </c>
      <c r="K1519" s="213">
        <f>3700*10%</f>
        <v>370</v>
      </c>
      <c r="L1519" s="189"/>
      <c r="M1519" s="190"/>
    </row>
    <row r="1520" spans="1:13" s="141" customFormat="1" x14ac:dyDescent="0.2">
      <c r="A1520" s="182"/>
      <c r="B1520" s="183"/>
      <c r="C1520" s="184"/>
      <c r="D1520" s="185"/>
      <c r="E1520" s="185"/>
      <c r="F1520" s="185"/>
      <c r="G1520" s="185"/>
      <c r="H1520" s="185"/>
      <c r="I1520" s="192" t="s">
        <v>2027</v>
      </c>
      <c r="J1520" s="187" t="s">
        <v>1048</v>
      </c>
      <c r="K1520" s="213">
        <f>3700*10%</f>
        <v>370</v>
      </c>
      <c r="L1520" s="189"/>
      <c r="M1520" s="190"/>
    </row>
    <row r="1521" spans="1:13" s="141" customFormat="1" x14ac:dyDescent="0.2">
      <c r="A1521" s="182"/>
      <c r="B1521" s="183"/>
      <c r="C1521" s="184"/>
      <c r="D1521" s="185"/>
      <c r="E1521" s="185"/>
      <c r="F1521" s="185"/>
      <c r="G1521" s="185"/>
      <c r="H1521" s="185"/>
      <c r="I1521" s="192" t="s">
        <v>1988</v>
      </c>
      <c r="J1521" s="187" t="s">
        <v>1048</v>
      </c>
      <c r="K1521" s="213">
        <f>3700*10%</f>
        <v>370</v>
      </c>
      <c r="L1521" s="189"/>
      <c r="M1521" s="190"/>
    </row>
    <row r="1522" spans="1:13" s="141" customFormat="1" x14ac:dyDescent="0.2">
      <c r="A1522" s="182"/>
      <c r="B1522" s="183"/>
      <c r="C1522" s="184"/>
      <c r="D1522" s="185"/>
      <c r="E1522" s="185"/>
      <c r="F1522" s="185"/>
      <c r="G1522" s="185"/>
      <c r="H1522" s="185"/>
      <c r="I1522" s="192" t="s">
        <v>2028</v>
      </c>
      <c r="J1522" s="187" t="s">
        <v>1048</v>
      </c>
      <c r="K1522" s="213">
        <f>3700*10%</f>
        <v>370</v>
      </c>
      <c r="L1522" s="189"/>
      <c r="M1522" s="190"/>
    </row>
    <row r="1523" spans="1:13" s="141" customFormat="1" x14ac:dyDescent="0.2">
      <c r="A1523" s="193"/>
      <c r="B1523" s="194"/>
      <c r="C1523" s="195"/>
      <c r="D1523" s="196"/>
      <c r="E1523" s="196"/>
      <c r="F1523" s="196"/>
      <c r="G1523" s="196"/>
      <c r="H1523" s="196"/>
      <c r="I1523" s="206"/>
      <c r="J1523" s="198"/>
      <c r="K1523" s="218">
        <f>SUM(K1518:K1522)</f>
        <v>3700</v>
      </c>
      <c r="L1523" s="200"/>
      <c r="M1523" s="201"/>
    </row>
    <row r="1524" spans="1:13" s="141" customFormat="1" ht="25.5" customHeight="1" x14ac:dyDescent="0.2">
      <c r="A1524" s="172">
        <v>365</v>
      </c>
      <c r="B1524" s="173" t="s">
        <v>2029</v>
      </c>
      <c r="C1524" s="174"/>
      <c r="D1524" s="175" t="s">
        <v>107</v>
      </c>
      <c r="E1524" s="175"/>
      <c r="F1524" s="175"/>
      <c r="G1524" s="175"/>
      <c r="H1524" s="175"/>
      <c r="I1524" s="283" t="s">
        <v>2030</v>
      </c>
      <c r="J1524" s="259" t="s">
        <v>1036</v>
      </c>
      <c r="K1524" s="209">
        <f>3500*75%</f>
        <v>2625</v>
      </c>
      <c r="L1524" s="179" t="s">
        <v>111</v>
      </c>
      <c r="M1524" s="180" t="s">
        <v>2031</v>
      </c>
    </row>
    <row r="1525" spans="1:13" s="141" customFormat="1" x14ac:dyDescent="0.2">
      <c r="A1525" s="182"/>
      <c r="B1525" s="183"/>
      <c r="C1525" s="184"/>
      <c r="D1525" s="185"/>
      <c r="E1525" s="185"/>
      <c r="F1525" s="185"/>
      <c r="G1525" s="185"/>
      <c r="H1525" s="185"/>
      <c r="I1525" s="192" t="s">
        <v>2032</v>
      </c>
      <c r="J1525" s="187" t="s">
        <v>1048</v>
      </c>
      <c r="K1525" s="213">
        <f>3500*5%</f>
        <v>175</v>
      </c>
      <c r="L1525" s="189"/>
      <c r="M1525" s="190"/>
    </row>
    <row r="1526" spans="1:13" s="141" customFormat="1" x14ac:dyDescent="0.2">
      <c r="A1526" s="182"/>
      <c r="B1526" s="183"/>
      <c r="C1526" s="184"/>
      <c r="D1526" s="185"/>
      <c r="E1526" s="185"/>
      <c r="F1526" s="185"/>
      <c r="G1526" s="185"/>
      <c r="H1526" s="185"/>
      <c r="I1526" s="192" t="s">
        <v>2033</v>
      </c>
      <c r="J1526" s="187" t="s">
        <v>1048</v>
      </c>
      <c r="K1526" s="213">
        <f>3500*5%</f>
        <v>175</v>
      </c>
      <c r="L1526" s="189"/>
      <c r="M1526" s="190"/>
    </row>
    <row r="1527" spans="1:13" s="141" customFormat="1" x14ac:dyDescent="0.2">
      <c r="A1527" s="182"/>
      <c r="B1527" s="183"/>
      <c r="C1527" s="184"/>
      <c r="D1527" s="185"/>
      <c r="E1527" s="185"/>
      <c r="F1527" s="185"/>
      <c r="G1527" s="185"/>
      <c r="H1527" s="185"/>
      <c r="I1527" s="192" t="s">
        <v>2034</v>
      </c>
      <c r="J1527" s="187" t="s">
        <v>1048</v>
      </c>
      <c r="K1527" s="213">
        <f>3500*5%</f>
        <v>175</v>
      </c>
      <c r="L1527" s="189"/>
      <c r="M1527" s="190"/>
    </row>
    <row r="1528" spans="1:13" s="141" customFormat="1" x14ac:dyDescent="0.2">
      <c r="A1528" s="182"/>
      <c r="B1528" s="183"/>
      <c r="C1528" s="184"/>
      <c r="D1528" s="185"/>
      <c r="E1528" s="185"/>
      <c r="F1528" s="185"/>
      <c r="G1528" s="185"/>
      <c r="H1528" s="185"/>
      <c r="I1528" s="192" t="s">
        <v>2035</v>
      </c>
      <c r="J1528" s="187" t="s">
        <v>1048</v>
      </c>
      <c r="K1528" s="213">
        <f>3500*5%</f>
        <v>175</v>
      </c>
      <c r="L1528" s="189"/>
      <c r="M1528" s="190"/>
    </row>
    <row r="1529" spans="1:13" s="141" customFormat="1" x14ac:dyDescent="0.2">
      <c r="A1529" s="182"/>
      <c r="B1529" s="183"/>
      <c r="C1529" s="184"/>
      <c r="D1529" s="185"/>
      <c r="E1529" s="185"/>
      <c r="F1529" s="185"/>
      <c r="G1529" s="185"/>
      <c r="H1529" s="185"/>
      <c r="I1529" s="192" t="s">
        <v>2036</v>
      </c>
      <c r="J1529" s="187" t="s">
        <v>1048</v>
      </c>
      <c r="K1529" s="213">
        <f>3500*5%</f>
        <v>175</v>
      </c>
      <c r="L1529" s="189"/>
      <c r="M1529" s="190"/>
    </row>
    <row r="1530" spans="1:13" s="141" customFormat="1" x14ac:dyDescent="0.2">
      <c r="A1530" s="193"/>
      <c r="B1530" s="194"/>
      <c r="C1530" s="195"/>
      <c r="D1530" s="196"/>
      <c r="E1530" s="196"/>
      <c r="F1530" s="196"/>
      <c r="G1530" s="196"/>
      <c r="H1530" s="196"/>
      <c r="I1530" s="206"/>
      <c r="J1530" s="198"/>
      <c r="K1530" s="218">
        <f>SUM(K1524:K1529)</f>
        <v>3500</v>
      </c>
      <c r="L1530" s="200"/>
      <c r="M1530" s="201"/>
    </row>
    <row r="1531" spans="1:13" s="141" customFormat="1" ht="22.5" customHeight="1" x14ac:dyDescent="0.2">
      <c r="A1531" s="172">
        <v>366</v>
      </c>
      <c r="B1531" s="173" t="s">
        <v>2037</v>
      </c>
      <c r="C1531" s="174"/>
      <c r="D1531" s="175" t="s">
        <v>107</v>
      </c>
      <c r="E1531" s="175"/>
      <c r="F1531" s="175"/>
      <c r="G1531" s="175"/>
      <c r="H1531" s="175" t="s">
        <v>108</v>
      </c>
      <c r="I1531" s="283" t="s">
        <v>2038</v>
      </c>
      <c r="J1531" s="259" t="s">
        <v>1036</v>
      </c>
      <c r="K1531" s="209">
        <f>3500*70%</f>
        <v>2450</v>
      </c>
      <c r="L1531" s="179" t="s">
        <v>111</v>
      </c>
      <c r="M1531" s="180" t="s">
        <v>2039</v>
      </c>
    </row>
    <row r="1532" spans="1:13" s="141" customFormat="1" x14ac:dyDescent="0.2">
      <c r="A1532" s="182"/>
      <c r="B1532" s="183"/>
      <c r="C1532" s="184"/>
      <c r="D1532" s="185"/>
      <c r="E1532" s="185"/>
      <c r="F1532" s="185"/>
      <c r="G1532" s="185"/>
      <c r="H1532" s="185"/>
      <c r="I1532" s="192" t="s">
        <v>2040</v>
      </c>
      <c r="J1532" s="187" t="s">
        <v>1048</v>
      </c>
      <c r="K1532" s="213">
        <f>3500*20%</f>
        <v>700</v>
      </c>
      <c r="L1532" s="189"/>
      <c r="M1532" s="190"/>
    </row>
    <row r="1533" spans="1:13" s="141" customFormat="1" x14ac:dyDescent="0.2">
      <c r="A1533" s="182"/>
      <c r="B1533" s="183"/>
      <c r="C1533" s="184"/>
      <c r="D1533" s="185"/>
      <c r="E1533" s="185"/>
      <c r="F1533" s="185"/>
      <c r="G1533" s="185"/>
      <c r="H1533" s="185"/>
      <c r="I1533" s="192" t="s">
        <v>2041</v>
      </c>
      <c r="J1533" s="187" t="s">
        <v>1048</v>
      </c>
      <c r="K1533" s="213">
        <f>3500*10%</f>
        <v>350</v>
      </c>
      <c r="L1533" s="189"/>
      <c r="M1533" s="190"/>
    </row>
    <row r="1534" spans="1:13" s="141" customFormat="1" x14ac:dyDescent="0.2">
      <c r="A1534" s="193"/>
      <c r="B1534" s="194"/>
      <c r="C1534" s="195"/>
      <c r="D1534" s="196"/>
      <c r="E1534" s="196"/>
      <c r="F1534" s="196"/>
      <c r="G1534" s="196"/>
      <c r="H1534" s="196"/>
      <c r="I1534" s="206"/>
      <c r="J1534" s="198"/>
      <c r="K1534" s="218">
        <f>SUM(K1531:K1533)</f>
        <v>3500</v>
      </c>
      <c r="L1534" s="200"/>
      <c r="M1534" s="201"/>
    </row>
    <row r="1535" spans="1:13" s="141" customFormat="1" ht="23.25" customHeight="1" x14ac:dyDescent="0.2">
      <c r="A1535" s="172">
        <v>367</v>
      </c>
      <c r="B1535" s="173" t="s">
        <v>2042</v>
      </c>
      <c r="C1535" s="174"/>
      <c r="D1535" s="175" t="s">
        <v>107</v>
      </c>
      <c r="E1535" s="175"/>
      <c r="F1535" s="175"/>
      <c r="G1535" s="175"/>
      <c r="H1535" s="175"/>
      <c r="I1535" s="283" t="s">
        <v>2043</v>
      </c>
      <c r="J1535" s="259" t="s">
        <v>1036</v>
      </c>
      <c r="K1535" s="209">
        <f>3500*50%</f>
        <v>1750</v>
      </c>
      <c r="L1535" s="179" t="s">
        <v>111</v>
      </c>
      <c r="M1535" s="180" t="s">
        <v>2044</v>
      </c>
    </row>
    <row r="1536" spans="1:13" s="141" customFormat="1" x14ac:dyDescent="0.2">
      <c r="A1536" s="182"/>
      <c r="B1536" s="183"/>
      <c r="C1536" s="184"/>
      <c r="D1536" s="185"/>
      <c r="E1536" s="185"/>
      <c r="F1536" s="185"/>
      <c r="G1536" s="185"/>
      <c r="H1536" s="185"/>
      <c r="I1536" s="192" t="s">
        <v>2045</v>
      </c>
      <c r="J1536" s="187" t="s">
        <v>1048</v>
      </c>
      <c r="K1536" s="213">
        <f>3500*10%</f>
        <v>350</v>
      </c>
      <c r="L1536" s="189"/>
      <c r="M1536" s="190"/>
    </row>
    <row r="1537" spans="1:13" s="141" customFormat="1" x14ac:dyDescent="0.2">
      <c r="A1537" s="182"/>
      <c r="B1537" s="183"/>
      <c r="C1537" s="184"/>
      <c r="D1537" s="185"/>
      <c r="E1537" s="185"/>
      <c r="F1537" s="185"/>
      <c r="G1537" s="185"/>
      <c r="H1537" s="185"/>
      <c r="I1537" s="192" t="s">
        <v>2046</v>
      </c>
      <c r="J1537" s="187" t="s">
        <v>1048</v>
      </c>
      <c r="K1537" s="213">
        <f>3500*10%</f>
        <v>350</v>
      </c>
      <c r="L1537" s="189"/>
      <c r="M1537" s="190"/>
    </row>
    <row r="1538" spans="1:13" s="141" customFormat="1" x14ac:dyDescent="0.2">
      <c r="A1538" s="182"/>
      <c r="B1538" s="183"/>
      <c r="C1538" s="184"/>
      <c r="D1538" s="185"/>
      <c r="E1538" s="185"/>
      <c r="F1538" s="185"/>
      <c r="G1538" s="185"/>
      <c r="H1538" s="185"/>
      <c r="I1538" s="192" t="s">
        <v>2047</v>
      </c>
      <c r="J1538" s="187" t="s">
        <v>1048</v>
      </c>
      <c r="K1538" s="213">
        <f>3500*10%</f>
        <v>350</v>
      </c>
      <c r="L1538" s="189"/>
      <c r="M1538" s="190"/>
    </row>
    <row r="1539" spans="1:13" s="141" customFormat="1" x14ac:dyDescent="0.2">
      <c r="A1539" s="182"/>
      <c r="B1539" s="183"/>
      <c r="C1539" s="184"/>
      <c r="D1539" s="185"/>
      <c r="E1539" s="185"/>
      <c r="F1539" s="185"/>
      <c r="G1539" s="185"/>
      <c r="H1539" s="185"/>
      <c r="I1539" s="192" t="s">
        <v>2027</v>
      </c>
      <c r="J1539" s="187" t="s">
        <v>1048</v>
      </c>
      <c r="K1539" s="213">
        <f>3500*10%</f>
        <v>350</v>
      </c>
      <c r="L1539" s="189"/>
      <c r="M1539" s="190"/>
    </row>
    <row r="1540" spans="1:13" s="141" customFormat="1" x14ac:dyDescent="0.2">
      <c r="A1540" s="182"/>
      <c r="B1540" s="183"/>
      <c r="C1540" s="184"/>
      <c r="D1540" s="185"/>
      <c r="E1540" s="185"/>
      <c r="F1540" s="185"/>
      <c r="G1540" s="185"/>
      <c r="H1540" s="185"/>
      <c r="I1540" s="192" t="s">
        <v>2048</v>
      </c>
      <c r="J1540" s="187" t="s">
        <v>1048</v>
      </c>
      <c r="K1540" s="213">
        <f>3500*10%</f>
        <v>350</v>
      </c>
      <c r="L1540" s="189"/>
      <c r="M1540" s="190"/>
    </row>
    <row r="1541" spans="1:13" s="141" customFormat="1" x14ac:dyDescent="0.2">
      <c r="A1541" s="193"/>
      <c r="B1541" s="194"/>
      <c r="C1541" s="195"/>
      <c r="D1541" s="196"/>
      <c r="E1541" s="196"/>
      <c r="F1541" s="196"/>
      <c r="G1541" s="196"/>
      <c r="H1541" s="196"/>
      <c r="I1541" s="206"/>
      <c r="J1541" s="198"/>
      <c r="K1541" s="218">
        <f>SUM(K1535:K1540)</f>
        <v>3500</v>
      </c>
      <c r="L1541" s="200"/>
      <c r="M1541" s="201"/>
    </row>
    <row r="1542" spans="1:13" s="141" customFormat="1" ht="25.5" customHeight="1" x14ac:dyDescent="0.2">
      <c r="A1542" s="172">
        <v>368</v>
      </c>
      <c r="B1542" s="173" t="s">
        <v>2049</v>
      </c>
      <c r="C1542" s="174"/>
      <c r="D1542" s="175" t="s">
        <v>107</v>
      </c>
      <c r="E1542" s="175"/>
      <c r="F1542" s="175"/>
      <c r="G1542" s="175"/>
      <c r="H1542" s="175" t="s">
        <v>137</v>
      </c>
      <c r="I1542" s="283" t="s">
        <v>2050</v>
      </c>
      <c r="J1542" s="259" t="s">
        <v>1036</v>
      </c>
      <c r="K1542" s="222">
        <f>4000*80%</f>
        <v>3200</v>
      </c>
      <c r="L1542" s="179" t="s">
        <v>111</v>
      </c>
      <c r="M1542" s="180" t="s">
        <v>2051</v>
      </c>
    </row>
    <row r="1543" spans="1:13" s="141" customFormat="1" x14ac:dyDescent="0.2">
      <c r="A1543" s="182"/>
      <c r="B1543" s="183"/>
      <c r="C1543" s="184"/>
      <c r="D1543" s="185"/>
      <c r="E1543" s="185"/>
      <c r="F1543" s="185"/>
      <c r="G1543" s="185"/>
      <c r="H1543" s="185"/>
      <c r="I1543" s="192" t="s">
        <v>2052</v>
      </c>
      <c r="J1543" s="187" t="s">
        <v>1048</v>
      </c>
      <c r="K1543" s="240">
        <f>4000*10%</f>
        <v>400</v>
      </c>
      <c r="L1543" s="189"/>
      <c r="M1543" s="190"/>
    </row>
    <row r="1544" spans="1:13" s="141" customFormat="1" x14ac:dyDescent="0.2">
      <c r="A1544" s="182"/>
      <c r="B1544" s="183"/>
      <c r="C1544" s="184"/>
      <c r="D1544" s="185"/>
      <c r="E1544" s="185"/>
      <c r="F1544" s="185"/>
      <c r="G1544" s="185"/>
      <c r="H1544" s="185"/>
      <c r="I1544" s="192" t="s">
        <v>2053</v>
      </c>
      <c r="J1544" s="187" t="s">
        <v>1048</v>
      </c>
      <c r="K1544" s="240">
        <f>4000*10%</f>
        <v>400</v>
      </c>
      <c r="L1544" s="189"/>
      <c r="M1544" s="190"/>
    </row>
    <row r="1545" spans="1:13" s="141" customFormat="1" x14ac:dyDescent="0.2">
      <c r="A1545" s="193"/>
      <c r="B1545" s="194"/>
      <c r="C1545" s="195"/>
      <c r="D1545" s="196"/>
      <c r="E1545" s="196"/>
      <c r="F1545" s="196"/>
      <c r="G1545" s="196"/>
      <c r="H1545" s="196"/>
      <c r="I1545" s="206"/>
      <c r="J1545" s="198"/>
      <c r="K1545" s="227">
        <f>SUM(K1542:K1544)</f>
        <v>4000</v>
      </c>
      <c r="L1545" s="200"/>
      <c r="M1545" s="201"/>
    </row>
    <row r="1546" spans="1:13" s="141" customFormat="1" ht="23.25" customHeight="1" x14ac:dyDescent="0.2">
      <c r="A1546" s="172">
        <v>369</v>
      </c>
      <c r="B1546" s="173" t="s">
        <v>2054</v>
      </c>
      <c r="C1546" s="174"/>
      <c r="D1546" s="175" t="s">
        <v>107</v>
      </c>
      <c r="E1546" s="175"/>
      <c r="F1546" s="175"/>
      <c r="G1546" s="175"/>
      <c r="H1546" s="175"/>
      <c r="I1546" s="283" t="s">
        <v>2055</v>
      </c>
      <c r="J1546" s="259" t="s">
        <v>1036</v>
      </c>
      <c r="K1546" s="209">
        <f>3500*70%</f>
        <v>2450</v>
      </c>
      <c r="L1546" s="179" t="s">
        <v>111</v>
      </c>
      <c r="M1546" s="180" t="s">
        <v>2056</v>
      </c>
    </row>
    <row r="1547" spans="1:13" s="141" customFormat="1" x14ac:dyDescent="0.2">
      <c r="A1547" s="182"/>
      <c r="B1547" s="183"/>
      <c r="C1547" s="184"/>
      <c r="D1547" s="185"/>
      <c r="E1547" s="185"/>
      <c r="F1547" s="185"/>
      <c r="G1547" s="185"/>
      <c r="H1547" s="185"/>
      <c r="I1547" s="192" t="s">
        <v>2057</v>
      </c>
      <c r="J1547" s="187" t="s">
        <v>1048</v>
      </c>
      <c r="K1547" s="213">
        <f>3500*30%</f>
        <v>1050</v>
      </c>
      <c r="L1547" s="189"/>
      <c r="M1547" s="190"/>
    </row>
    <row r="1548" spans="1:13" s="141" customFormat="1" x14ac:dyDescent="0.2">
      <c r="A1548" s="193"/>
      <c r="B1548" s="194"/>
      <c r="C1548" s="195"/>
      <c r="D1548" s="196"/>
      <c r="E1548" s="196"/>
      <c r="F1548" s="196"/>
      <c r="G1548" s="196"/>
      <c r="H1548" s="196"/>
      <c r="I1548" s="206"/>
      <c r="J1548" s="198"/>
      <c r="K1548" s="218">
        <f>SUM(K1546:K1547)</f>
        <v>3500</v>
      </c>
      <c r="L1548" s="200"/>
      <c r="M1548" s="201"/>
    </row>
    <row r="1549" spans="1:13" s="141" customFormat="1" ht="23.25" customHeight="1" x14ac:dyDescent="0.2">
      <c r="A1549" s="172">
        <v>370</v>
      </c>
      <c r="B1549" s="173" t="s">
        <v>2058</v>
      </c>
      <c r="C1549" s="174"/>
      <c r="D1549" s="175" t="s">
        <v>107</v>
      </c>
      <c r="E1549" s="175"/>
      <c r="F1549" s="175"/>
      <c r="G1549" s="175"/>
      <c r="H1549" s="175"/>
      <c r="I1549" s="283" t="s">
        <v>2059</v>
      </c>
      <c r="J1549" s="259" t="s">
        <v>1036</v>
      </c>
      <c r="K1549" s="209">
        <f>3500*100%</f>
        <v>3500</v>
      </c>
      <c r="L1549" s="179" t="s">
        <v>111</v>
      </c>
      <c r="M1549" s="180" t="s">
        <v>2060</v>
      </c>
    </row>
    <row r="1550" spans="1:13" s="141" customFormat="1" x14ac:dyDescent="0.2">
      <c r="A1550" s="193"/>
      <c r="B1550" s="194"/>
      <c r="C1550" s="195"/>
      <c r="D1550" s="196"/>
      <c r="E1550" s="196"/>
      <c r="F1550" s="196"/>
      <c r="G1550" s="196"/>
      <c r="H1550" s="196"/>
      <c r="I1550" s="206"/>
      <c r="J1550" s="198"/>
      <c r="K1550" s="218">
        <f>SUM(K1549:K1549)</f>
        <v>3500</v>
      </c>
      <c r="L1550" s="200"/>
      <c r="M1550" s="201"/>
    </row>
    <row r="1551" spans="1:13" s="141" customFormat="1" ht="24.75" customHeight="1" x14ac:dyDescent="0.2">
      <c r="A1551" s="172">
        <v>371</v>
      </c>
      <c r="B1551" s="173" t="s">
        <v>2061</v>
      </c>
      <c r="C1551" s="174"/>
      <c r="D1551" s="175" t="s">
        <v>107</v>
      </c>
      <c r="E1551" s="175"/>
      <c r="F1551" s="175"/>
      <c r="G1551" s="175"/>
      <c r="H1551" s="175"/>
      <c r="I1551" s="283" t="s">
        <v>2062</v>
      </c>
      <c r="J1551" s="259" t="s">
        <v>1036</v>
      </c>
      <c r="K1551" s="209">
        <f>3500*50%</f>
        <v>1750</v>
      </c>
      <c r="L1551" s="179" t="s">
        <v>111</v>
      </c>
      <c r="M1551" s="180" t="s">
        <v>2063</v>
      </c>
    </row>
    <row r="1552" spans="1:13" s="141" customFormat="1" x14ac:dyDescent="0.2">
      <c r="A1552" s="182"/>
      <c r="B1552" s="183"/>
      <c r="C1552" s="184"/>
      <c r="D1552" s="185"/>
      <c r="E1552" s="185"/>
      <c r="F1552" s="185"/>
      <c r="G1552" s="185"/>
      <c r="H1552" s="185"/>
      <c r="I1552" s="192" t="s">
        <v>2064</v>
      </c>
      <c r="J1552" s="187" t="s">
        <v>1048</v>
      </c>
      <c r="K1552" s="213">
        <f>3500*20%</f>
        <v>700</v>
      </c>
      <c r="L1552" s="189"/>
      <c r="M1552" s="190"/>
    </row>
    <row r="1553" spans="1:13" s="141" customFormat="1" x14ac:dyDescent="0.2">
      <c r="A1553" s="182"/>
      <c r="B1553" s="183"/>
      <c r="C1553" s="184"/>
      <c r="D1553" s="185"/>
      <c r="E1553" s="185"/>
      <c r="F1553" s="185"/>
      <c r="G1553" s="185"/>
      <c r="H1553" s="185"/>
      <c r="I1553" s="192" t="s">
        <v>2065</v>
      </c>
      <c r="J1553" s="187" t="s">
        <v>1048</v>
      </c>
      <c r="K1553" s="213">
        <f>3500*10%</f>
        <v>350</v>
      </c>
      <c r="L1553" s="189"/>
      <c r="M1553" s="190"/>
    </row>
    <row r="1554" spans="1:13" s="141" customFormat="1" x14ac:dyDescent="0.2">
      <c r="A1554" s="182"/>
      <c r="B1554" s="183"/>
      <c r="C1554" s="184"/>
      <c r="D1554" s="185"/>
      <c r="E1554" s="185"/>
      <c r="F1554" s="185"/>
      <c r="G1554" s="185"/>
      <c r="H1554" s="185"/>
      <c r="I1554" s="192" t="s">
        <v>1998</v>
      </c>
      <c r="J1554" s="187" t="s">
        <v>1048</v>
      </c>
      <c r="K1554" s="213">
        <f>3500*10%</f>
        <v>350</v>
      </c>
      <c r="L1554" s="189"/>
      <c r="M1554" s="190"/>
    </row>
    <row r="1555" spans="1:13" s="141" customFormat="1" x14ac:dyDescent="0.2">
      <c r="A1555" s="182"/>
      <c r="B1555" s="183"/>
      <c r="C1555" s="184"/>
      <c r="D1555" s="185"/>
      <c r="E1555" s="185"/>
      <c r="F1555" s="185"/>
      <c r="G1555" s="185"/>
      <c r="H1555" s="185"/>
      <c r="I1555" s="192" t="s">
        <v>2066</v>
      </c>
      <c r="J1555" s="187" t="s">
        <v>1048</v>
      </c>
      <c r="K1555" s="213">
        <f>3500*10%</f>
        <v>350</v>
      </c>
      <c r="L1555" s="189"/>
      <c r="M1555" s="190"/>
    </row>
    <row r="1556" spans="1:13" s="141" customFormat="1" x14ac:dyDescent="0.2">
      <c r="A1556" s="193"/>
      <c r="B1556" s="194"/>
      <c r="C1556" s="195"/>
      <c r="D1556" s="196"/>
      <c r="E1556" s="196"/>
      <c r="F1556" s="196"/>
      <c r="G1556" s="196"/>
      <c r="H1556" s="196"/>
      <c r="I1556" s="206"/>
      <c r="J1556" s="198"/>
      <c r="K1556" s="218">
        <f>SUM(K1551:K1555)</f>
        <v>3500</v>
      </c>
      <c r="L1556" s="200"/>
      <c r="M1556" s="201"/>
    </row>
    <row r="1557" spans="1:13" s="141" customFormat="1" ht="23.25" customHeight="1" x14ac:dyDescent="0.2">
      <c r="A1557" s="172">
        <v>372</v>
      </c>
      <c r="B1557" s="173" t="s">
        <v>2067</v>
      </c>
      <c r="C1557" s="174"/>
      <c r="D1557" s="175" t="s">
        <v>107</v>
      </c>
      <c r="E1557" s="175"/>
      <c r="F1557" s="175"/>
      <c r="G1557" s="175"/>
      <c r="H1557" s="175"/>
      <c r="I1557" s="283" t="s">
        <v>2068</v>
      </c>
      <c r="J1557" s="259" t="s">
        <v>1036</v>
      </c>
      <c r="K1557" s="209">
        <f>4100*70%</f>
        <v>2870</v>
      </c>
      <c r="L1557" s="179" t="s">
        <v>111</v>
      </c>
      <c r="M1557" s="180" t="s">
        <v>2069</v>
      </c>
    </row>
    <row r="1558" spans="1:13" s="141" customFormat="1" x14ac:dyDescent="0.2">
      <c r="A1558" s="182"/>
      <c r="B1558" s="183"/>
      <c r="C1558" s="184"/>
      <c r="D1558" s="185"/>
      <c r="E1558" s="185"/>
      <c r="F1558" s="185"/>
      <c r="G1558" s="185"/>
      <c r="H1558" s="185"/>
      <c r="I1558" s="192" t="s">
        <v>2070</v>
      </c>
      <c r="J1558" s="187" t="s">
        <v>1048</v>
      </c>
      <c r="K1558" s="213">
        <f>4100*30%</f>
        <v>1230</v>
      </c>
      <c r="L1558" s="189"/>
      <c r="M1558" s="190"/>
    </row>
    <row r="1559" spans="1:13" s="141" customFormat="1" x14ac:dyDescent="0.2">
      <c r="A1559" s="193"/>
      <c r="B1559" s="194"/>
      <c r="C1559" s="195"/>
      <c r="D1559" s="196"/>
      <c r="E1559" s="196"/>
      <c r="F1559" s="196"/>
      <c r="G1559" s="196"/>
      <c r="H1559" s="196"/>
      <c r="I1559" s="206"/>
      <c r="J1559" s="198"/>
      <c r="K1559" s="218">
        <f>SUM(K1557:K1558)</f>
        <v>4100</v>
      </c>
      <c r="L1559" s="200"/>
      <c r="M1559" s="201"/>
    </row>
    <row r="1560" spans="1:13" s="141" customFormat="1" ht="22.5" customHeight="1" x14ac:dyDescent="0.2">
      <c r="A1560" s="172">
        <v>373</v>
      </c>
      <c r="B1560" s="173" t="s">
        <v>2071</v>
      </c>
      <c r="C1560" s="174"/>
      <c r="D1560" s="175" t="s">
        <v>107</v>
      </c>
      <c r="E1560" s="175"/>
      <c r="F1560" s="175"/>
      <c r="G1560" s="175"/>
      <c r="H1560" s="175"/>
      <c r="I1560" s="283" t="s">
        <v>2072</v>
      </c>
      <c r="J1560" s="259" t="s">
        <v>1036</v>
      </c>
      <c r="K1560" s="209">
        <f>3700*50%</f>
        <v>1850</v>
      </c>
      <c r="L1560" s="179" t="s">
        <v>111</v>
      </c>
      <c r="M1560" s="180" t="s">
        <v>2073</v>
      </c>
    </row>
    <row r="1561" spans="1:13" s="141" customFormat="1" x14ac:dyDescent="0.2">
      <c r="A1561" s="182"/>
      <c r="B1561" s="183"/>
      <c r="C1561" s="184"/>
      <c r="D1561" s="185"/>
      <c r="E1561" s="185"/>
      <c r="F1561" s="185"/>
      <c r="G1561" s="185"/>
      <c r="H1561" s="185"/>
      <c r="I1561" s="192" t="s">
        <v>2074</v>
      </c>
      <c r="J1561" s="187" t="s">
        <v>1048</v>
      </c>
      <c r="K1561" s="213">
        <f>3700*10%</f>
        <v>370</v>
      </c>
      <c r="L1561" s="189"/>
      <c r="M1561" s="190"/>
    </row>
    <row r="1562" spans="1:13" s="141" customFormat="1" x14ac:dyDescent="0.2">
      <c r="A1562" s="182"/>
      <c r="B1562" s="183"/>
      <c r="C1562" s="184"/>
      <c r="D1562" s="185"/>
      <c r="E1562" s="185"/>
      <c r="F1562" s="185"/>
      <c r="G1562" s="185"/>
      <c r="H1562" s="185"/>
      <c r="I1562" s="192" t="s">
        <v>2075</v>
      </c>
      <c r="J1562" s="187" t="s">
        <v>1048</v>
      </c>
      <c r="K1562" s="213">
        <f t="shared" ref="K1562:K1565" si="40">3700*10%</f>
        <v>370</v>
      </c>
      <c r="L1562" s="189"/>
      <c r="M1562" s="190"/>
    </row>
    <row r="1563" spans="1:13" s="141" customFormat="1" x14ac:dyDescent="0.2">
      <c r="A1563" s="182"/>
      <c r="B1563" s="183"/>
      <c r="C1563" s="184"/>
      <c r="D1563" s="185"/>
      <c r="E1563" s="185"/>
      <c r="F1563" s="185"/>
      <c r="G1563" s="185"/>
      <c r="H1563" s="185"/>
      <c r="I1563" s="192" t="s">
        <v>2076</v>
      </c>
      <c r="J1563" s="187" t="s">
        <v>1048</v>
      </c>
      <c r="K1563" s="213">
        <f t="shared" si="40"/>
        <v>370</v>
      </c>
      <c r="L1563" s="189"/>
      <c r="M1563" s="190"/>
    </row>
    <row r="1564" spans="1:13" s="141" customFormat="1" x14ac:dyDescent="0.2">
      <c r="A1564" s="182"/>
      <c r="B1564" s="183"/>
      <c r="C1564" s="184"/>
      <c r="D1564" s="185"/>
      <c r="E1564" s="185"/>
      <c r="F1564" s="185"/>
      <c r="G1564" s="185"/>
      <c r="H1564" s="185"/>
      <c r="I1564" s="192" t="s">
        <v>2077</v>
      </c>
      <c r="J1564" s="187" t="s">
        <v>1048</v>
      </c>
      <c r="K1564" s="213">
        <f t="shared" si="40"/>
        <v>370</v>
      </c>
      <c r="L1564" s="189"/>
      <c r="M1564" s="190"/>
    </row>
    <row r="1565" spans="1:13" s="141" customFormat="1" x14ac:dyDescent="0.2">
      <c r="A1565" s="182"/>
      <c r="B1565" s="183"/>
      <c r="C1565" s="184"/>
      <c r="D1565" s="185"/>
      <c r="E1565" s="185"/>
      <c r="F1565" s="185"/>
      <c r="G1565" s="185"/>
      <c r="H1565" s="185"/>
      <c r="I1565" s="192" t="s">
        <v>2078</v>
      </c>
      <c r="J1565" s="187" t="s">
        <v>1048</v>
      </c>
      <c r="K1565" s="213">
        <f t="shared" si="40"/>
        <v>370</v>
      </c>
      <c r="L1565" s="189"/>
      <c r="M1565" s="190"/>
    </row>
    <row r="1566" spans="1:13" s="141" customFormat="1" x14ac:dyDescent="0.2">
      <c r="A1566" s="193"/>
      <c r="B1566" s="194"/>
      <c r="C1566" s="195"/>
      <c r="D1566" s="196"/>
      <c r="E1566" s="196"/>
      <c r="F1566" s="196"/>
      <c r="G1566" s="196"/>
      <c r="H1566" s="196"/>
      <c r="I1566" s="206"/>
      <c r="J1566" s="198"/>
      <c r="K1566" s="218">
        <f>SUM(K1560:K1565)</f>
        <v>3700</v>
      </c>
      <c r="L1566" s="200"/>
      <c r="M1566" s="201"/>
    </row>
    <row r="1567" spans="1:13" s="141" customFormat="1" ht="24.75" customHeight="1" x14ac:dyDescent="0.2">
      <c r="A1567" s="172">
        <v>374</v>
      </c>
      <c r="B1567" s="173" t="s">
        <v>2079</v>
      </c>
      <c r="C1567" s="174"/>
      <c r="D1567" s="175" t="s">
        <v>107</v>
      </c>
      <c r="E1567" s="175"/>
      <c r="F1567" s="175"/>
      <c r="G1567" s="175"/>
      <c r="H1567" s="175"/>
      <c r="I1567" s="283" t="s">
        <v>2080</v>
      </c>
      <c r="J1567" s="259" t="s">
        <v>1036</v>
      </c>
      <c r="K1567" s="209">
        <f>3500*50%</f>
        <v>1750</v>
      </c>
      <c r="L1567" s="179" t="s">
        <v>111</v>
      </c>
      <c r="M1567" s="180" t="s">
        <v>2081</v>
      </c>
    </row>
    <row r="1568" spans="1:13" s="141" customFormat="1" ht="23.25" customHeight="1" x14ac:dyDescent="0.2">
      <c r="A1568" s="182"/>
      <c r="B1568" s="183"/>
      <c r="C1568" s="184"/>
      <c r="D1568" s="185"/>
      <c r="E1568" s="185"/>
      <c r="F1568" s="185"/>
      <c r="G1568" s="185"/>
      <c r="H1568" s="185"/>
      <c r="I1568" s="192" t="s">
        <v>2082</v>
      </c>
      <c r="J1568" s="187" t="s">
        <v>1036</v>
      </c>
      <c r="K1568" s="213">
        <f>3500*25%</f>
        <v>875</v>
      </c>
      <c r="L1568" s="189"/>
      <c r="M1568" s="190"/>
    </row>
    <row r="1569" spans="1:13" s="141" customFormat="1" x14ac:dyDescent="0.2">
      <c r="A1569" s="182"/>
      <c r="B1569" s="183"/>
      <c r="C1569" s="184"/>
      <c r="D1569" s="185"/>
      <c r="E1569" s="185"/>
      <c r="F1569" s="185"/>
      <c r="G1569" s="185"/>
      <c r="H1569" s="185"/>
      <c r="I1569" s="192" t="s">
        <v>2083</v>
      </c>
      <c r="J1569" s="187" t="s">
        <v>1048</v>
      </c>
      <c r="K1569" s="213">
        <f>3500*25%</f>
        <v>875</v>
      </c>
      <c r="L1569" s="189"/>
      <c r="M1569" s="190"/>
    </row>
    <row r="1570" spans="1:13" s="141" customFormat="1" x14ac:dyDescent="0.2">
      <c r="A1570" s="193"/>
      <c r="B1570" s="194"/>
      <c r="C1570" s="195"/>
      <c r="D1570" s="196"/>
      <c r="E1570" s="196"/>
      <c r="F1570" s="196"/>
      <c r="G1570" s="196"/>
      <c r="H1570" s="196"/>
      <c r="I1570" s="206"/>
      <c r="J1570" s="198"/>
      <c r="K1570" s="218">
        <f>SUM(K1567:K1569)</f>
        <v>3500</v>
      </c>
      <c r="L1570" s="200"/>
      <c r="M1570" s="201"/>
    </row>
    <row r="1571" spans="1:13" s="141" customFormat="1" ht="21.75" customHeight="1" x14ac:dyDescent="0.2">
      <c r="A1571" s="172">
        <v>375</v>
      </c>
      <c r="B1571" s="173" t="s">
        <v>2084</v>
      </c>
      <c r="C1571" s="174"/>
      <c r="D1571" s="175" t="s">
        <v>107</v>
      </c>
      <c r="E1571" s="175"/>
      <c r="F1571" s="175"/>
      <c r="G1571" s="175"/>
      <c r="H1571" s="175"/>
      <c r="I1571" s="283" t="s">
        <v>2085</v>
      </c>
      <c r="J1571" s="259" t="s">
        <v>1036</v>
      </c>
      <c r="K1571" s="209">
        <f>4000*60%</f>
        <v>2400</v>
      </c>
      <c r="L1571" s="179" t="s">
        <v>111</v>
      </c>
      <c r="M1571" s="180" t="s">
        <v>2086</v>
      </c>
    </row>
    <row r="1572" spans="1:13" s="141" customFormat="1" x14ac:dyDescent="0.2">
      <c r="A1572" s="182"/>
      <c r="B1572" s="183"/>
      <c r="C1572" s="184"/>
      <c r="D1572" s="185"/>
      <c r="E1572" s="185"/>
      <c r="F1572" s="185"/>
      <c r="G1572" s="185"/>
      <c r="H1572" s="185"/>
      <c r="I1572" s="192" t="s">
        <v>2087</v>
      </c>
      <c r="J1572" s="187" t="s">
        <v>1048</v>
      </c>
      <c r="K1572" s="213">
        <f t="shared" ref="K1572:K1579" si="41">4000*5%</f>
        <v>200</v>
      </c>
      <c r="L1572" s="189"/>
      <c r="M1572" s="190"/>
    </row>
    <row r="1573" spans="1:13" s="141" customFormat="1" x14ac:dyDescent="0.2">
      <c r="A1573" s="182"/>
      <c r="B1573" s="183"/>
      <c r="C1573" s="184"/>
      <c r="D1573" s="185"/>
      <c r="E1573" s="185"/>
      <c r="F1573" s="185"/>
      <c r="G1573" s="185"/>
      <c r="H1573" s="185"/>
      <c r="I1573" s="192" t="s">
        <v>2088</v>
      </c>
      <c r="J1573" s="187" t="s">
        <v>1048</v>
      </c>
      <c r="K1573" s="213">
        <f t="shared" si="41"/>
        <v>200</v>
      </c>
      <c r="L1573" s="189"/>
      <c r="M1573" s="190"/>
    </row>
    <row r="1574" spans="1:13" s="141" customFormat="1" x14ac:dyDescent="0.2">
      <c r="A1574" s="182"/>
      <c r="B1574" s="183"/>
      <c r="C1574" s="184"/>
      <c r="D1574" s="185"/>
      <c r="E1574" s="185"/>
      <c r="F1574" s="185"/>
      <c r="G1574" s="185"/>
      <c r="H1574" s="185"/>
      <c r="I1574" s="192" t="s">
        <v>2089</v>
      </c>
      <c r="J1574" s="187" t="s">
        <v>1048</v>
      </c>
      <c r="K1574" s="213">
        <f t="shared" si="41"/>
        <v>200</v>
      </c>
      <c r="L1574" s="189"/>
      <c r="M1574" s="190"/>
    </row>
    <row r="1575" spans="1:13" s="141" customFormat="1" x14ac:dyDescent="0.2">
      <c r="A1575" s="182"/>
      <c r="B1575" s="183"/>
      <c r="C1575" s="184"/>
      <c r="D1575" s="185"/>
      <c r="E1575" s="185"/>
      <c r="F1575" s="185"/>
      <c r="G1575" s="185"/>
      <c r="H1575" s="185"/>
      <c r="I1575" s="192" t="s">
        <v>2090</v>
      </c>
      <c r="J1575" s="187" t="s">
        <v>1048</v>
      </c>
      <c r="K1575" s="213">
        <f t="shared" si="41"/>
        <v>200</v>
      </c>
      <c r="L1575" s="189"/>
      <c r="M1575" s="190"/>
    </row>
    <row r="1576" spans="1:13" s="141" customFormat="1" x14ac:dyDescent="0.2">
      <c r="A1576" s="182"/>
      <c r="B1576" s="183"/>
      <c r="C1576" s="184"/>
      <c r="D1576" s="185"/>
      <c r="E1576" s="185"/>
      <c r="F1576" s="185"/>
      <c r="G1576" s="185"/>
      <c r="H1576" s="185"/>
      <c r="I1576" s="192" t="s">
        <v>2091</v>
      </c>
      <c r="J1576" s="187" t="s">
        <v>1048</v>
      </c>
      <c r="K1576" s="213">
        <f t="shared" si="41"/>
        <v>200</v>
      </c>
      <c r="L1576" s="189"/>
      <c r="M1576" s="190"/>
    </row>
    <row r="1577" spans="1:13" s="141" customFormat="1" x14ac:dyDescent="0.2">
      <c r="A1577" s="182"/>
      <c r="B1577" s="183"/>
      <c r="C1577" s="184"/>
      <c r="D1577" s="185"/>
      <c r="E1577" s="185"/>
      <c r="F1577" s="185"/>
      <c r="G1577" s="185"/>
      <c r="H1577" s="185"/>
      <c r="I1577" s="192" t="s">
        <v>1754</v>
      </c>
      <c r="J1577" s="187" t="s">
        <v>711</v>
      </c>
      <c r="K1577" s="213">
        <f t="shared" si="41"/>
        <v>200</v>
      </c>
      <c r="L1577" s="189"/>
      <c r="M1577" s="190"/>
    </row>
    <row r="1578" spans="1:13" s="141" customFormat="1" x14ac:dyDescent="0.2">
      <c r="A1578" s="182"/>
      <c r="B1578" s="183"/>
      <c r="C1578" s="184"/>
      <c r="D1578" s="185"/>
      <c r="E1578" s="185"/>
      <c r="F1578" s="185"/>
      <c r="G1578" s="185"/>
      <c r="H1578" s="185"/>
      <c r="I1578" s="192" t="s">
        <v>2092</v>
      </c>
      <c r="J1578" s="187" t="s">
        <v>711</v>
      </c>
      <c r="K1578" s="213">
        <f t="shared" si="41"/>
        <v>200</v>
      </c>
      <c r="L1578" s="189"/>
      <c r="M1578" s="190"/>
    </row>
    <row r="1579" spans="1:13" s="141" customFormat="1" x14ac:dyDescent="0.2">
      <c r="A1579" s="182"/>
      <c r="B1579" s="183"/>
      <c r="C1579" s="184"/>
      <c r="D1579" s="185"/>
      <c r="E1579" s="185"/>
      <c r="F1579" s="185"/>
      <c r="G1579" s="185"/>
      <c r="H1579" s="185"/>
      <c r="I1579" s="192" t="s">
        <v>2093</v>
      </c>
      <c r="J1579" s="187" t="s">
        <v>711</v>
      </c>
      <c r="K1579" s="213">
        <f t="shared" si="41"/>
        <v>200</v>
      </c>
      <c r="L1579" s="189"/>
      <c r="M1579" s="190"/>
    </row>
    <row r="1580" spans="1:13" s="141" customFormat="1" x14ac:dyDescent="0.2">
      <c r="A1580" s="193"/>
      <c r="B1580" s="194"/>
      <c r="C1580" s="195"/>
      <c r="D1580" s="196"/>
      <c r="E1580" s="196"/>
      <c r="F1580" s="196"/>
      <c r="G1580" s="196"/>
      <c r="H1580" s="196"/>
      <c r="I1580" s="206"/>
      <c r="J1580" s="198"/>
      <c r="K1580" s="218">
        <f>SUM(K1571:K1579)</f>
        <v>4000</v>
      </c>
      <c r="L1580" s="200"/>
      <c r="M1580" s="201"/>
    </row>
    <row r="1581" spans="1:13" s="141" customFormat="1" ht="21.75" customHeight="1" x14ac:dyDescent="0.2">
      <c r="A1581" s="172">
        <v>376</v>
      </c>
      <c r="B1581" s="173" t="s">
        <v>2094</v>
      </c>
      <c r="C1581" s="174"/>
      <c r="D1581" s="175" t="s">
        <v>107</v>
      </c>
      <c r="E1581" s="175"/>
      <c r="F1581" s="175"/>
      <c r="G1581" s="175"/>
      <c r="H1581" s="175"/>
      <c r="I1581" s="283" t="s">
        <v>2085</v>
      </c>
      <c r="J1581" s="259" t="s">
        <v>2095</v>
      </c>
      <c r="K1581" s="209">
        <f>3500*60%</f>
        <v>2100</v>
      </c>
      <c r="L1581" s="179" t="s">
        <v>111</v>
      </c>
      <c r="M1581" s="180" t="s">
        <v>2096</v>
      </c>
    </row>
    <row r="1582" spans="1:13" s="141" customFormat="1" x14ac:dyDescent="0.2">
      <c r="A1582" s="182"/>
      <c r="B1582" s="183"/>
      <c r="C1582" s="184"/>
      <c r="D1582" s="185"/>
      <c r="E1582" s="185"/>
      <c r="F1582" s="185"/>
      <c r="G1582" s="185"/>
      <c r="H1582" s="185"/>
      <c r="I1582" s="192" t="s">
        <v>2032</v>
      </c>
      <c r="J1582" s="187" t="s">
        <v>947</v>
      </c>
      <c r="K1582" s="213">
        <f t="shared" ref="K1582:K1588" si="42">3500*5%</f>
        <v>175</v>
      </c>
      <c r="L1582" s="189"/>
      <c r="M1582" s="190"/>
    </row>
    <row r="1583" spans="1:13" s="141" customFormat="1" x14ac:dyDescent="0.2">
      <c r="A1583" s="182"/>
      <c r="B1583" s="183"/>
      <c r="C1583" s="184"/>
      <c r="D1583" s="185"/>
      <c r="E1583" s="185"/>
      <c r="F1583" s="185"/>
      <c r="G1583" s="185"/>
      <c r="H1583" s="185"/>
      <c r="I1583" s="192" t="s">
        <v>2097</v>
      </c>
      <c r="J1583" s="187" t="s">
        <v>947</v>
      </c>
      <c r="K1583" s="213">
        <f t="shared" si="42"/>
        <v>175</v>
      </c>
      <c r="L1583" s="189"/>
      <c r="M1583" s="190"/>
    </row>
    <row r="1584" spans="1:13" s="141" customFormat="1" x14ac:dyDescent="0.2">
      <c r="A1584" s="182"/>
      <c r="B1584" s="183"/>
      <c r="C1584" s="184"/>
      <c r="D1584" s="185"/>
      <c r="E1584" s="185"/>
      <c r="F1584" s="185"/>
      <c r="G1584" s="185"/>
      <c r="H1584" s="185"/>
      <c r="I1584" s="192" t="s">
        <v>1754</v>
      </c>
      <c r="J1584" s="187" t="s">
        <v>711</v>
      </c>
      <c r="K1584" s="213">
        <f t="shared" si="42"/>
        <v>175</v>
      </c>
      <c r="L1584" s="189"/>
      <c r="M1584" s="190"/>
    </row>
    <row r="1585" spans="1:13" s="141" customFormat="1" x14ac:dyDescent="0.2">
      <c r="A1585" s="182"/>
      <c r="B1585" s="183"/>
      <c r="C1585" s="184"/>
      <c r="D1585" s="185"/>
      <c r="E1585" s="185"/>
      <c r="F1585" s="185"/>
      <c r="G1585" s="185"/>
      <c r="H1585" s="185"/>
      <c r="I1585" s="192" t="s">
        <v>2098</v>
      </c>
      <c r="J1585" s="187" t="s">
        <v>711</v>
      </c>
      <c r="K1585" s="213">
        <f t="shared" si="42"/>
        <v>175</v>
      </c>
      <c r="L1585" s="189"/>
      <c r="M1585" s="190"/>
    </row>
    <row r="1586" spans="1:13" s="141" customFormat="1" x14ac:dyDescent="0.2">
      <c r="A1586" s="182"/>
      <c r="B1586" s="183"/>
      <c r="C1586" s="184"/>
      <c r="D1586" s="185"/>
      <c r="E1586" s="185"/>
      <c r="F1586" s="185"/>
      <c r="G1586" s="185"/>
      <c r="H1586" s="185"/>
      <c r="I1586" s="192" t="s">
        <v>2092</v>
      </c>
      <c r="J1586" s="187" t="s">
        <v>711</v>
      </c>
      <c r="K1586" s="213">
        <f t="shared" si="42"/>
        <v>175</v>
      </c>
      <c r="L1586" s="189"/>
      <c r="M1586" s="190"/>
    </row>
    <row r="1587" spans="1:13" s="141" customFormat="1" x14ac:dyDescent="0.2">
      <c r="A1587" s="182"/>
      <c r="B1587" s="183"/>
      <c r="C1587" s="184"/>
      <c r="D1587" s="185"/>
      <c r="E1587" s="185"/>
      <c r="F1587" s="185"/>
      <c r="G1587" s="185"/>
      <c r="H1587" s="185"/>
      <c r="I1587" s="192" t="s">
        <v>2099</v>
      </c>
      <c r="J1587" s="187" t="s">
        <v>365</v>
      </c>
      <c r="K1587" s="213">
        <f t="shared" si="42"/>
        <v>175</v>
      </c>
      <c r="L1587" s="189"/>
      <c r="M1587" s="190"/>
    </row>
    <row r="1588" spans="1:13" s="141" customFormat="1" x14ac:dyDescent="0.2">
      <c r="A1588" s="182"/>
      <c r="B1588" s="183"/>
      <c r="C1588" s="184"/>
      <c r="D1588" s="185"/>
      <c r="E1588" s="185"/>
      <c r="F1588" s="185"/>
      <c r="G1588" s="185"/>
      <c r="H1588" s="185"/>
      <c r="I1588" s="192" t="s">
        <v>2100</v>
      </c>
      <c r="J1588" s="187" t="s">
        <v>365</v>
      </c>
      <c r="K1588" s="213">
        <f t="shared" si="42"/>
        <v>175</v>
      </c>
      <c r="L1588" s="189"/>
      <c r="M1588" s="190"/>
    </row>
    <row r="1589" spans="1:13" s="141" customFormat="1" x14ac:dyDescent="0.2">
      <c r="A1589" s="182"/>
      <c r="B1589" s="183"/>
      <c r="C1589" s="184"/>
      <c r="D1589" s="185"/>
      <c r="E1589" s="185"/>
      <c r="F1589" s="185"/>
      <c r="G1589" s="185"/>
      <c r="H1589" s="185"/>
      <c r="I1589" s="192" t="s">
        <v>2101</v>
      </c>
      <c r="J1589" s="187" t="s">
        <v>365</v>
      </c>
      <c r="K1589" s="213">
        <f>3500*3%</f>
        <v>105</v>
      </c>
      <c r="L1589" s="189"/>
      <c r="M1589" s="190"/>
    </row>
    <row r="1590" spans="1:13" s="141" customFormat="1" x14ac:dyDescent="0.2">
      <c r="A1590" s="182"/>
      <c r="B1590" s="183"/>
      <c r="C1590" s="184"/>
      <c r="D1590" s="185"/>
      <c r="E1590" s="185"/>
      <c r="F1590" s="185"/>
      <c r="G1590" s="185"/>
      <c r="H1590" s="185"/>
      <c r="I1590" s="192" t="s">
        <v>2102</v>
      </c>
      <c r="J1590" s="187" t="s">
        <v>365</v>
      </c>
      <c r="K1590" s="213">
        <f>3500*2%</f>
        <v>70</v>
      </c>
      <c r="L1590" s="189"/>
      <c r="M1590" s="190"/>
    </row>
    <row r="1591" spans="1:13" s="141" customFormat="1" x14ac:dyDescent="0.2">
      <c r="A1591" s="193"/>
      <c r="B1591" s="194"/>
      <c r="C1591" s="195"/>
      <c r="D1591" s="196"/>
      <c r="E1591" s="196"/>
      <c r="F1591" s="196"/>
      <c r="G1591" s="196"/>
      <c r="H1591" s="196"/>
      <c r="I1591" s="206"/>
      <c r="J1591" s="198"/>
      <c r="K1591" s="218">
        <f>SUM(K1581:K1590)</f>
        <v>3500</v>
      </c>
      <c r="L1591" s="200"/>
      <c r="M1591" s="201"/>
    </row>
    <row r="1592" spans="1:13" s="141" customFormat="1" ht="23.25" customHeight="1" x14ac:dyDescent="0.2">
      <c r="A1592" s="172">
        <v>377</v>
      </c>
      <c r="B1592" s="173" t="s">
        <v>2103</v>
      </c>
      <c r="C1592" s="174"/>
      <c r="D1592" s="175" t="s">
        <v>163</v>
      </c>
      <c r="E1592" s="175"/>
      <c r="F1592" s="175"/>
      <c r="G1592" s="175"/>
      <c r="H1592" s="175"/>
      <c r="I1592" s="283" t="s">
        <v>2104</v>
      </c>
      <c r="J1592" s="259" t="s">
        <v>2095</v>
      </c>
      <c r="K1592" s="209">
        <f>100415*52%</f>
        <v>52215.8</v>
      </c>
      <c r="L1592" s="179" t="s">
        <v>166</v>
      </c>
      <c r="M1592" s="180" t="s">
        <v>2105</v>
      </c>
    </row>
    <row r="1593" spans="1:13" s="141" customFormat="1" x14ac:dyDescent="0.2">
      <c r="A1593" s="182"/>
      <c r="B1593" s="183"/>
      <c r="C1593" s="184"/>
      <c r="D1593" s="185"/>
      <c r="E1593" s="185"/>
      <c r="F1593" s="185"/>
      <c r="G1593" s="185"/>
      <c r="H1593" s="185"/>
      <c r="I1593" s="192" t="s">
        <v>2106</v>
      </c>
      <c r="J1593" s="187" t="s">
        <v>947</v>
      </c>
      <c r="K1593" s="213">
        <f>100415*25%</f>
        <v>25103.75</v>
      </c>
      <c r="L1593" s="189"/>
      <c r="M1593" s="190"/>
    </row>
    <row r="1594" spans="1:13" s="141" customFormat="1" x14ac:dyDescent="0.2">
      <c r="A1594" s="182"/>
      <c r="B1594" s="183"/>
      <c r="C1594" s="184"/>
      <c r="D1594" s="185"/>
      <c r="E1594" s="185"/>
      <c r="F1594" s="185"/>
      <c r="G1594" s="185"/>
      <c r="H1594" s="185"/>
      <c r="I1594" s="192" t="s">
        <v>2107</v>
      </c>
      <c r="J1594" s="187" t="s">
        <v>947</v>
      </c>
      <c r="K1594" s="213">
        <f>100415*5%</f>
        <v>5020.75</v>
      </c>
      <c r="L1594" s="189"/>
      <c r="M1594" s="190"/>
    </row>
    <row r="1595" spans="1:13" s="141" customFormat="1" x14ac:dyDescent="0.2">
      <c r="A1595" s="182"/>
      <c r="B1595" s="183"/>
      <c r="C1595" s="184"/>
      <c r="D1595" s="185"/>
      <c r="E1595" s="185"/>
      <c r="F1595" s="185"/>
      <c r="G1595" s="185"/>
      <c r="H1595" s="185"/>
      <c r="I1595" s="192" t="s">
        <v>2108</v>
      </c>
      <c r="J1595" s="187" t="s">
        <v>947</v>
      </c>
      <c r="K1595" s="213">
        <f>100415*4%</f>
        <v>4016.6</v>
      </c>
      <c r="L1595" s="189"/>
      <c r="M1595" s="190"/>
    </row>
    <row r="1596" spans="1:13" s="141" customFormat="1" x14ac:dyDescent="0.2">
      <c r="A1596" s="182"/>
      <c r="B1596" s="183"/>
      <c r="C1596" s="184"/>
      <c r="D1596" s="185"/>
      <c r="E1596" s="185"/>
      <c r="F1596" s="185"/>
      <c r="G1596" s="185"/>
      <c r="H1596" s="185"/>
      <c r="I1596" s="192" t="s">
        <v>2109</v>
      </c>
      <c r="J1596" s="187" t="s">
        <v>947</v>
      </c>
      <c r="K1596" s="213">
        <f>100415*3%</f>
        <v>3012.45</v>
      </c>
      <c r="L1596" s="189"/>
      <c r="M1596" s="190"/>
    </row>
    <row r="1597" spans="1:13" s="141" customFormat="1" x14ac:dyDescent="0.2">
      <c r="A1597" s="182"/>
      <c r="B1597" s="183"/>
      <c r="C1597" s="184"/>
      <c r="D1597" s="185"/>
      <c r="E1597" s="185"/>
      <c r="F1597" s="185"/>
      <c r="G1597" s="185"/>
      <c r="H1597" s="185"/>
      <c r="I1597" s="192" t="s">
        <v>2110</v>
      </c>
      <c r="J1597" s="187" t="s">
        <v>947</v>
      </c>
      <c r="K1597" s="213">
        <f>100415*2%</f>
        <v>2008.3</v>
      </c>
      <c r="L1597" s="189"/>
      <c r="M1597" s="190"/>
    </row>
    <row r="1598" spans="1:13" s="141" customFormat="1" x14ac:dyDescent="0.2">
      <c r="A1598" s="182"/>
      <c r="B1598" s="183"/>
      <c r="C1598" s="184"/>
      <c r="D1598" s="185"/>
      <c r="E1598" s="185"/>
      <c r="F1598" s="185"/>
      <c r="G1598" s="185"/>
      <c r="H1598" s="185"/>
      <c r="I1598" s="192" t="s">
        <v>2111</v>
      </c>
      <c r="J1598" s="187" t="s">
        <v>947</v>
      </c>
      <c r="K1598" s="213">
        <f>100415*1%</f>
        <v>1004.15</v>
      </c>
      <c r="L1598" s="189"/>
      <c r="M1598" s="190"/>
    </row>
    <row r="1599" spans="1:13" s="141" customFormat="1" x14ac:dyDescent="0.2">
      <c r="A1599" s="182"/>
      <c r="B1599" s="183"/>
      <c r="C1599" s="184"/>
      <c r="D1599" s="185"/>
      <c r="E1599" s="185"/>
      <c r="F1599" s="185"/>
      <c r="G1599" s="185"/>
      <c r="H1599" s="185"/>
      <c r="I1599" s="192" t="s">
        <v>2112</v>
      </c>
      <c r="J1599" s="187" t="s">
        <v>947</v>
      </c>
      <c r="K1599" s="213">
        <f>100415*1%</f>
        <v>1004.15</v>
      </c>
      <c r="L1599" s="189"/>
      <c r="M1599" s="190"/>
    </row>
    <row r="1600" spans="1:13" s="141" customFormat="1" x14ac:dyDescent="0.2">
      <c r="A1600" s="182"/>
      <c r="B1600" s="183"/>
      <c r="C1600" s="184"/>
      <c r="D1600" s="185"/>
      <c r="E1600" s="185"/>
      <c r="F1600" s="185"/>
      <c r="G1600" s="185"/>
      <c r="H1600" s="185"/>
      <c r="I1600" s="192" t="s">
        <v>2113</v>
      </c>
      <c r="J1600" s="187" t="s">
        <v>947</v>
      </c>
      <c r="K1600" s="213">
        <f>100415*2%</f>
        <v>2008.3</v>
      </c>
      <c r="L1600" s="189"/>
      <c r="M1600" s="190"/>
    </row>
    <row r="1601" spans="1:13" s="141" customFormat="1" x14ac:dyDescent="0.2">
      <c r="A1601" s="182"/>
      <c r="B1601" s="183"/>
      <c r="C1601" s="184"/>
      <c r="D1601" s="185"/>
      <c r="E1601" s="185"/>
      <c r="F1601" s="185"/>
      <c r="G1601" s="185"/>
      <c r="H1601" s="185"/>
      <c r="I1601" s="192" t="s">
        <v>2114</v>
      </c>
      <c r="J1601" s="187" t="s">
        <v>947</v>
      </c>
      <c r="K1601" s="213">
        <f>100415*1%</f>
        <v>1004.15</v>
      </c>
      <c r="L1601" s="189"/>
      <c r="M1601" s="190"/>
    </row>
    <row r="1602" spans="1:13" s="141" customFormat="1" x14ac:dyDescent="0.2">
      <c r="A1602" s="182"/>
      <c r="B1602" s="183"/>
      <c r="C1602" s="184"/>
      <c r="D1602" s="185"/>
      <c r="E1602" s="185"/>
      <c r="F1602" s="185"/>
      <c r="G1602" s="185"/>
      <c r="H1602" s="185"/>
      <c r="I1602" s="192" t="s">
        <v>2115</v>
      </c>
      <c r="J1602" s="187" t="s">
        <v>947</v>
      </c>
      <c r="K1602" s="213">
        <f>100415*1%</f>
        <v>1004.15</v>
      </c>
      <c r="L1602" s="189"/>
      <c r="M1602" s="190"/>
    </row>
    <row r="1603" spans="1:13" s="141" customFormat="1" x14ac:dyDescent="0.2">
      <c r="A1603" s="182"/>
      <c r="B1603" s="183"/>
      <c r="C1603" s="184"/>
      <c r="D1603" s="185"/>
      <c r="E1603" s="185"/>
      <c r="F1603" s="185"/>
      <c r="G1603" s="185"/>
      <c r="H1603" s="185"/>
      <c r="I1603" s="192" t="s">
        <v>2116</v>
      </c>
      <c r="J1603" s="187" t="s">
        <v>947</v>
      </c>
      <c r="K1603" s="213">
        <f>100415*1%</f>
        <v>1004.15</v>
      </c>
      <c r="L1603" s="189"/>
      <c r="M1603" s="190"/>
    </row>
    <row r="1604" spans="1:13" s="141" customFormat="1" x14ac:dyDescent="0.2">
      <c r="A1604" s="182"/>
      <c r="B1604" s="183"/>
      <c r="C1604" s="184"/>
      <c r="D1604" s="185"/>
      <c r="E1604" s="185"/>
      <c r="F1604" s="185"/>
      <c r="G1604" s="185"/>
      <c r="H1604" s="185"/>
      <c r="I1604" s="192" t="s">
        <v>2117</v>
      </c>
      <c r="J1604" s="187" t="s">
        <v>947</v>
      </c>
      <c r="K1604" s="213">
        <f>100415*2%</f>
        <v>2008.3</v>
      </c>
      <c r="L1604" s="189"/>
      <c r="M1604" s="190"/>
    </row>
    <row r="1605" spans="1:13" s="141" customFormat="1" x14ac:dyDescent="0.2">
      <c r="A1605" s="193"/>
      <c r="B1605" s="194"/>
      <c r="C1605" s="195"/>
      <c r="D1605" s="196"/>
      <c r="E1605" s="196"/>
      <c r="F1605" s="196"/>
      <c r="G1605" s="196"/>
      <c r="H1605" s="196"/>
      <c r="I1605" s="206"/>
      <c r="J1605" s="198"/>
      <c r="K1605" s="218">
        <f>SUM(K1592:K1604)</f>
        <v>100414.99999999999</v>
      </c>
      <c r="L1605" s="200"/>
      <c r="M1605" s="201"/>
    </row>
    <row r="1606" spans="1:13" s="141" customFormat="1" x14ac:dyDescent="0.2">
      <c r="A1606" s="172">
        <v>378</v>
      </c>
      <c r="B1606" s="173" t="s">
        <v>2118</v>
      </c>
      <c r="C1606" s="174"/>
      <c r="D1606" s="263" t="s">
        <v>107</v>
      </c>
      <c r="E1606" s="175"/>
      <c r="F1606" s="175"/>
      <c r="G1606" s="175"/>
      <c r="H1606" s="175" t="s">
        <v>1011</v>
      </c>
      <c r="I1606" s="176" t="s">
        <v>2119</v>
      </c>
      <c r="J1606" s="177" t="s">
        <v>1048</v>
      </c>
      <c r="K1606" s="216">
        <f>K1611*60%</f>
        <v>2220</v>
      </c>
      <c r="L1606" s="179" t="s">
        <v>111</v>
      </c>
      <c r="M1606" s="180" t="s">
        <v>2120</v>
      </c>
    </row>
    <row r="1607" spans="1:13" s="141" customFormat="1" x14ac:dyDescent="0.2">
      <c r="A1607" s="182"/>
      <c r="B1607" s="183"/>
      <c r="C1607" s="184"/>
      <c r="D1607" s="255"/>
      <c r="E1607" s="185"/>
      <c r="F1607" s="185"/>
      <c r="G1607" s="185"/>
      <c r="H1607" s="185"/>
      <c r="I1607" s="192" t="s">
        <v>2121</v>
      </c>
      <c r="J1607" s="223" t="s">
        <v>1048</v>
      </c>
      <c r="K1607" s="217">
        <f>K1611*10%</f>
        <v>370</v>
      </c>
      <c r="L1607" s="189"/>
      <c r="M1607" s="190"/>
    </row>
    <row r="1608" spans="1:13" s="141" customFormat="1" x14ac:dyDescent="0.2">
      <c r="A1608" s="182"/>
      <c r="B1608" s="183"/>
      <c r="C1608" s="184"/>
      <c r="D1608" s="255"/>
      <c r="E1608" s="185"/>
      <c r="F1608" s="185"/>
      <c r="G1608" s="185"/>
      <c r="H1608" s="185"/>
      <c r="I1608" s="176" t="s">
        <v>2122</v>
      </c>
      <c r="J1608" s="177" t="s">
        <v>1048</v>
      </c>
      <c r="K1608" s="240">
        <f>K1611*10%</f>
        <v>370</v>
      </c>
      <c r="L1608" s="189"/>
      <c r="M1608" s="190"/>
    </row>
    <row r="1609" spans="1:13" s="141" customFormat="1" x14ac:dyDescent="0.2">
      <c r="A1609" s="182"/>
      <c r="B1609" s="183"/>
      <c r="C1609" s="184"/>
      <c r="D1609" s="255"/>
      <c r="E1609" s="185"/>
      <c r="F1609" s="185"/>
      <c r="G1609" s="185"/>
      <c r="H1609" s="185"/>
      <c r="I1609" s="192" t="s">
        <v>2123</v>
      </c>
      <c r="J1609" s="212" t="s">
        <v>1048</v>
      </c>
      <c r="K1609" s="213">
        <f>K1611*10%</f>
        <v>370</v>
      </c>
      <c r="L1609" s="189"/>
      <c r="M1609" s="190"/>
    </row>
    <row r="1610" spans="1:13" s="141" customFormat="1" x14ac:dyDescent="0.2">
      <c r="A1610" s="182"/>
      <c r="B1610" s="183"/>
      <c r="C1610" s="184"/>
      <c r="D1610" s="255"/>
      <c r="E1610" s="185"/>
      <c r="F1610" s="185"/>
      <c r="G1610" s="185"/>
      <c r="H1610" s="185"/>
      <c r="I1610" s="192" t="s">
        <v>2124</v>
      </c>
      <c r="J1610" s="212" t="s">
        <v>1048</v>
      </c>
      <c r="K1610" s="213">
        <f>K1611*10%</f>
        <v>370</v>
      </c>
      <c r="L1610" s="189"/>
      <c r="M1610" s="190"/>
    </row>
    <row r="1611" spans="1:13" s="141" customFormat="1" x14ac:dyDescent="0.2">
      <c r="A1611" s="193"/>
      <c r="B1611" s="194"/>
      <c r="C1611" s="195"/>
      <c r="D1611" s="256"/>
      <c r="E1611" s="196"/>
      <c r="F1611" s="196"/>
      <c r="G1611" s="196"/>
      <c r="H1611" s="196"/>
      <c r="I1611" s="206"/>
      <c r="J1611" s="214"/>
      <c r="K1611" s="215">
        <v>3700</v>
      </c>
      <c r="L1611" s="200"/>
      <c r="M1611" s="201"/>
    </row>
    <row r="1612" spans="1:13" s="141" customFormat="1" ht="24" customHeight="1" x14ac:dyDescent="0.2">
      <c r="A1612" s="172">
        <v>379</v>
      </c>
      <c r="B1612" s="173" t="s">
        <v>2125</v>
      </c>
      <c r="C1612" s="174"/>
      <c r="D1612" s="263" t="s">
        <v>107</v>
      </c>
      <c r="E1612" s="175"/>
      <c r="F1612" s="175"/>
      <c r="G1612" s="175"/>
      <c r="H1612" s="175"/>
      <c r="I1612" s="283" t="s">
        <v>2126</v>
      </c>
      <c r="J1612" s="259" t="s">
        <v>1036</v>
      </c>
      <c r="K1612" s="209">
        <f>K1624*45%</f>
        <v>1800</v>
      </c>
      <c r="L1612" s="179" t="s">
        <v>111</v>
      </c>
      <c r="M1612" s="180" t="s">
        <v>2127</v>
      </c>
    </row>
    <row r="1613" spans="1:13" s="141" customFormat="1" x14ac:dyDescent="0.2">
      <c r="A1613" s="182"/>
      <c r="B1613" s="183"/>
      <c r="C1613" s="184"/>
      <c r="D1613" s="255"/>
      <c r="E1613" s="185"/>
      <c r="F1613" s="185"/>
      <c r="G1613" s="185"/>
      <c r="H1613" s="185"/>
      <c r="I1613" s="192" t="s">
        <v>2128</v>
      </c>
      <c r="J1613" s="187" t="s">
        <v>1048</v>
      </c>
      <c r="K1613" s="213">
        <f>K1624*5%</f>
        <v>200</v>
      </c>
      <c r="L1613" s="189"/>
      <c r="M1613" s="190"/>
    </row>
    <row r="1614" spans="1:13" s="141" customFormat="1" x14ac:dyDescent="0.2">
      <c r="A1614" s="182"/>
      <c r="B1614" s="183"/>
      <c r="C1614" s="184"/>
      <c r="D1614" s="255"/>
      <c r="E1614" s="185"/>
      <c r="F1614" s="185"/>
      <c r="G1614" s="185"/>
      <c r="H1614" s="185"/>
      <c r="I1614" s="192" t="s">
        <v>2129</v>
      </c>
      <c r="J1614" s="223" t="s">
        <v>1048</v>
      </c>
      <c r="K1614" s="213">
        <f>K1624*5%</f>
        <v>200</v>
      </c>
      <c r="L1614" s="189"/>
      <c r="M1614" s="190"/>
    </row>
    <row r="1615" spans="1:13" s="141" customFormat="1" x14ac:dyDescent="0.2">
      <c r="A1615" s="182"/>
      <c r="B1615" s="183"/>
      <c r="C1615" s="184"/>
      <c r="D1615" s="255"/>
      <c r="E1615" s="185"/>
      <c r="F1615" s="185"/>
      <c r="G1615" s="185"/>
      <c r="H1615" s="185"/>
      <c r="I1615" s="192" t="s">
        <v>2130</v>
      </c>
      <c r="J1615" s="177" t="s">
        <v>1048</v>
      </c>
      <c r="K1615" s="210">
        <f>K1624*5%</f>
        <v>200</v>
      </c>
      <c r="L1615" s="189"/>
      <c r="M1615" s="190"/>
    </row>
    <row r="1616" spans="1:13" s="141" customFormat="1" x14ac:dyDescent="0.2">
      <c r="A1616" s="182"/>
      <c r="B1616" s="183"/>
      <c r="C1616" s="184"/>
      <c r="D1616" s="255"/>
      <c r="E1616" s="185"/>
      <c r="F1616" s="185"/>
      <c r="G1616" s="185"/>
      <c r="H1616" s="185"/>
      <c r="I1616" s="192" t="s">
        <v>2131</v>
      </c>
      <c r="J1616" s="212" t="s">
        <v>1048</v>
      </c>
      <c r="K1616" s="213">
        <f>K1624*5%</f>
        <v>200</v>
      </c>
      <c r="L1616" s="189"/>
      <c r="M1616" s="190"/>
    </row>
    <row r="1617" spans="1:13" s="141" customFormat="1" x14ac:dyDescent="0.2">
      <c r="A1617" s="182"/>
      <c r="B1617" s="183"/>
      <c r="C1617" s="184"/>
      <c r="D1617" s="255"/>
      <c r="E1617" s="185"/>
      <c r="F1617" s="185"/>
      <c r="G1617" s="185"/>
      <c r="H1617" s="185"/>
      <c r="I1617" s="176" t="s">
        <v>2132</v>
      </c>
      <c r="J1617" s="223" t="s">
        <v>1048</v>
      </c>
      <c r="K1617" s="210">
        <f>K1624*5%</f>
        <v>200</v>
      </c>
      <c r="L1617" s="189"/>
      <c r="M1617" s="190"/>
    </row>
    <row r="1618" spans="1:13" s="141" customFormat="1" x14ac:dyDescent="0.2">
      <c r="A1618" s="182"/>
      <c r="B1618" s="183"/>
      <c r="C1618" s="184"/>
      <c r="D1618" s="255"/>
      <c r="E1618" s="185"/>
      <c r="F1618" s="185"/>
      <c r="G1618" s="185"/>
      <c r="H1618" s="185"/>
      <c r="I1618" s="192" t="s">
        <v>2133</v>
      </c>
      <c r="J1618" s="177" t="s">
        <v>1048</v>
      </c>
      <c r="K1618" s="240">
        <f>K1624*5%</f>
        <v>200</v>
      </c>
      <c r="L1618" s="189"/>
      <c r="M1618" s="190"/>
    </row>
    <row r="1619" spans="1:13" s="141" customFormat="1" x14ac:dyDescent="0.2">
      <c r="A1619" s="182"/>
      <c r="B1619" s="183"/>
      <c r="C1619" s="184"/>
      <c r="D1619" s="255"/>
      <c r="E1619" s="185"/>
      <c r="F1619" s="185"/>
      <c r="G1619" s="185"/>
      <c r="H1619" s="185"/>
      <c r="I1619" s="176" t="s">
        <v>2134</v>
      </c>
      <c r="J1619" s="223" t="s">
        <v>1048</v>
      </c>
      <c r="K1619" s="213">
        <f>K1624*5%</f>
        <v>200</v>
      </c>
      <c r="L1619" s="189"/>
      <c r="M1619" s="190"/>
    </row>
    <row r="1620" spans="1:13" s="141" customFormat="1" x14ac:dyDescent="0.2">
      <c r="A1620" s="182"/>
      <c r="B1620" s="183"/>
      <c r="C1620" s="184"/>
      <c r="D1620" s="255"/>
      <c r="E1620" s="185"/>
      <c r="F1620" s="185"/>
      <c r="G1620" s="185"/>
      <c r="H1620" s="185"/>
      <c r="I1620" s="186" t="s">
        <v>2135</v>
      </c>
      <c r="J1620" s="212" t="s">
        <v>1048</v>
      </c>
      <c r="K1620" s="253">
        <f>K1624*5%</f>
        <v>200</v>
      </c>
      <c r="L1620" s="189"/>
      <c r="M1620" s="190"/>
    </row>
    <row r="1621" spans="1:13" s="141" customFormat="1" x14ac:dyDescent="0.2">
      <c r="A1621" s="182"/>
      <c r="B1621" s="183"/>
      <c r="C1621" s="184"/>
      <c r="D1621" s="255"/>
      <c r="E1621" s="185"/>
      <c r="F1621" s="185"/>
      <c r="G1621" s="185"/>
      <c r="H1621" s="185"/>
      <c r="I1621" s="186" t="s">
        <v>2136</v>
      </c>
      <c r="J1621" s="223" t="s">
        <v>1048</v>
      </c>
      <c r="K1621" s="253">
        <f>K1624*5%</f>
        <v>200</v>
      </c>
      <c r="L1621" s="189"/>
      <c r="M1621" s="190"/>
    </row>
    <row r="1622" spans="1:13" s="141" customFormat="1" x14ac:dyDescent="0.2">
      <c r="A1622" s="182"/>
      <c r="B1622" s="183"/>
      <c r="C1622" s="184"/>
      <c r="D1622" s="255"/>
      <c r="E1622" s="185"/>
      <c r="F1622" s="185"/>
      <c r="G1622" s="185"/>
      <c r="H1622" s="185"/>
      <c r="I1622" s="186" t="s">
        <v>2137</v>
      </c>
      <c r="J1622" s="177" t="s">
        <v>1048</v>
      </c>
      <c r="K1622" s="210">
        <f>K1624*5%</f>
        <v>200</v>
      </c>
      <c r="L1622" s="189"/>
      <c r="M1622" s="190"/>
    </row>
    <row r="1623" spans="1:13" s="141" customFormat="1" x14ac:dyDescent="0.2">
      <c r="A1623" s="182"/>
      <c r="B1623" s="183"/>
      <c r="C1623" s="184"/>
      <c r="D1623" s="255"/>
      <c r="E1623" s="185"/>
      <c r="F1623" s="185"/>
      <c r="G1623" s="185"/>
      <c r="H1623" s="185"/>
      <c r="I1623" s="186" t="s">
        <v>1047</v>
      </c>
      <c r="J1623" s="223" t="s">
        <v>1048</v>
      </c>
      <c r="K1623" s="213">
        <f>K1624*5%</f>
        <v>200</v>
      </c>
      <c r="L1623" s="189"/>
      <c r="M1623" s="190"/>
    </row>
    <row r="1624" spans="1:13" s="141" customFormat="1" x14ac:dyDescent="0.2">
      <c r="A1624" s="193"/>
      <c r="B1624" s="194"/>
      <c r="C1624" s="195"/>
      <c r="D1624" s="256"/>
      <c r="E1624" s="196"/>
      <c r="F1624" s="196"/>
      <c r="G1624" s="196"/>
      <c r="H1624" s="196"/>
      <c r="I1624" s="206"/>
      <c r="J1624" s="226"/>
      <c r="K1624" s="215">
        <v>4000</v>
      </c>
      <c r="L1624" s="200"/>
      <c r="M1624" s="201"/>
    </row>
    <row r="1625" spans="1:13" s="141" customFormat="1" ht="20.25" customHeight="1" x14ac:dyDescent="0.2">
      <c r="A1625" s="172">
        <v>380</v>
      </c>
      <c r="B1625" s="173" t="s">
        <v>2138</v>
      </c>
      <c r="C1625" s="174"/>
      <c r="D1625" s="263" t="s">
        <v>107</v>
      </c>
      <c r="E1625" s="175"/>
      <c r="F1625" s="175"/>
      <c r="G1625" s="175"/>
      <c r="H1625" s="175" t="s">
        <v>1391</v>
      </c>
      <c r="I1625" s="176" t="s">
        <v>2139</v>
      </c>
      <c r="J1625" s="177" t="s">
        <v>1036</v>
      </c>
      <c r="K1625" s="216">
        <f>K1631*50%</f>
        <v>2000</v>
      </c>
      <c r="L1625" s="179" t="s">
        <v>111</v>
      </c>
      <c r="M1625" s="180" t="s">
        <v>2140</v>
      </c>
    </row>
    <row r="1626" spans="1:13" s="141" customFormat="1" x14ac:dyDescent="0.2">
      <c r="A1626" s="182"/>
      <c r="B1626" s="183"/>
      <c r="C1626" s="184"/>
      <c r="D1626" s="255"/>
      <c r="E1626" s="185"/>
      <c r="F1626" s="185"/>
      <c r="G1626" s="185"/>
      <c r="H1626" s="185"/>
      <c r="I1626" s="186" t="s">
        <v>2141</v>
      </c>
      <c r="J1626" s="212" t="s">
        <v>1048</v>
      </c>
      <c r="K1626" s="217">
        <f>K1631*10%</f>
        <v>400</v>
      </c>
      <c r="L1626" s="189"/>
      <c r="M1626" s="190"/>
    </row>
    <row r="1627" spans="1:13" s="141" customFormat="1" x14ac:dyDescent="0.2">
      <c r="A1627" s="182"/>
      <c r="B1627" s="183"/>
      <c r="C1627" s="184"/>
      <c r="D1627" s="255"/>
      <c r="E1627" s="185"/>
      <c r="F1627" s="185"/>
      <c r="G1627" s="185"/>
      <c r="H1627" s="185"/>
      <c r="I1627" s="186" t="s">
        <v>2142</v>
      </c>
      <c r="J1627" s="223" t="s">
        <v>1048</v>
      </c>
      <c r="K1627" s="217">
        <f>K1631*10%</f>
        <v>400</v>
      </c>
      <c r="L1627" s="189"/>
      <c r="M1627" s="190"/>
    </row>
    <row r="1628" spans="1:13" s="141" customFormat="1" x14ac:dyDescent="0.2">
      <c r="A1628" s="182"/>
      <c r="B1628" s="183"/>
      <c r="C1628" s="184"/>
      <c r="D1628" s="255"/>
      <c r="E1628" s="185"/>
      <c r="F1628" s="185"/>
      <c r="G1628" s="185"/>
      <c r="H1628" s="185"/>
      <c r="I1628" s="192" t="s">
        <v>2052</v>
      </c>
      <c r="J1628" s="315" t="s">
        <v>1048</v>
      </c>
      <c r="K1628" s="217">
        <f>K1631*10%</f>
        <v>400</v>
      </c>
      <c r="L1628" s="189"/>
      <c r="M1628" s="190"/>
    </row>
    <row r="1629" spans="1:13" s="141" customFormat="1" x14ac:dyDescent="0.2">
      <c r="A1629" s="182"/>
      <c r="B1629" s="183"/>
      <c r="C1629" s="184"/>
      <c r="D1629" s="255"/>
      <c r="E1629" s="185"/>
      <c r="F1629" s="185"/>
      <c r="G1629" s="185"/>
      <c r="H1629" s="185"/>
      <c r="I1629" s="176" t="s">
        <v>2143</v>
      </c>
      <c r="J1629" s="315" t="s">
        <v>1048</v>
      </c>
      <c r="K1629" s="213">
        <f>K1631*10%</f>
        <v>400</v>
      </c>
      <c r="L1629" s="189"/>
      <c r="M1629" s="190"/>
    </row>
    <row r="1630" spans="1:13" s="141" customFormat="1" x14ac:dyDescent="0.2">
      <c r="A1630" s="182"/>
      <c r="B1630" s="183"/>
      <c r="C1630" s="184"/>
      <c r="D1630" s="255"/>
      <c r="E1630" s="185"/>
      <c r="F1630" s="185"/>
      <c r="G1630" s="185"/>
      <c r="H1630" s="185"/>
      <c r="I1630" s="192" t="s">
        <v>2144</v>
      </c>
      <c r="J1630" s="315" t="s">
        <v>1048</v>
      </c>
      <c r="K1630" s="210">
        <f>K1631*10%</f>
        <v>400</v>
      </c>
      <c r="L1630" s="189"/>
      <c r="M1630" s="190"/>
    </row>
    <row r="1631" spans="1:13" s="141" customFormat="1" x14ac:dyDescent="0.2">
      <c r="A1631" s="193"/>
      <c r="B1631" s="194"/>
      <c r="C1631" s="195"/>
      <c r="D1631" s="256"/>
      <c r="E1631" s="196"/>
      <c r="F1631" s="196"/>
      <c r="G1631" s="196"/>
      <c r="H1631" s="196"/>
      <c r="I1631" s="197"/>
      <c r="J1631" s="226"/>
      <c r="K1631" s="227">
        <v>4000</v>
      </c>
      <c r="L1631" s="200"/>
      <c r="M1631" s="201"/>
    </row>
    <row r="1632" spans="1:13" s="141" customFormat="1" ht="20.25" customHeight="1" x14ac:dyDescent="0.2">
      <c r="A1632" s="172">
        <v>381</v>
      </c>
      <c r="B1632" s="173" t="s">
        <v>2145</v>
      </c>
      <c r="C1632" s="174"/>
      <c r="D1632" s="263" t="s">
        <v>107</v>
      </c>
      <c r="E1632" s="175"/>
      <c r="F1632" s="175"/>
      <c r="G1632" s="175"/>
      <c r="H1632" s="175"/>
      <c r="I1632" s="176" t="s">
        <v>2146</v>
      </c>
      <c r="J1632" s="259" t="s">
        <v>1036</v>
      </c>
      <c r="K1632" s="209">
        <f>K1639*40%</f>
        <v>1480</v>
      </c>
      <c r="L1632" s="179" t="s">
        <v>111</v>
      </c>
      <c r="M1632" s="180" t="s">
        <v>2147</v>
      </c>
    </row>
    <row r="1633" spans="1:13" s="141" customFormat="1" x14ac:dyDescent="0.2">
      <c r="A1633" s="182"/>
      <c r="B1633" s="183"/>
      <c r="C1633" s="184"/>
      <c r="D1633" s="255"/>
      <c r="E1633" s="185"/>
      <c r="F1633" s="185"/>
      <c r="G1633" s="185"/>
      <c r="H1633" s="185"/>
      <c r="I1633" s="192" t="s">
        <v>2121</v>
      </c>
      <c r="J1633" s="187" t="s">
        <v>1048</v>
      </c>
      <c r="K1633" s="213">
        <f>K1639*10%</f>
        <v>370</v>
      </c>
      <c r="L1633" s="189"/>
      <c r="M1633" s="190"/>
    </row>
    <row r="1634" spans="1:13" s="141" customFormat="1" x14ac:dyDescent="0.2">
      <c r="A1634" s="182"/>
      <c r="B1634" s="183"/>
      <c r="C1634" s="184"/>
      <c r="D1634" s="255"/>
      <c r="E1634" s="185"/>
      <c r="F1634" s="185"/>
      <c r="G1634" s="185"/>
      <c r="H1634" s="185"/>
      <c r="I1634" s="192" t="s">
        <v>2144</v>
      </c>
      <c r="J1634" s="187" t="s">
        <v>1048</v>
      </c>
      <c r="K1634" s="213">
        <f>K1639*10%</f>
        <v>370</v>
      </c>
      <c r="L1634" s="189"/>
      <c r="M1634" s="190"/>
    </row>
    <row r="1635" spans="1:13" s="141" customFormat="1" x14ac:dyDescent="0.2">
      <c r="A1635" s="182"/>
      <c r="B1635" s="183"/>
      <c r="C1635" s="184"/>
      <c r="D1635" s="255"/>
      <c r="E1635" s="185"/>
      <c r="F1635" s="185"/>
      <c r="G1635" s="185"/>
      <c r="H1635" s="185"/>
      <c r="I1635" s="192" t="s">
        <v>2148</v>
      </c>
      <c r="J1635" s="187" t="s">
        <v>1048</v>
      </c>
      <c r="K1635" s="213">
        <f>K1639*10%</f>
        <v>370</v>
      </c>
      <c r="L1635" s="189"/>
      <c r="M1635" s="190"/>
    </row>
    <row r="1636" spans="1:13" s="141" customFormat="1" x14ac:dyDescent="0.2">
      <c r="A1636" s="182"/>
      <c r="B1636" s="183"/>
      <c r="C1636" s="184"/>
      <c r="D1636" s="255"/>
      <c r="E1636" s="185"/>
      <c r="F1636" s="185"/>
      <c r="G1636" s="185"/>
      <c r="H1636" s="185"/>
      <c r="I1636" s="192" t="s">
        <v>2149</v>
      </c>
      <c r="J1636" s="223" t="s">
        <v>1048</v>
      </c>
      <c r="K1636" s="210">
        <f>K1639*10%</f>
        <v>370</v>
      </c>
      <c r="L1636" s="189"/>
      <c r="M1636" s="190"/>
    </row>
    <row r="1637" spans="1:13" s="141" customFormat="1" x14ac:dyDescent="0.2">
      <c r="A1637" s="182"/>
      <c r="B1637" s="183"/>
      <c r="C1637" s="184"/>
      <c r="D1637" s="255"/>
      <c r="E1637" s="185"/>
      <c r="F1637" s="185"/>
      <c r="G1637" s="185"/>
      <c r="H1637" s="185"/>
      <c r="I1637" s="283" t="s">
        <v>2142</v>
      </c>
      <c r="J1637" s="259" t="s">
        <v>1048</v>
      </c>
      <c r="K1637" s="240">
        <f>K1639*10%</f>
        <v>370</v>
      </c>
      <c r="L1637" s="189"/>
      <c r="M1637" s="190"/>
    </row>
    <row r="1638" spans="1:13" s="141" customFormat="1" ht="21.75" customHeight="1" x14ac:dyDescent="0.2">
      <c r="A1638" s="182"/>
      <c r="B1638" s="183"/>
      <c r="C1638" s="184"/>
      <c r="D1638" s="255"/>
      <c r="E1638" s="185"/>
      <c r="F1638" s="185"/>
      <c r="G1638" s="185"/>
      <c r="H1638" s="185"/>
      <c r="I1638" s="176" t="s">
        <v>2150</v>
      </c>
      <c r="J1638" s="223" t="s">
        <v>1048</v>
      </c>
      <c r="K1638" s="213">
        <f>K1639*10%</f>
        <v>370</v>
      </c>
      <c r="L1638" s="189"/>
      <c r="M1638" s="190"/>
    </row>
    <row r="1639" spans="1:13" s="141" customFormat="1" x14ac:dyDescent="0.2">
      <c r="A1639" s="193"/>
      <c r="B1639" s="194"/>
      <c r="C1639" s="195"/>
      <c r="D1639" s="256"/>
      <c r="E1639" s="196"/>
      <c r="F1639" s="196"/>
      <c r="G1639" s="196"/>
      <c r="H1639" s="196"/>
      <c r="I1639" s="206"/>
      <c r="J1639" s="226"/>
      <c r="K1639" s="215">
        <v>3700</v>
      </c>
      <c r="L1639" s="200"/>
      <c r="M1639" s="201"/>
    </row>
    <row r="1640" spans="1:13" s="141" customFormat="1" ht="23.25" customHeight="1" x14ac:dyDescent="0.2">
      <c r="A1640" s="172">
        <v>382</v>
      </c>
      <c r="B1640" s="173" t="s">
        <v>2151</v>
      </c>
      <c r="C1640" s="174"/>
      <c r="D1640" s="263" t="s">
        <v>107</v>
      </c>
      <c r="E1640" s="175"/>
      <c r="F1640" s="175"/>
      <c r="G1640" s="175"/>
      <c r="H1640" s="175"/>
      <c r="I1640" s="176" t="s">
        <v>2152</v>
      </c>
      <c r="J1640" s="177" t="s">
        <v>1036</v>
      </c>
      <c r="K1640" s="216">
        <f>K1647*25%</f>
        <v>875</v>
      </c>
      <c r="L1640" s="179" t="s">
        <v>111</v>
      </c>
      <c r="M1640" s="180" t="s">
        <v>2153</v>
      </c>
    </row>
    <row r="1641" spans="1:13" s="141" customFormat="1" x14ac:dyDescent="0.2">
      <c r="A1641" s="182"/>
      <c r="B1641" s="183"/>
      <c r="C1641" s="184"/>
      <c r="D1641" s="255"/>
      <c r="E1641" s="185"/>
      <c r="F1641" s="185"/>
      <c r="G1641" s="185"/>
      <c r="H1641" s="185"/>
      <c r="I1641" s="192" t="s">
        <v>2154</v>
      </c>
      <c r="J1641" s="223" t="s">
        <v>1048</v>
      </c>
      <c r="K1641" s="217">
        <f>K1647*50%</f>
        <v>1750</v>
      </c>
      <c r="L1641" s="189"/>
      <c r="M1641" s="190"/>
    </row>
    <row r="1642" spans="1:13" s="141" customFormat="1" x14ac:dyDescent="0.2">
      <c r="A1642" s="182"/>
      <c r="B1642" s="183"/>
      <c r="C1642" s="184"/>
      <c r="D1642" s="255"/>
      <c r="E1642" s="185"/>
      <c r="F1642" s="185"/>
      <c r="G1642" s="185"/>
      <c r="H1642" s="185"/>
      <c r="I1642" s="192" t="s">
        <v>2155</v>
      </c>
      <c r="J1642" s="223" t="s">
        <v>1048</v>
      </c>
      <c r="K1642" s="217">
        <f>K1647*5%</f>
        <v>175</v>
      </c>
      <c r="L1642" s="189"/>
      <c r="M1642" s="190"/>
    </row>
    <row r="1643" spans="1:13" s="141" customFormat="1" x14ac:dyDescent="0.2">
      <c r="A1643" s="182"/>
      <c r="B1643" s="183"/>
      <c r="C1643" s="184"/>
      <c r="D1643" s="255"/>
      <c r="E1643" s="185"/>
      <c r="F1643" s="185"/>
      <c r="G1643" s="185"/>
      <c r="H1643" s="185"/>
      <c r="I1643" s="192" t="s">
        <v>2156</v>
      </c>
      <c r="J1643" s="223" t="s">
        <v>1048</v>
      </c>
      <c r="K1643" s="217">
        <f>K1647*5%</f>
        <v>175</v>
      </c>
      <c r="L1643" s="189"/>
      <c r="M1643" s="190"/>
    </row>
    <row r="1644" spans="1:13" s="141" customFormat="1" x14ac:dyDescent="0.2">
      <c r="A1644" s="182"/>
      <c r="B1644" s="183"/>
      <c r="C1644" s="184"/>
      <c r="D1644" s="255"/>
      <c r="E1644" s="185"/>
      <c r="F1644" s="185"/>
      <c r="G1644" s="185"/>
      <c r="H1644" s="185"/>
      <c r="I1644" s="192" t="s">
        <v>2157</v>
      </c>
      <c r="J1644" s="223" t="s">
        <v>1048</v>
      </c>
      <c r="K1644" s="217">
        <f>K1647*5%</f>
        <v>175</v>
      </c>
      <c r="L1644" s="189"/>
      <c r="M1644" s="190"/>
    </row>
    <row r="1645" spans="1:13" s="141" customFormat="1" x14ac:dyDescent="0.2">
      <c r="A1645" s="182"/>
      <c r="B1645" s="183"/>
      <c r="C1645" s="184"/>
      <c r="D1645" s="255"/>
      <c r="E1645" s="185"/>
      <c r="F1645" s="185"/>
      <c r="G1645" s="185"/>
      <c r="H1645" s="185"/>
      <c r="I1645" s="192" t="s">
        <v>2158</v>
      </c>
      <c r="J1645" s="223" t="s">
        <v>1048</v>
      </c>
      <c r="K1645" s="217">
        <f>K1647*5%</f>
        <v>175</v>
      </c>
      <c r="L1645" s="189"/>
      <c r="M1645" s="190"/>
    </row>
    <row r="1646" spans="1:13" s="141" customFormat="1" x14ac:dyDescent="0.2">
      <c r="A1646" s="182"/>
      <c r="B1646" s="183"/>
      <c r="C1646" s="184"/>
      <c r="D1646" s="255"/>
      <c r="E1646" s="185"/>
      <c r="F1646" s="185"/>
      <c r="G1646" s="185"/>
      <c r="H1646" s="185"/>
      <c r="I1646" s="192" t="s">
        <v>2159</v>
      </c>
      <c r="J1646" s="223" t="s">
        <v>1048</v>
      </c>
      <c r="K1646" s="217">
        <f>K1647*5%</f>
        <v>175</v>
      </c>
      <c r="L1646" s="189"/>
      <c r="M1646" s="190"/>
    </row>
    <row r="1647" spans="1:13" s="141" customFormat="1" x14ac:dyDescent="0.2">
      <c r="A1647" s="193"/>
      <c r="B1647" s="194"/>
      <c r="C1647" s="195"/>
      <c r="D1647" s="256"/>
      <c r="E1647" s="196"/>
      <c r="F1647" s="196"/>
      <c r="G1647" s="196"/>
      <c r="H1647" s="196"/>
      <c r="I1647" s="197"/>
      <c r="J1647" s="226"/>
      <c r="K1647" s="227">
        <v>3500</v>
      </c>
      <c r="L1647" s="200"/>
      <c r="M1647" s="201"/>
    </row>
    <row r="1648" spans="1:13" s="141" customFormat="1" ht="39.75" customHeight="1" x14ac:dyDescent="0.2">
      <c r="A1648" s="316">
        <v>383</v>
      </c>
      <c r="B1648" s="173" t="s">
        <v>2160</v>
      </c>
      <c r="C1648" s="174"/>
      <c r="D1648" s="320" t="s">
        <v>107</v>
      </c>
      <c r="E1648" s="321"/>
      <c r="F1648" s="321"/>
      <c r="G1648" s="321"/>
      <c r="H1648" s="321"/>
      <c r="I1648" s="197" t="s">
        <v>2161</v>
      </c>
      <c r="J1648" s="226" t="s">
        <v>1048</v>
      </c>
      <c r="K1648" s="271">
        <v>18000</v>
      </c>
      <c r="L1648" s="323" t="s">
        <v>111</v>
      </c>
      <c r="M1648" s="272" t="s">
        <v>2162</v>
      </c>
    </row>
    <row r="1649" spans="1:13" s="141" customFormat="1" ht="45" customHeight="1" x14ac:dyDescent="0.2">
      <c r="A1649" s="316">
        <v>384</v>
      </c>
      <c r="B1649" s="173" t="s">
        <v>2163</v>
      </c>
      <c r="C1649" s="174"/>
      <c r="D1649" s="320" t="s">
        <v>107</v>
      </c>
      <c r="E1649" s="321"/>
      <c r="F1649" s="321"/>
      <c r="G1649" s="321"/>
      <c r="H1649" s="321"/>
      <c r="I1649" s="197" t="s">
        <v>2164</v>
      </c>
      <c r="J1649" s="226" t="s">
        <v>1048</v>
      </c>
      <c r="K1649" s="271">
        <v>18000</v>
      </c>
      <c r="L1649" s="323" t="s">
        <v>111</v>
      </c>
      <c r="M1649" s="272" t="s">
        <v>2165</v>
      </c>
    </row>
    <row r="1650" spans="1:13" s="141" customFormat="1" ht="75" customHeight="1" x14ac:dyDescent="0.2">
      <c r="A1650" s="316">
        <v>385</v>
      </c>
      <c r="B1650" s="398" t="s">
        <v>2166</v>
      </c>
      <c r="C1650" s="398"/>
      <c r="D1650" s="463" t="s">
        <v>25</v>
      </c>
      <c r="E1650" s="321"/>
      <c r="F1650" s="321" t="s">
        <v>1312</v>
      </c>
      <c r="G1650" s="321" t="s">
        <v>2167</v>
      </c>
      <c r="H1650" s="464" t="s">
        <v>1172</v>
      </c>
      <c r="I1650" s="465" t="s">
        <v>2168</v>
      </c>
      <c r="J1650" s="466" t="s">
        <v>1048</v>
      </c>
      <c r="K1650" s="291">
        <v>420000</v>
      </c>
      <c r="L1650" s="406" t="s">
        <v>2167</v>
      </c>
      <c r="M1650" s="290" t="s">
        <v>2169</v>
      </c>
    </row>
    <row r="1651" spans="1:13" s="141" customFormat="1" ht="75" customHeight="1" x14ac:dyDescent="0.2">
      <c r="A1651" s="316">
        <v>386</v>
      </c>
      <c r="B1651" s="398" t="s">
        <v>2170</v>
      </c>
      <c r="C1651" s="398"/>
      <c r="D1651" s="463" t="s">
        <v>25</v>
      </c>
      <c r="E1651" s="321"/>
      <c r="F1651" s="321" t="s">
        <v>1312</v>
      </c>
      <c r="G1651" s="321" t="s">
        <v>2171</v>
      </c>
      <c r="H1651" s="464" t="s">
        <v>361</v>
      </c>
      <c r="I1651" s="465" t="s">
        <v>2168</v>
      </c>
      <c r="J1651" s="466" t="s">
        <v>1048</v>
      </c>
      <c r="K1651" s="291">
        <v>400000</v>
      </c>
      <c r="L1651" s="406" t="s">
        <v>2171</v>
      </c>
      <c r="M1651" s="290" t="s">
        <v>2172</v>
      </c>
    </row>
    <row r="1652" spans="1:13" s="141" customFormat="1" ht="75" customHeight="1" x14ac:dyDescent="0.2">
      <c r="A1652" s="316">
        <v>387</v>
      </c>
      <c r="B1652" s="324" t="s">
        <v>2173</v>
      </c>
      <c r="C1652" s="325"/>
      <c r="D1652" s="321" t="s">
        <v>107</v>
      </c>
      <c r="E1652" s="321"/>
      <c r="F1652" s="321"/>
      <c r="G1652" s="321"/>
      <c r="H1652" s="321"/>
      <c r="I1652" s="289" t="s">
        <v>2174</v>
      </c>
      <c r="J1652" s="290" t="s">
        <v>1048</v>
      </c>
      <c r="K1652" s="291">
        <v>40000</v>
      </c>
      <c r="L1652" s="319" t="s">
        <v>111</v>
      </c>
      <c r="M1652" s="272" t="s">
        <v>2175</v>
      </c>
    </row>
    <row r="1653" spans="1:13" s="141" customFormat="1" ht="75" customHeight="1" x14ac:dyDescent="0.2">
      <c r="A1653" s="316">
        <v>388</v>
      </c>
      <c r="B1653" s="324" t="s">
        <v>2176</v>
      </c>
      <c r="C1653" s="325"/>
      <c r="D1653" s="321" t="s">
        <v>107</v>
      </c>
      <c r="E1653" s="321"/>
      <c r="F1653" s="321"/>
      <c r="G1653" s="321"/>
      <c r="H1653" s="321"/>
      <c r="I1653" s="289" t="s">
        <v>2177</v>
      </c>
      <c r="J1653" s="290" t="s">
        <v>1048</v>
      </c>
      <c r="K1653" s="291">
        <v>35000</v>
      </c>
      <c r="L1653" s="319" t="s">
        <v>111</v>
      </c>
      <c r="M1653" s="272" t="s">
        <v>2178</v>
      </c>
    </row>
    <row r="1654" spans="1:13" s="141" customFormat="1" ht="75" customHeight="1" x14ac:dyDescent="0.2">
      <c r="A1654" s="316">
        <v>389</v>
      </c>
      <c r="B1654" s="324" t="s">
        <v>2179</v>
      </c>
      <c r="C1654" s="325"/>
      <c r="D1654" s="321" t="s">
        <v>107</v>
      </c>
      <c r="E1654" s="321"/>
      <c r="F1654" s="321"/>
      <c r="G1654" s="321"/>
      <c r="H1654" s="321"/>
      <c r="I1654" s="289" t="s">
        <v>2177</v>
      </c>
      <c r="J1654" s="290" t="s">
        <v>1048</v>
      </c>
      <c r="K1654" s="291">
        <v>25000</v>
      </c>
      <c r="L1654" s="319" t="s">
        <v>111</v>
      </c>
      <c r="M1654" s="272" t="s">
        <v>2180</v>
      </c>
    </row>
    <row r="1655" spans="1:13" s="141" customFormat="1" ht="75" customHeight="1" x14ac:dyDescent="0.2">
      <c r="A1655" s="316">
        <v>390</v>
      </c>
      <c r="B1655" s="324" t="s">
        <v>2181</v>
      </c>
      <c r="C1655" s="325"/>
      <c r="D1655" s="321" t="s">
        <v>107</v>
      </c>
      <c r="E1655" s="321"/>
      <c r="F1655" s="321"/>
      <c r="G1655" s="321"/>
      <c r="H1655" s="321"/>
      <c r="I1655" s="289" t="s">
        <v>2182</v>
      </c>
      <c r="J1655" s="290" t="s">
        <v>1048</v>
      </c>
      <c r="K1655" s="291">
        <v>30000</v>
      </c>
      <c r="L1655" s="319" t="s">
        <v>111</v>
      </c>
      <c r="M1655" s="272" t="s">
        <v>2183</v>
      </c>
    </row>
    <row r="1656" spans="1:13" s="141" customFormat="1" ht="75" customHeight="1" x14ac:dyDescent="0.2">
      <c r="A1656" s="316">
        <v>391</v>
      </c>
      <c r="B1656" s="324" t="s">
        <v>2184</v>
      </c>
      <c r="C1656" s="325"/>
      <c r="D1656" s="321" t="s">
        <v>107</v>
      </c>
      <c r="E1656" s="321"/>
      <c r="F1656" s="321"/>
      <c r="G1656" s="321"/>
      <c r="H1656" s="321"/>
      <c r="I1656" s="289" t="s">
        <v>2177</v>
      </c>
      <c r="J1656" s="290" t="s">
        <v>1048</v>
      </c>
      <c r="K1656" s="291">
        <v>20000</v>
      </c>
      <c r="L1656" s="319" t="s">
        <v>111</v>
      </c>
      <c r="M1656" s="272" t="s">
        <v>2185</v>
      </c>
    </row>
    <row r="1657" spans="1:13" s="141" customFormat="1" ht="28.5" customHeight="1" x14ac:dyDescent="0.2">
      <c r="A1657" s="172">
        <v>392</v>
      </c>
      <c r="B1657" s="299" t="s">
        <v>2186</v>
      </c>
      <c r="C1657" s="300"/>
      <c r="D1657" s="175" t="s">
        <v>107</v>
      </c>
      <c r="E1657" s="175"/>
      <c r="F1657" s="175"/>
      <c r="G1657" s="175"/>
      <c r="H1657" s="175"/>
      <c r="I1657" s="283" t="s">
        <v>2187</v>
      </c>
      <c r="J1657" s="284" t="s">
        <v>1048</v>
      </c>
      <c r="K1657" s="285">
        <f>25000*60%</f>
        <v>15000</v>
      </c>
      <c r="L1657" s="180" t="s">
        <v>111</v>
      </c>
      <c r="M1657" s="180" t="s">
        <v>2188</v>
      </c>
    </row>
    <row r="1658" spans="1:13" s="141" customFormat="1" ht="27.75" customHeight="1" x14ac:dyDescent="0.2">
      <c r="A1658" s="182"/>
      <c r="B1658" s="294"/>
      <c r="C1658" s="295"/>
      <c r="D1658" s="185"/>
      <c r="E1658" s="185"/>
      <c r="F1658" s="185"/>
      <c r="G1658" s="185"/>
      <c r="H1658" s="185"/>
      <c r="I1658" s="192" t="s">
        <v>2189</v>
      </c>
      <c r="J1658" s="279" t="s">
        <v>1048</v>
      </c>
      <c r="K1658" s="225">
        <f>25000*20%</f>
        <v>5000</v>
      </c>
      <c r="L1658" s="190"/>
      <c r="M1658" s="190"/>
    </row>
    <row r="1659" spans="1:13" s="141" customFormat="1" ht="28.5" customHeight="1" x14ac:dyDescent="0.2">
      <c r="A1659" s="182"/>
      <c r="B1659" s="294"/>
      <c r="C1659" s="295"/>
      <c r="D1659" s="185"/>
      <c r="E1659" s="185"/>
      <c r="F1659" s="185"/>
      <c r="G1659" s="185"/>
      <c r="H1659" s="185"/>
      <c r="I1659" s="192" t="s">
        <v>2190</v>
      </c>
      <c r="J1659" s="279" t="s">
        <v>1048</v>
      </c>
      <c r="K1659" s="225">
        <f>25000*20%</f>
        <v>5000</v>
      </c>
      <c r="L1659" s="190"/>
      <c r="M1659" s="190"/>
    </row>
    <row r="1660" spans="1:13" s="141" customFormat="1" ht="29.25" customHeight="1" x14ac:dyDescent="0.2">
      <c r="A1660" s="193"/>
      <c r="B1660" s="296"/>
      <c r="C1660" s="297"/>
      <c r="D1660" s="196"/>
      <c r="E1660" s="196"/>
      <c r="F1660" s="196"/>
      <c r="G1660" s="196"/>
      <c r="H1660" s="196"/>
      <c r="I1660" s="197"/>
      <c r="J1660" s="392"/>
      <c r="K1660" s="298">
        <f>SUM(K1657:K1659)</f>
        <v>25000</v>
      </c>
      <c r="L1660" s="201"/>
      <c r="M1660" s="201"/>
    </row>
    <row r="1661" spans="1:13" s="141" customFormat="1" ht="29.25" customHeight="1" x14ac:dyDescent="0.2">
      <c r="A1661" s="172">
        <v>393</v>
      </c>
      <c r="B1661" s="173" t="s">
        <v>2191</v>
      </c>
      <c r="C1661" s="174"/>
      <c r="D1661" s="175" t="s">
        <v>107</v>
      </c>
      <c r="E1661" s="175"/>
      <c r="F1661" s="175"/>
      <c r="G1661" s="175"/>
      <c r="H1661" s="258"/>
      <c r="I1661" s="322" t="s">
        <v>2192</v>
      </c>
      <c r="J1661" s="272" t="s">
        <v>1048</v>
      </c>
      <c r="K1661" s="383">
        <f>3500*70%</f>
        <v>2450</v>
      </c>
      <c r="L1661" s="174" t="s">
        <v>111</v>
      </c>
      <c r="M1661" s="180" t="s">
        <v>2193</v>
      </c>
    </row>
    <row r="1662" spans="1:13" s="141" customFormat="1" ht="29.25" customHeight="1" x14ac:dyDescent="0.2">
      <c r="A1662" s="182"/>
      <c r="B1662" s="183"/>
      <c r="C1662" s="184"/>
      <c r="D1662" s="185"/>
      <c r="E1662" s="185"/>
      <c r="F1662" s="185"/>
      <c r="G1662" s="185"/>
      <c r="H1662" s="260"/>
      <c r="I1662" s="192" t="s">
        <v>2136</v>
      </c>
      <c r="J1662" s="187" t="s">
        <v>1048</v>
      </c>
      <c r="K1662" s="225">
        <f>3500*5%</f>
        <v>175</v>
      </c>
      <c r="L1662" s="184"/>
      <c r="M1662" s="190"/>
    </row>
    <row r="1663" spans="1:13" s="141" customFormat="1" ht="29.25" customHeight="1" x14ac:dyDescent="0.2">
      <c r="A1663" s="182"/>
      <c r="B1663" s="183"/>
      <c r="C1663" s="184"/>
      <c r="D1663" s="185"/>
      <c r="E1663" s="185"/>
      <c r="F1663" s="185"/>
      <c r="G1663" s="185"/>
      <c r="H1663" s="260"/>
      <c r="I1663" s="192" t="s">
        <v>2194</v>
      </c>
      <c r="J1663" s="187" t="s">
        <v>1048</v>
      </c>
      <c r="K1663" s="225">
        <f t="shared" ref="K1663:K1667" si="43">3500*5%</f>
        <v>175</v>
      </c>
      <c r="L1663" s="184"/>
      <c r="M1663" s="190"/>
    </row>
    <row r="1664" spans="1:13" s="141" customFormat="1" ht="29.25" customHeight="1" x14ac:dyDescent="0.2">
      <c r="A1664" s="182"/>
      <c r="B1664" s="183"/>
      <c r="C1664" s="184"/>
      <c r="D1664" s="185"/>
      <c r="E1664" s="185"/>
      <c r="F1664" s="185"/>
      <c r="G1664" s="185"/>
      <c r="H1664" s="260"/>
      <c r="I1664" s="192" t="s">
        <v>2195</v>
      </c>
      <c r="J1664" s="177" t="s">
        <v>1048</v>
      </c>
      <c r="K1664" s="393">
        <f t="shared" si="43"/>
        <v>175</v>
      </c>
      <c r="L1664" s="184"/>
      <c r="M1664" s="190"/>
    </row>
    <row r="1665" spans="1:13" s="141" customFormat="1" ht="29.25" customHeight="1" x14ac:dyDescent="0.2">
      <c r="A1665" s="182"/>
      <c r="B1665" s="183"/>
      <c r="C1665" s="184"/>
      <c r="D1665" s="185"/>
      <c r="E1665" s="185"/>
      <c r="F1665" s="185"/>
      <c r="G1665" s="185"/>
      <c r="H1665" s="260"/>
      <c r="I1665" s="192" t="s">
        <v>2196</v>
      </c>
      <c r="J1665" s="191" t="s">
        <v>1048</v>
      </c>
      <c r="K1665" s="225">
        <f t="shared" si="43"/>
        <v>175</v>
      </c>
      <c r="L1665" s="184"/>
      <c r="M1665" s="190"/>
    </row>
    <row r="1666" spans="1:13" s="141" customFormat="1" ht="29.25" customHeight="1" x14ac:dyDescent="0.2">
      <c r="A1666" s="182"/>
      <c r="B1666" s="183"/>
      <c r="C1666" s="184"/>
      <c r="D1666" s="185"/>
      <c r="E1666" s="185"/>
      <c r="F1666" s="185"/>
      <c r="G1666" s="185"/>
      <c r="H1666" s="260"/>
      <c r="I1666" s="176" t="s">
        <v>2036</v>
      </c>
      <c r="J1666" s="187" t="s">
        <v>1048</v>
      </c>
      <c r="K1666" s="393">
        <f t="shared" si="43"/>
        <v>175</v>
      </c>
      <c r="L1666" s="184"/>
      <c r="M1666" s="190"/>
    </row>
    <row r="1667" spans="1:13" s="141" customFormat="1" ht="29.25" customHeight="1" x14ac:dyDescent="0.2">
      <c r="A1667" s="182"/>
      <c r="B1667" s="183"/>
      <c r="C1667" s="184"/>
      <c r="D1667" s="185"/>
      <c r="E1667" s="185"/>
      <c r="F1667" s="185"/>
      <c r="G1667" s="185"/>
      <c r="H1667" s="260"/>
      <c r="I1667" s="192" t="s">
        <v>2197</v>
      </c>
      <c r="J1667" s="187" t="s">
        <v>1048</v>
      </c>
      <c r="K1667" s="225">
        <f t="shared" si="43"/>
        <v>175</v>
      </c>
      <c r="L1667" s="184"/>
      <c r="M1667" s="190"/>
    </row>
    <row r="1668" spans="1:13" s="141" customFormat="1" ht="29.25" customHeight="1" x14ac:dyDescent="0.2">
      <c r="A1668" s="193"/>
      <c r="B1668" s="194"/>
      <c r="C1668" s="195"/>
      <c r="D1668" s="196"/>
      <c r="E1668" s="196"/>
      <c r="F1668" s="196"/>
      <c r="G1668" s="196"/>
      <c r="H1668" s="262"/>
      <c r="I1668" s="197"/>
      <c r="J1668" s="226"/>
      <c r="K1668" s="298">
        <f>SUM(K1661:K1667)</f>
        <v>3500</v>
      </c>
      <c r="L1668" s="195"/>
      <c r="M1668" s="201"/>
    </row>
    <row r="1669" spans="1:13" s="141" customFormat="1" x14ac:dyDescent="0.2">
      <c r="A1669" s="182">
        <v>394</v>
      </c>
      <c r="B1669" s="183" t="s">
        <v>2198</v>
      </c>
      <c r="C1669" s="184"/>
      <c r="D1669" s="185" t="s">
        <v>107</v>
      </c>
      <c r="E1669" s="185"/>
      <c r="F1669" s="185"/>
      <c r="G1669" s="185"/>
      <c r="H1669" s="185" t="s">
        <v>137</v>
      </c>
      <c r="I1669" s="283" t="s">
        <v>2199</v>
      </c>
      <c r="J1669" s="315" t="s">
        <v>592</v>
      </c>
      <c r="K1669" s="253">
        <f>12000*75%</f>
        <v>9000</v>
      </c>
      <c r="L1669" s="189" t="s">
        <v>111</v>
      </c>
      <c r="M1669" s="190" t="s">
        <v>2200</v>
      </c>
    </row>
    <row r="1670" spans="1:13" s="141" customFormat="1" x14ac:dyDescent="0.2">
      <c r="A1670" s="182"/>
      <c r="B1670" s="183"/>
      <c r="C1670" s="184"/>
      <c r="D1670" s="185"/>
      <c r="E1670" s="185"/>
      <c r="F1670" s="185"/>
      <c r="G1670" s="185"/>
      <c r="H1670" s="185"/>
      <c r="I1670" s="176" t="s">
        <v>2201</v>
      </c>
      <c r="J1670" s="177" t="s">
        <v>365</v>
      </c>
      <c r="K1670" s="240">
        <f>12000*15%</f>
        <v>1800</v>
      </c>
      <c r="L1670" s="189"/>
      <c r="M1670" s="190"/>
    </row>
    <row r="1671" spans="1:13" s="141" customFormat="1" x14ac:dyDescent="0.2">
      <c r="A1671" s="182"/>
      <c r="B1671" s="183"/>
      <c r="C1671" s="184"/>
      <c r="D1671" s="185"/>
      <c r="E1671" s="185"/>
      <c r="F1671" s="185"/>
      <c r="G1671" s="185"/>
      <c r="H1671" s="185"/>
      <c r="I1671" s="192" t="s">
        <v>2202</v>
      </c>
      <c r="J1671" s="223" t="s">
        <v>592</v>
      </c>
      <c r="K1671" s="213">
        <f>12000*10%</f>
        <v>1200</v>
      </c>
      <c r="L1671" s="189"/>
      <c r="M1671" s="190"/>
    </row>
    <row r="1672" spans="1:13" s="141" customFormat="1" x14ac:dyDescent="0.2">
      <c r="A1672" s="193"/>
      <c r="B1672" s="194"/>
      <c r="C1672" s="195"/>
      <c r="D1672" s="196"/>
      <c r="E1672" s="196"/>
      <c r="F1672" s="196"/>
      <c r="G1672" s="196"/>
      <c r="H1672" s="196"/>
      <c r="I1672" s="197"/>
      <c r="J1672" s="226"/>
      <c r="K1672" s="467">
        <f>SUM(K1669:K1671)</f>
        <v>12000</v>
      </c>
      <c r="L1672" s="195"/>
      <c r="M1672" s="201"/>
    </row>
    <row r="1673" spans="1:13" s="141" customFormat="1" x14ac:dyDescent="0.2">
      <c r="A1673" s="172">
        <v>395</v>
      </c>
      <c r="B1673" s="173" t="s">
        <v>2203</v>
      </c>
      <c r="C1673" s="174"/>
      <c r="D1673" s="175" t="s">
        <v>107</v>
      </c>
      <c r="E1673" s="175"/>
      <c r="F1673" s="175"/>
      <c r="G1673" s="175"/>
      <c r="H1673" s="258" t="s">
        <v>164</v>
      </c>
      <c r="I1673" s="228" t="s">
        <v>2204</v>
      </c>
      <c r="J1673" s="275" t="s">
        <v>373</v>
      </c>
      <c r="K1673" s="276">
        <f>9000*50%</f>
        <v>4500</v>
      </c>
      <c r="L1673" s="174" t="s">
        <v>111</v>
      </c>
      <c r="M1673" s="180" t="s">
        <v>2205</v>
      </c>
    </row>
    <row r="1674" spans="1:13" s="141" customFormat="1" x14ac:dyDescent="0.2">
      <c r="A1674" s="182"/>
      <c r="B1674" s="183"/>
      <c r="C1674" s="184"/>
      <c r="D1674" s="185"/>
      <c r="E1674" s="185"/>
      <c r="F1674" s="185"/>
      <c r="G1674" s="185"/>
      <c r="H1674" s="260"/>
      <c r="I1674" s="192" t="s">
        <v>1510</v>
      </c>
      <c r="J1674" s="279" t="s">
        <v>373</v>
      </c>
      <c r="K1674" s="225">
        <f>9000*20%</f>
        <v>1800</v>
      </c>
      <c r="L1674" s="184"/>
      <c r="M1674" s="190"/>
    </row>
    <row r="1675" spans="1:13" s="141" customFormat="1" ht="24" customHeight="1" x14ac:dyDescent="0.2">
      <c r="A1675" s="182"/>
      <c r="B1675" s="183"/>
      <c r="C1675" s="184"/>
      <c r="D1675" s="185"/>
      <c r="E1675" s="185"/>
      <c r="F1675" s="185"/>
      <c r="G1675" s="185"/>
      <c r="H1675" s="260"/>
      <c r="I1675" s="192" t="s">
        <v>1511</v>
      </c>
      <c r="J1675" s="279" t="s">
        <v>373</v>
      </c>
      <c r="K1675" s="225">
        <f>9000*20%</f>
        <v>1800</v>
      </c>
      <c r="L1675" s="184"/>
      <c r="M1675" s="190"/>
    </row>
    <row r="1676" spans="1:13" s="141" customFormat="1" x14ac:dyDescent="0.2">
      <c r="A1676" s="182"/>
      <c r="B1676" s="183"/>
      <c r="C1676" s="184"/>
      <c r="D1676" s="185"/>
      <c r="E1676" s="185"/>
      <c r="F1676" s="185"/>
      <c r="G1676" s="185"/>
      <c r="H1676" s="260"/>
      <c r="I1676" s="192" t="s">
        <v>2206</v>
      </c>
      <c r="J1676" s="279" t="s">
        <v>373</v>
      </c>
      <c r="K1676" s="225">
        <f>9000*10%</f>
        <v>900</v>
      </c>
      <c r="L1676" s="184"/>
      <c r="M1676" s="190"/>
    </row>
    <row r="1677" spans="1:13" s="141" customFormat="1" x14ac:dyDescent="0.2">
      <c r="A1677" s="193"/>
      <c r="B1677" s="194"/>
      <c r="C1677" s="195"/>
      <c r="D1677" s="196"/>
      <c r="E1677" s="196"/>
      <c r="F1677" s="196"/>
      <c r="G1677" s="196"/>
      <c r="H1677" s="262"/>
      <c r="I1677" s="206"/>
      <c r="J1677" s="282"/>
      <c r="K1677" s="257">
        <f>SUM(K1673:K1676)</f>
        <v>9000</v>
      </c>
      <c r="L1677" s="195"/>
      <c r="M1677" s="201"/>
    </row>
    <row r="1678" spans="1:13" s="141" customFormat="1" x14ac:dyDescent="0.2">
      <c r="A1678" s="172">
        <v>396</v>
      </c>
      <c r="B1678" s="173" t="s">
        <v>2207</v>
      </c>
      <c r="C1678" s="174"/>
      <c r="D1678" s="175" t="s">
        <v>107</v>
      </c>
      <c r="E1678" s="175"/>
      <c r="F1678" s="175"/>
      <c r="G1678" s="175"/>
      <c r="H1678" s="258" t="s">
        <v>108</v>
      </c>
      <c r="I1678" s="283" t="s">
        <v>2208</v>
      </c>
      <c r="J1678" s="284" t="s">
        <v>373</v>
      </c>
      <c r="K1678" s="285">
        <f>9000*40%</f>
        <v>3600</v>
      </c>
      <c r="L1678" s="174" t="s">
        <v>111</v>
      </c>
      <c r="M1678" s="180" t="s">
        <v>2209</v>
      </c>
    </row>
    <row r="1679" spans="1:13" s="141" customFormat="1" x14ac:dyDescent="0.2">
      <c r="A1679" s="182"/>
      <c r="B1679" s="183"/>
      <c r="C1679" s="184"/>
      <c r="D1679" s="185"/>
      <c r="E1679" s="185"/>
      <c r="F1679" s="185"/>
      <c r="G1679" s="185"/>
      <c r="H1679" s="260"/>
      <c r="I1679" s="192" t="s">
        <v>2210</v>
      </c>
      <c r="J1679" s="279" t="s">
        <v>373</v>
      </c>
      <c r="K1679" s="225">
        <f>9000*35%</f>
        <v>3150</v>
      </c>
      <c r="L1679" s="184"/>
      <c r="M1679" s="190"/>
    </row>
    <row r="1680" spans="1:13" s="141" customFormat="1" x14ac:dyDescent="0.2">
      <c r="A1680" s="182"/>
      <c r="B1680" s="183"/>
      <c r="C1680" s="184"/>
      <c r="D1680" s="185"/>
      <c r="E1680" s="185"/>
      <c r="F1680" s="185"/>
      <c r="G1680" s="185"/>
      <c r="H1680" s="260"/>
      <c r="I1680" s="192" t="s">
        <v>2211</v>
      </c>
      <c r="J1680" s="279" t="s">
        <v>373</v>
      </c>
      <c r="K1680" s="225">
        <f>9000*15%</f>
        <v>1350</v>
      </c>
      <c r="L1680" s="184"/>
      <c r="M1680" s="190"/>
    </row>
    <row r="1681" spans="1:13" s="141" customFormat="1" x14ac:dyDescent="0.2">
      <c r="A1681" s="182"/>
      <c r="B1681" s="183"/>
      <c r="C1681" s="184"/>
      <c r="D1681" s="185"/>
      <c r="E1681" s="185"/>
      <c r="F1681" s="185"/>
      <c r="G1681" s="185"/>
      <c r="H1681" s="260"/>
      <c r="I1681" s="192" t="s">
        <v>2212</v>
      </c>
      <c r="J1681" s="279" t="s">
        <v>373</v>
      </c>
      <c r="K1681" s="225">
        <f>9000*10%</f>
        <v>900</v>
      </c>
      <c r="L1681" s="184"/>
      <c r="M1681" s="190"/>
    </row>
    <row r="1682" spans="1:13" s="141" customFormat="1" x14ac:dyDescent="0.2">
      <c r="A1682" s="193"/>
      <c r="B1682" s="194"/>
      <c r="C1682" s="195"/>
      <c r="D1682" s="196"/>
      <c r="E1682" s="196"/>
      <c r="F1682" s="196"/>
      <c r="G1682" s="196"/>
      <c r="H1682" s="262"/>
      <c r="I1682" s="186"/>
      <c r="J1682" s="304"/>
      <c r="K1682" s="261">
        <f>SUM(K1678:K1681)</f>
        <v>9000</v>
      </c>
      <c r="L1682" s="195"/>
      <c r="M1682" s="201"/>
    </row>
    <row r="1683" spans="1:13" s="141" customFormat="1" x14ac:dyDescent="0.2">
      <c r="A1683" s="172">
        <v>397</v>
      </c>
      <c r="B1683" s="173" t="s">
        <v>2213</v>
      </c>
      <c r="C1683" s="174"/>
      <c r="D1683" s="175" t="s">
        <v>107</v>
      </c>
      <c r="E1683" s="175"/>
      <c r="F1683" s="175"/>
      <c r="G1683" s="175"/>
      <c r="H1683" s="258"/>
      <c r="I1683" s="228" t="s">
        <v>2214</v>
      </c>
      <c r="J1683" s="275" t="s">
        <v>373</v>
      </c>
      <c r="K1683" s="276">
        <f>9000*90%</f>
        <v>8100</v>
      </c>
      <c r="L1683" s="174" t="s">
        <v>111</v>
      </c>
      <c r="M1683" s="180" t="s">
        <v>2215</v>
      </c>
    </row>
    <row r="1684" spans="1:13" s="141" customFormat="1" x14ac:dyDescent="0.2">
      <c r="A1684" s="182"/>
      <c r="B1684" s="183"/>
      <c r="C1684" s="184"/>
      <c r="D1684" s="185"/>
      <c r="E1684" s="185"/>
      <c r="F1684" s="185"/>
      <c r="G1684" s="185"/>
      <c r="H1684" s="260"/>
      <c r="I1684" s="192" t="s">
        <v>2216</v>
      </c>
      <c r="J1684" s="279" t="s">
        <v>373</v>
      </c>
      <c r="K1684" s="225">
        <f>9000*10%</f>
        <v>900</v>
      </c>
      <c r="L1684" s="184"/>
      <c r="M1684" s="190"/>
    </row>
    <row r="1685" spans="1:13" s="141" customFormat="1" x14ac:dyDescent="0.2">
      <c r="A1685" s="193"/>
      <c r="B1685" s="194"/>
      <c r="C1685" s="195"/>
      <c r="D1685" s="196"/>
      <c r="E1685" s="196"/>
      <c r="F1685" s="196"/>
      <c r="G1685" s="196"/>
      <c r="H1685" s="262"/>
      <c r="I1685" s="206"/>
      <c r="J1685" s="282"/>
      <c r="K1685" s="257">
        <f>SUM(K1683:K1684)</f>
        <v>9000</v>
      </c>
      <c r="L1685" s="195"/>
      <c r="M1685" s="201"/>
    </row>
    <row r="1686" spans="1:13" s="141" customFormat="1" x14ac:dyDescent="0.2">
      <c r="A1686" s="172">
        <v>398</v>
      </c>
      <c r="B1686" s="173" t="s">
        <v>2217</v>
      </c>
      <c r="C1686" s="174"/>
      <c r="D1686" s="175" t="s">
        <v>107</v>
      </c>
      <c r="E1686" s="175"/>
      <c r="F1686" s="175"/>
      <c r="G1686" s="175"/>
      <c r="H1686" s="258"/>
      <c r="I1686" s="283" t="s">
        <v>2218</v>
      </c>
      <c r="J1686" s="284" t="s">
        <v>373</v>
      </c>
      <c r="K1686" s="285">
        <f>9000*50%</f>
        <v>4500</v>
      </c>
      <c r="L1686" s="174" t="s">
        <v>111</v>
      </c>
      <c r="M1686" s="180" t="s">
        <v>2219</v>
      </c>
    </row>
    <row r="1687" spans="1:13" s="141" customFormat="1" x14ac:dyDescent="0.2">
      <c r="A1687" s="182"/>
      <c r="B1687" s="183"/>
      <c r="C1687" s="184"/>
      <c r="D1687" s="185"/>
      <c r="E1687" s="185"/>
      <c r="F1687" s="185"/>
      <c r="G1687" s="185"/>
      <c r="H1687" s="260"/>
      <c r="I1687" s="192" t="s">
        <v>1698</v>
      </c>
      <c r="J1687" s="279" t="s">
        <v>373</v>
      </c>
      <c r="K1687" s="225">
        <f>9000*20%</f>
        <v>1800</v>
      </c>
      <c r="L1687" s="184"/>
      <c r="M1687" s="190"/>
    </row>
    <row r="1688" spans="1:13" s="141" customFormat="1" x14ac:dyDescent="0.2">
      <c r="A1688" s="182"/>
      <c r="B1688" s="183"/>
      <c r="C1688" s="184"/>
      <c r="D1688" s="185"/>
      <c r="E1688" s="185"/>
      <c r="F1688" s="185"/>
      <c r="G1688" s="185"/>
      <c r="H1688" s="260"/>
      <c r="I1688" s="192" t="s">
        <v>2220</v>
      </c>
      <c r="J1688" s="279" t="s">
        <v>373</v>
      </c>
      <c r="K1688" s="225">
        <f>9000*20%</f>
        <v>1800</v>
      </c>
      <c r="L1688" s="184"/>
      <c r="M1688" s="190"/>
    </row>
    <row r="1689" spans="1:13" s="141" customFormat="1" x14ac:dyDescent="0.2">
      <c r="A1689" s="182"/>
      <c r="B1689" s="183"/>
      <c r="C1689" s="184"/>
      <c r="D1689" s="185"/>
      <c r="E1689" s="185"/>
      <c r="F1689" s="185"/>
      <c r="G1689" s="185"/>
      <c r="H1689" s="260"/>
      <c r="I1689" s="192" t="s">
        <v>2221</v>
      </c>
      <c r="J1689" s="279" t="s">
        <v>190</v>
      </c>
      <c r="K1689" s="225">
        <f>9000*10%</f>
        <v>900</v>
      </c>
      <c r="L1689" s="184"/>
      <c r="M1689" s="190"/>
    </row>
    <row r="1690" spans="1:13" s="141" customFormat="1" x14ac:dyDescent="0.2">
      <c r="A1690" s="193"/>
      <c r="B1690" s="194"/>
      <c r="C1690" s="195"/>
      <c r="D1690" s="196"/>
      <c r="E1690" s="196"/>
      <c r="F1690" s="196"/>
      <c r="G1690" s="196"/>
      <c r="H1690" s="262"/>
      <c r="I1690" s="186"/>
      <c r="J1690" s="304"/>
      <c r="K1690" s="261">
        <f>SUM(K1686:K1689)</f>
        <v>9000</v>
      </c>
      <c r="L1690" s="195"/>
      <c r="M1690" s="201"/>
    </row>
    <row r="1691" spans="1:13" s="141" customFormat="1" x14ac:dyDescent="0.2">
      <c r="A1691" s="172">
        <v>399</v>
      </c>
      <c r="B1691" s="173" t="s">
        <v>2222</v>
      </c>
      <c r="C1691" s="174"/>
      <c r="D1691" s="175" t="s">
        <v>107</v>
      </c>
      <c r="E1691" s="175"/>
      <c r="F1691" s="175"/>
      <c r="G1691" s="175"/>
      <c r="H1691" s="258" t="s">
        <v>137</v>
      </c>
      <c r="I1691" s="228" t="s">
        <v>2223</v>
      </c>
      <c r="J1691" s="275" t="s">
        <v>373</v>
      </c>
      <c r="K1691" s="276">
        <f>12000*60%</f>
        <v>7200</v>
      </c>
      <c r="L1691" s="174" t="s">
        <v>111</v>
      </c>
      <c r="M1691" s="180" t="s">
        <v>2224</v>
      </c>
    </row>
    <row r="1692" spans="1:13" s="141" customFormat="1" x14ac:dyDescent="0.2">
      <c r="A1692" s="182"/>
      <c r="B1692" s="183"/>
      <c r="C1692" s="184"/>
      <c r="D1692" s="185"/>
      <c r="E1692" s="185"/>
      <c r="F1692" s="185"/>
      <c r="G1692" s="185"/>
      <c r="H1692" s="260"/>
      <c r="I1692" s="192" t="s">
        <v>2220</v>
      </c>
      <c r="J1692" s="279" t="s">
        <v>373</v>
      </c>
      <c r="K1692" s="225">
        <f>12000*20%</f>
        <v>2400</v>
      </c>
      <c r="L1692" s="184"/>
      <c r="M1692" s="190"/>
    </row>
    <row r="1693" spans="1:13" s="141" customFormat="1" x14ac:dyDescent="0.2">
      <c r="A1693" s="182"/>
      <c r="B1693" s="183"/>
      <c r="C1693" s="184"/>
      <c r="D1693" s="185"/>
      <c r="E1693" s="185"/>
      <c r="F1693" s="185"/>
      <c r="G1693" s="185"/>
      <c r="H1693" s="260"/>
      <c r="I1693" s="192" t="s">
        <v>1698</v>
      </c>
      <c r="J1693" s="279" t="s">
        <v>373</v>
      </c>
      <c r="K1693" s="225">
        <f>12000*20%</f>
        <v>2400</v>
      </c>
      <c r="L1693" s="184"/>
      <c r="M1693" s="190"/>
    </row>
    <row r="1694" spans="1:13" s="141" customFormat="1" x14ac:dyDescent="0.2">
      <c r="A1694" s="193"/>
      <c r="B1694" s="194"/>
      <c r="C1694" s="195"/>
      <c r="D1694" s="196"/>
      <c r="E1694" s="196"/>
      <c r="F1694" s="196"/>
      <c r="G1694" s="196"/>
      <c r="H1694" s="262"/>
      <c r="I1694" s="206"/>
      <c r="J1694" s="282"/>
      <c r="K1694" s="257">
        <f>SUM(K1691:K1693)</f>
        <v>12000</v>
      </c>
      <c r="L1694" s="195"/>
      <c r="M1694" s="201"/>
    </row>
    <row r="1695" spans="1:13" s="141" customFormat="1" x14ac:dyDescent="0.2">
      <c r="A1695" s="172">
        <v>400</v>
      </c>
      <c r="B1695" s="173" t="s">
        <v>2225</v>
      </c>
      <c r="C1695" s="174"/>
      <c r="D1695" s="175" t="s">
        <v>107</v>
      </c>
      <c r="E1695" s="175"/>
      <c r="F1695" s="175"/>
      <c r="G1695" s="175"/>
      <c r="H1695" s="258"/>
      <c r="I1695" s="283" t="s">
        <v>2226</v>
      </c>
      <c r="J1695" s="284" t="s">
        <v>373</v>
      </c>
      <c r="K1695" s="285">
        <f>9000*50%</f>
        <v>4500</v>
      </c>
      <c r="L1695" s="174" t="s">
        <v>111</v>
      </c>
      <c r="M1695" s="180" t="s">
        <v>2227</v>
      </c>
    </row>
    <row r="1696" spans="1:13" s="141" customFormat="1" x14ac:dyDescent="0.2">
      <c r="A1696" s="182"/>
      <c r="B1696" s="183"/>
      <c r="C1696" s="184"/>
      <c r="D1696" s="185"/>
      <c r="E1696" s="185"/>
      <c r="F1696" s="185"/>
      <c r="G1696" s="185"/>
      <c r="H1696" s="260"/>
      <c r="I1696" s="192" t="s">
        <v>2228</v>
      </c>
      <c r="J1696" s="279" t="s">
        <v>373</v>
      </c>
      <c r="K1696" s="225">
        <f>9000*20%</f>
        <v>1800</v>
      </c>
      <c r="L1696" s="184"/>
      <c r="M1696" s="190"/>
    </row>
    <row r="1697" spans="1:13" s="141" customFormat="1" x14ac:dyDescent="0.2">
      <c r="A1697" s="182"/>
      <c r="B1697" s="183"/>
      <c r="C1697" s="184"/>
      <c r="D1697" s="185"/>
      <c r="E1697" s="185"/>
      <c r="F1697" s="185"/>
      <c r="G1697" s="185"/>
      <c r="H1697" s="260"/>
      <c r="I1697" s="192" t="s">
        <v>2229</v>
      </c>
      <c r="J1697" s="279" t="s">
        <v>373</v>
      </c>
      <c r="K1697" s="225">
        <f>9000*20%</f>
        <v>1800</v>
      </c>
      <c r="L1697" s="184"/>
      <c r="M1697" s="190"/>
    </row>
    <row r="1698" spans="1:13" s="141" customFormat="1" x14ac:dyDescent="0.2">
      <c r="A1698" s="182"/>
      <c r="B1698" s="183"/>
      <c r="C1698" s="184"/>
      <c r="D1698" s="185"/>
      <c r="E1698" s="185"/>
      <c r="F1698" s="185"/>
      <c r="G1698" s="185"/>
      <c r="H1698" s="260"/>
      <c r="I1698" s="192" t="s">
        <v>2230</v>
      </c>
      <c r="J1698" s="279" t="s">
        <v>373</v>
      </c>
      <c r="K1698" s="225">
        <f>9000*10%</f>
        <v>900</v>
      </c>
      <c r="L1698" s="184"/>
      <c r="M1698" s="190"/>
    </row>
    <row r="1699" spans="1:13" s="141" customFormat="1" x14ac:dyDescent="0.2">
      <c r="A1699" s="193"/>
      <c r="B1699" s="194"/>
      <c r="C1699" s="195"/>
      <c r="D1699" s="196"/>
      <c r="E1699" s="196"/>
      <c r="F1699" s="196"/>
      <c r="G1699" s="196"/>
      <c r="H1699" s="262"/>
      <c r="I1699" s="186"/>
      <c r="J1699" s="304"/>
      <c r="K1699" s="261">
        <f>SUM(K1695:K1698)</f>
        <v>9000</v>
      </c>
      <c r="L1699" s="195"/>
      <c r="M1699" s="201"/>
    </row>
    <row r="1700" spans="1:13" s="141" customFormat="1" x14ac:dyDescent="0.2">
      <c r="A1700" s="172">
        <v>401</v>
      </c>
      <c r="B1700" s="173" t="s">
        <v>2231</v>
      </c>
      <c r="C1700" s="174"/>
      <c r="D1700" s="175" t="s">
        <v>107</v>
      </c>
      <c r="E1700" s="175"/>
      <c r="F1700" s="175"/>
      <c r="G1700" s="175"/>
      <c r="H1700" s="258"/>
      <c r="I1700" s="228" t="s">
        <v>2232</v>
      </c>
      <c r="J1700" s="275" t="s">
        <v>373</v>
      </c>
      <c r="K1700" s="276">
        <f>6000*60%</f>
        <v>3600</v>
      </c>
      <c r="L1700" s="174" t="s">
        <v>111</v>
      </c>
      <c r="M1700" s="180" t="s">
        <v>2233</v>
      </c>
    </row>
    <row r="1701" spans="1:13" s="141" customFormat="1" x14ac:dyDescent="0.2">
      <c r="A1701" s="182"/>
      <c r="B1701" s="183"/>
      <c r="C1701" s="184"/>
      <c r="D1701" s="185"/>
      <c r="E1701" s="185"/>
      <c r="F1701" s="185"/>
      <c r="G1701" s="185"/>
      <c r="H1701" s="260"/>
      <c r="I1701" s="192" t="s">
        <v>2234</v>
      </c>
      <c r="J1701" s="279" t="s">
        <v>373</v>
      </c>
      <c r="K1701" s="225">
        <f>6000*20%</f>
        <v>1200</v>
      </c>
      <c r="L1701" s="184"/>
      <c r="M1701" s="190"/>
    </row>
    <row r="1702" spans="1:13" s="141" customFormat="1" x14ac:dyDescent="0.2">
      <c r="A1702" s="182"/>
      <c r="B1702" s="183"/>
      <c r="C1702" s="184"/>
      <c r="D1702" s="185"/>
      <c r="E1702" s="185"/>
      <c r="F1702" s="185"/>
      <c r="G1702" s="185"/>
      <c r="H1702" s="260"/>
      <c r="I1702" s="192" t="s">
        <v>2235</v>
      </c>
      <c r="J1702" s="279" t="s">
        <v>373</v>
      </c>
      <c r="K1702" s="225">
        <f>6000*20%</f>
        <v>1200</v>
      </c>
      <c r="L1702" s="184"/>
      <c r="M1702" s="190"/>
    </row>
    <row r="1703" spans="1:13" s="141" customFormat="1" x14ac:dyDescent="0.2">
      <c r="A1703" s="193"/>
      <c r="B1703" s="194"/>
      <c r="C1703" s="195"/>
      <c r="D1703" s="196"/>
      <c r="E1703" s="196"/>
      <c r="F1703" s="196"/>
      <c r="G1703" s="196"/>
      <c r="H1703" s="262"/>
      <c r="I1703" s="206"/>
      <c r="J1703" s="282"/>
      <c r="K1703" s="257">
        <f>SUM(K1700:K1702)</f>
        <v>6000</v>
      </c>
      <c r="L1703" s="195"/>
      <c r="M1703" s="201"/>
    </row>
    <row r="1704" spans="1:13" s="141" customFormat="1" x14ac:dyDescent="0.2">
      <c r="A1704" s="172">
        <v>402</v>
      </c>
      <c r="B1704" s="173" t="s">
        <v>2236</v>
      </c>
      <c r="C1704" s="174"/>
      <c r="D1704" s="175" t="s">
        <v>107</v>
      </c>
      <c r="E1704" s="175"/>
      <c r="F1704" s="175"/>
      <c r="G1704" s="175"/>
      <c r="H1704" s="258"/>
      <c r="I1704" s="283" t="s">
        <v>2237</v>
      </c>
      <c r="J1704" s="284" t="s">
        <v>373</v>
      </c>
      <c r="K1704" s="285">
        <f>9000*50%</f>
        <v>4500</v>
      </c>
      <c r="L1704" s="174" t="s">
        <v>111</v>
      </c>
      <c r="M1704" s="180" t="s">
        <v>2238</v>
      </c>
    </row>
    <row r="1705" spans="1:13" s="141" customFormat="1" ht="22.5" customHeight="1" x14ac:dyDescent="0.2">
      <c r="A1705" s="182"/>
      <c r="B1705" s="183"/>
      <c r="C1705" s="184"/>
      <c r="D1705" s="185"/>
      <c r="E1705" s="185"/>
      <c r="F1705" s="185"/>
      <c r="G1705" s="185"/>
      <c r="H1705" s="260"/>
      <c r="I1705" s="192" t="s">
        <v>1511</v>
      </c>
      <c r="J1705" s="279" t="s">
        <v>373</v>
      </c>
      <c r="K1705" s="225">
        <f>9000*20%</f>
        <v>1800</v>
      </c>
      <c r="L1705" s="184"/>
      <c r="M1705" s="190"/>
    </row>
    <row r="1706" spans="1:13" s="141" customFormat="1" x14ac:dyDescent="0.2">
      <c r="A1706" s="182"/>
      <c r="B1706" s="183"/>
      <c r="C1706" s="184"/>
      <c r="D1706" s="185"/>
      <c r="E1706" s="185"/>
      <c r="F1706" s="185"/>
      <c r="G1706" s="185"/>
      <c r="H1706" s="260"/>
      <c r="I1706" s="192" t="s">
        <v>2235</v>
      </c>
      <c r="J1706" s="279" t="s">
        <v>373</v>
      </c>
      <c r="K1706" s="225">
        <f>9000*20%</f>
        <v>1800</v>
      </c>
      <c r="L1706" s="184"/>
      <c r="M1706" s="190"/>
    </row>
    <row r="1707" spans="1:13" s="141" customFormat="1" x14ac:dyDescent="0.2">
      <c r="A1707" s="182"/>
      <c r="B1707" s="183"/>
      <c r="C1707" s="184"/>
      <c r="D1707" s="185"/>
      <c r="E1707" s="185"/>
      <c r="F1707" s="185"/>
      <c r="G1707" s="185"/>
      <c r="H1707" s="260"/>
      <c r="I1707" s="192" t="s">
        <v>2239</v>
      </c>
      <c r="J1707" s="279" t="s">
        <v>373</v>
      </c>
      <c r="K1707" s="225">
        <f>9000*10%</f>
        <v>900</v>
      </c>
      <c r="L1707" s="184"/>
      <c r="M1707" s="190"/>
    </row>
    <row r="1708" spans="1:13" s="141" customFormat="1" x14ac:dyDescent="0.2">
      <c r="A1708" s="193"/>
      <c r="B1708" s="194"/>
      <c r="C1708" s="195"/>
      <c r="D1708" s="196"/>
      <c r="E1708" s="196"/>
      <c r="F1708" s="196"/>
      <c r="G1708" s="196"/>
      <c r="H1708" s="262"/>
      <c r="I1708" s="186"/>
      <c r="J1708" s="304"/>
      <c r="K1708" s="261">
        <f>SUM(K1704:K1707)</f>
        <v>9000</v>
      </c>
      <c r="L1708" s="195"/>
      <c r="M1708" s="201"/>
    </row>
    <row r="1709" spans="1:13" s="141" customFormat="1" x14ac:dyDescent="0.2">
      <c r="A1709" s="172">
        <v>403</v>
      </c>
      <c r="B1709" s="173" t="s">
        <v>2240</v>
      </c>
      <c r="C1709" s="174"/>
      <c r="D1709" s="175" t="s">
        <v>107</v>
      </c>
      <c r="E1709" s="175"/>
      <c r="F1709" s="175"/>
      <c r="G1709" s="175"/>
      <c r="H1709" s="258" t="s">
        <v>108</v>
      </c>
      <c r="I1709" s="228" t="s">
        <v>2241</v>
      </c>
      <c r="J1709" s="275" t="s">
        <v>373</v>
      </c>
      <c r="K1709" s="276">
        <f>9000*50%</f>
        <v>4500</v>
      </c>
      <c r="L1709" s="174" t="s">
        <v>111</v>
      </c>
      <c r="M1709" s="180" t="s">
        <v>2242</v>
      </c>
    </row>
    <row r="1710" spans="1:13" s="141" customFormat="1" ht="22.5" customHeight="1" x14ac:dyDescent="0.2">
      <c r="A1710" s="182"/>
      <c r="B1710" s="183"/>
      <c r="C1710" s="184"/>
      <c r="D1710" s="185"/>
      <c r="E1710" s="185"/>
      <c r="F1710" s="185"/>
      <c r="G1710" s="185"/>
      <c r="H1710" s="260"/>
      <c r="I1710" s="192" t="s">
        <v>1511</v>
      </c>
      <c r="J1710" s="279" t="s">
        <v>373</v>
      </c>
      <c r="K1710" s="225">
        <f>9000*20%</f>
        <v>1800</v>
      </c>
      <c r="L1710" s="184"/>
      <c r="M1710" s="190"/>
    </row>
    <row r="1711" spans="1:13" s="141" customFormat="1" x14ac:dyDescent="0.2">
      <c r="A1711" s="182"/>
      <c r="B1711" s="183"/>
      <c r="C1711" s="184"/>
      <c r="D1711" s="185"/>
      <c r="E1711" s="185"/>
      <c r="F1711" s="185"/>
      <c r="G1711" s="185"/>
      <c r="H1711" s="260"/>
      <c r="I1711" s="192" t="s">
        <v>1510</v>
      </c>
      <c r="J1711" s="279" t="s">
        <v>373</v>
      </c>
      <c r="K1711" s="225">
        <f>9000*20%</f>
        <v>1800</v>
      </c>
      <c r="L1711" s="184"/>
      <c r="M1711" s="190"/>
    </row>
    <row r="1712" spans="1:13" s="141" customFormat="1" x14ac:dyDescent="0.2">
      <c r="A1712" s="182"/>
      <c r="B1712" s="183"/>
      <c r="C1712" s="184"/>
      <c r="D1712" s="185"/>
      <c r="E1712" s="185"/>
      <c r="F1712" s="185"/>
      <c r="G1712" s="185"/>
      <c r="H1712" s="260"/>
      <c r="I1712" s="192" t="s">
        <v>2239</v>
      </c>
      <c r="J1712" s="279" t="s">
        <v>373</v>
      </c>
      <c r="K1712" s="225">
        <f>9000*10%</f>
        <v>900</v>
      </c>
      <c r="L1712" s="184"/>
      <c r="M1712" s="190"/>
    </row>
    <row r="1713" spans="1:13" s="141" customFormat="1" x14ac:dyDescent="0.2">
      <c r="A1713" s="193"/>
      <c r="B1713" s="194"/>
      <c r="C1713" s="195"/>
      <c r="D1713" s="196"/>
      <c r="E1713" s="196"/>
      <c r="F1713" s="196"/>
      <c r="G1713" s="196"/>
      <c r="H1713" s="262"/>
      <c r="I1713" s="206"/>
      <c r="J1713" s="282"/>
      <c r="K1713" s="257">
        <f>SUM(K1709:K1712)</f>
        <v>9000</v>
      </c>
      <c r="L1713" s="195"/>
      <c r="M1713" s="201"/>
    </row>
    <row r="1714" spans="1:13" s="141" customFormat="1" ht="75.75" customHeight="1" x14ac:dyDescent="0.2">
      <c r="A1714" s="242">
        <v>404</v>
      </c>
      <c r="B1714" s="266" t="s">
        <v>2243</v>
      </c>
      <c r="C1714" s="267" t="s">
        <v>2243</v>
      </c>
      <c r="D1714" s="269" t="s">
        <v>107</v>
      </c>
      <c r="E1714" s="269"/>
      <c r="F1714" s="269"/>
      <c r="G1714" s="269"/>
      <c r="H1714" s="270"/>
      <c r="I1714" s="289" t="s">
        <v>2244</v>
      </c>
      <c r="J1714" s="326" t="s">
        <v>373</v>
      </c>
      <c r="K1714" s="291">
        <v>12600</v>
      </c>
      <c r="L1714" s="319" t="s">
        <v>111</v>
      </c>
      <c r="M1714" s="226" t="s">
        <v>2245</v>
      </c>
    </row>
    <row r="1715" spans="1:13" s="141" customFormat="1" ht="81.75" customHeight="1" x14ac:dyDescent="0.2">
      <c r="A1715" s="242">
        <v>405</v>
      </c>
      <c r="B1715" s="266" t="s">
        <v>2246</v>
      </c>
      <c r="C1715" s="267" t="s">
        <v>2246</v>
      </c>
      <c r="D1715" s="269" t="s">
        <v>107</v>
      </c>
      <c r="E1715" s="269"/>
      <c r="F1715" s="269"/>
      <c r="G1715" s="269"/>
      <c r="H1715" s="270"/>
      <c r="I1715" s="289" t="s">
        <v>2244</v>
      </c>
      <c r="J1715" s="326" t="s">
        <v>373</v>
      </c>
      <c r="K1715" s="291">
        <v>9000</v>
      </c>
      <c r="L1715" s="319" t="s">
        <v>111</v>
      </c>
      <c r="M1715" s="226" t="s">
        <v>2247</v>
      </c>
    </row>
    <row r="1716" spans="1:13" s="141" customFormat="1" x14ac:dyDescent="0.2">
      <c r="A1716" s="172">
        <v>406</v>
      </c>
      <c r="B1716" s="173" t="s">
        <v>2248</v>
      </c>
      <c r="C1716" s="174"/>
      <c r="D1716" s="175" t="s">
        <v>107</v>
      </c>
      <c r="E1716" s="175"/>
      <c r="F1716" s="175"/>
      <c r="G1716" s="175"/>
      <c r="H1716" s="258" t="s">
        <v>108</v>
      </c>
      <c r="I1716" s="283" t="s">
        <v>2249</v>
      </c>
      <c r="J1716" s="284" t="s">
        <v>373</v>
      </c>
      <c r="K1716" s="285">
        <f>7500*50%</f>
        <v>3750</v>
      </c>
      <c r="L1716" s="174" t="s">
        <v>111</v>
      </c>
      <c r="M1716" s="180" t="s">
        <v>2250</v>
      </c>
    </row>
    <row r="1717" spans="1:13" s="141" customFormat="1" x14ac:dyDescent="0.2">
      <c r="A1717" s="182"/>
      <c r="B1717" s="183"/>
      <c r="C1717" s="184"/>
      <c r="D1717" s="185"/>
      <c r="E1717" s="185"/>
      <c r="F1717" s="185"/>
      <c r="G1717" s="185"/>
      <c r="H1717" s="260"/>
      <c r="I1717" s="192" t="s">
        <v>2251</v>
      </c>
      <c r="J1717" s="279" t="s">
        <v>373</v>
      </c>
      <c r="K1717" s="225">
        <f>7500*30%</f>
        <v>2250</v>
      </c>
      <c r="L1717" s="184"/>
      <c r="M1717" s="190"/>
    </row>
    <row r="1718" spans="1:13" s="141" customFormat="1" x14ac:dyDescent="0.2">
      <c r="A1718" s="182"/>
      <c r="B1718" s="183"/>
      <c r="C1718" s="184"/>
      <c r="D1718" s="185"/>
      <c r="E1718" s="185"/>
      <c r="F1718" s="185"/>
      <c r="G1718" s="185"/>
      <c r="H1718" s="260"/>
      <c r="I1718" s="192" t="s">
        <v>2252</v>
      </c>
      <c r="J1718" s="279" t="s">
        <v>373</v>
      </c>
      <c r="K1718" s="225">
        <f>7500*10%</f>
        <v>750</v>
      </c>
      <c r="L1718" s="184"/>
      <c r="M1718" s="190"/>
    </row>
    <row r="1719" spans="1:13" s="141" customFormat="1" x14ac:dyDescent="0.2">
      <c r="A1719" s="182"/>
      <c r="B1719" s="183"/>
      <c r="C1719" s="184"/>
      <c r="D1719" s="185"/>
      <c r="E1719" s="185"/>
      <c r="F1719" s="185"/>
      <c r="G1719" s="185"/>
      <c r="H1719" s="260"/>
      <c r="I1719" s="192" t="s">
        <v>2253</v>
      </c>
      <c r="J1719" s="279" t="s">
        <v>829</v>
      </c>
      <c r="K1719" s="225">
        <f>7500*10%</f>
        <v>750</v>
      </c>
      <c r="L1719" s="184"/>
      <c r="M1719" s="190"/>
    </row>
    <row r="1720" spans="1:13" s="141" customFormat="1" x14ac:dyDescent="0.2">
      <c r="A1720" s="193"/>
      <c r="B1720" s="194"/>
      <c r="C1720" s="195"/>
      <c r="D1720" s="196"/>
      <c r="E1720" s="196"/>
      <c r="F1720" s="196"/>
      <c r="G1720" s="196"/>
      <c r="H1720" s="262"/>
      <c r="I1720" s="186"/>
      <c r="J1720" s="198"/>
      <c r="K1720" s="261">
        <f>SUM(K1716:K1719)</f>
        <v>7500</v>
      </c>
      <c r="L1720" s="195"/>
      <c r="M1720" s="201"/>
    </row>
    <row r="1721" spans="1:13" s="141" customFormat="1" x14ac:dyDescent="0.2">
      <c r="A1721" s="172">
        <v>407</v>
      </c>
      <c r="B1721" s="173" t="s">
        <v>2254</v>
      </c>
      <c r="C1721" s="174"/>
      <c r="D1721" s="175" t="s">
        <v>107</v>
      </c>
      <c r="E1721" s="175"/>
      <c r="F1721" s="175"/>
      <c r="G1721" s="175"/>
      <c r="H1721" s="258"/>
      <c r="I1721" s="228" t="s">
        <v>2255</v>
      </c>
      <c r="J1721" s="284" t="s">
        <v>373</v>
      </c>
      <c r="K1721" s="276">
        <f>7500*50%</f>
        <v>3750</v>
      </c>
      <c r="L1721" s="174" t="s">
        <v>111</v>
      </c>
      <c r="M1721" s="180" t="s">
        <v>2256</v>
      </c>
    </row>
    <row r="1722" spans="1:13" s="141" customFormat="1" x14ac:dyDescent="0.2">
      <c r="A1722" s="182"/>
      <c r="B1722" s="183"/>
      <c r="C1722" s="184"/>
      <c r="D1722" s="185"/>
      <c r="E1722" s="185"/>
      <c r="F1722" s="185"/>
      <c r="G1722" s="185"/>
      <c r="H1722" s="260"/>
      <c r="I1722" s="192" t="s">
        <v>2257</v>
      </c>
      <c r="J1722" s="279" t="s">
        <v>373</v>
      </c>
      <c r="K1722" s="225">
        <f>7500*25%</f>
        <v>1875</v>
      </c>
      <c r="L1722" s="184"/>
      <c r="M1722" s="190"/>
    </row>
    <row r="1723" spans="1:13" s="141" customFormat="1" x14ac:dyDescent="0.2">
      <c r="A1723" s="182"/>
      <c r="B1723" s="183"/>
      <c r="C1723" s="184"/>
      <c r="D1723" s="185"/>
      <c r="E1723" s="185"/>
      <c r="F1723" s="185"/>
      <c r="G1723" s="185"/>
      <c r="H1723" s="260"/>
      <c r="I1723" s="192" t="s">
        <v>831</v>
      </c>
      <c r="J1723" s="279" t="s">
        <v>829</v>
      </c>
      <c r="K1723" s="225">
        <f>7500*25%</f>
        <v>1875</v>
      </c>
      <c r="L1723" s="184"/>
      <c r="M1723" s="190"/>
    </row>
    <row r="1724" spans="1:13" s="141" customFormat="1" x14ac:dyDescent="0.2">
      <c r="A1724" s="193"/>
      <c r="B1724" s="194"/>
      <c r="C1724" s="195"/>
      <c r="D1724" s="196"/>
      <c r="E1724" s="196"/>
      <c r="F1724" s="196"/>
      <c r="G1724" s="196"/>
      <c r="H1724" s="262"/>
      <c r="I1724" s="186"/>
      <c r="J1724" s="304"/>
      <c r="K1724" s="261">
        <f>SUM(K1721:K1723)</f>
        <v>7500</v>
      </c>
      <c r="L1724" s="195"/>
      <c r="M1724" s="201"/>
    </row>
    <row r="1725" spans="1:13" s="141" customFormat="1" x14ac:dyDescent="0.2">
      <c r="A1725" s="172">
        <v>408</v>
      </c>
      <c r="B1725" s="173" t="s">
        <v>2258</v>
      </c>
      <c r="C1725" s="174"/>
      <c r="D1725" s="175" t="s">
        <v>107</v>
      </c>
      <c r="E1725" s="175"/>
      <c r="F1725" s="175"/>
      <c r="G1725" s="175"/>
      <c r="H1725" s="258"/>
      <c r="I1725" s="228" t="s">
        <v>2259</v>
      </c>
      <c r="J1725" s="275" t="s">
        <v>373</v>
      </c>
      <c r="K1725" s="276">
        <f>9000*70%</f>
        <v>6300</v>
      </c>
      <c r="L1725" s="174" t="s">
        <v>111</v>
      </c>
      <c r="M1725" s="180" t="s">
        <v>2260</v>
      </c>
    </row>
    <row r="1726" spans="1:13" s="141" customFormat="1" x14ac:dyDescent="0.2">
      <c r="A1726" s="182"/>
      <c r="B1726" s="183"/>
      <c r="C1726" s="184"/>
      <c r="D1726" s="185"/>
      <c r="E1726" s="185"/>
      <c r="F1726" s="185"/>
      <c r="G1726" s="185"/>
      <c r="H1726" s="260"/>
      <c r="I1726" s="192" t="s">
        <v>1487</v>
      </c>
      <c r="J1726" s="279" t="s">
        <v>373</v>
      </c>
      <c r="K1726" s="225">
        <f t="shared" ref="K1726:K1731" si="44">9000*5%</f>
        <v>450</v>
      </c>
      <c r="L1726" s="184"/>
      <c r="M1726" s="190"/>
    </row>
    <row r="1727" spans="1:13" s="141" customFormat="1" x14ac:dyDescent="0.2">
      <c r="A1727" s="182"/>
      <c r="B1727" s="183"/>
      <c r="C1727" s="184"/>
      <c r="D1727" s="185"/>
      <c r="E1727" s="185"/>
      <c r="F1727" s="185"/>
      <c r="G1727" s="185"/>
      <c r="H1727" s="260"/>
      <c r="I1727" s="192" t="s">
        <v>2261</v>
      </c>
      <c r="J1727" s="279" t="s">
        <v>373</v>
      </c>
      <c r="K1727" s="225">
        <f t="shared" si="44"/>
        <v>450</v>
      </c>
      <c r="L1727" s="184"/>
      <c r="M1727" s="190"/>
    </row>
    <row r="1728" spans="1:13" s="141" customFormat="1" x14ac:dyDescent="0.2">
      <c r="A1728" s="182"/>
      <c r="B1728" s="183"/>
      <c r="C1728" s="184"/>
      <c r="D1728" s="185"/>
      <c r="E1728" s="185"/>
      <c r="F1728" s="185"/>
      <c r="G1728" s="185"/>
      <c r="H1728" s="260"/>
      <c r="I1728" s="192" t="s">
        <v>1490</v>
      </c>
      <c r="J1728" s="279" t="s">
        <v>373</v>
      </c>
      <c r="K1728" s="225">
        <f t="shared" si="44"/>
        <v>450</v>
      </c>
      <c r="L1728" s="184"/>
      <c r="M1728" s="190"/>
    </row>
    <row r="1729" spans="1:13" s="141" customFormat="1" x14ac:dyDescent="0.2">
      <c r="A1729" s="182"/>
      <c r="B1729" s="183"/>
      <c r="C1729" s="184"/>
      <c r="D1729" s="185"/>
      <c r="E1729" s="185"/>
      <c r="F1729" s="185"/>
      <c r="G1729" s="185"/>
      <c r="H1729" s="260"/>
      <c r="I1729" s="192" t="s">
        <v>1651</v>
      </c>
      <c r="J1729" s="279" t="s">
        <v>365</v>
      </c>
      <c r="K1729" s="225">
        <f t="shared" si="44"/>
        <v>450</v>
      </c>
      <c r="L1729" s="184"/>
      <c r="M1729" s="190"/>
    </row>
    <row r="1730" spans="1:13" s="141" customFormat="1" x14ac:dyDescent="0.2">
      <c r="A1730" s="182"/>
      <c r="B1730" s="183"/>
      <c r="C1730" s="184"/>
      <c r="D1730" s="185"/>
      <c r="E1730" s="185"/>
      <c r="F1730" s="185"/>
      <c r="G1730" s="185"/>
      <c r="H1730" s="260"/>
      <c r="I1730" s="192" t="s">
        <v>2262</v>
      </c>
      <c r="J1730" s="279" t="s">
        <v>365</v>
      </c>
      <c r="K1730" s="225">
        <f t="shared" si="44"/>
        <v>450</v>
      </c>
      <c r="L1730" s="184"/>
      <c r="M1730" s="190"/>
    </row>
    <row r="1731" spans="1:13" s="141" customFormat="1" x14ac:dyDescent="0.2">
      <c r="A1731" s="182"/>
      <c r="B1731" s="183"/>
      <c r="C1731" s="184"/>
      <c r="D1731" s="185"/>
      <c r="E1731" s="185"/>
      <c r="F1731" s="185"/>
      <c r="G1731" s="185"/>
      <c r="H1731" s="260"/>
      <c r="I1731" s="192" t="s">
        <v>2263</v>
      </c>
      <c r="J1731" s="279" t="s">
        <v>365</v>
      </c>
      <c r="K1731" s="225">
        <f t="shared" si="44"/>
        <v>450</v>
      </c>
      <c r="L1731" s="184"/>
      <c r="M1731" s="190"/>
    </row>
    <row r="1732" spans="1:13" s="141" customFormat="1" x14ac:dyDescent="0.2">
      <c r="A1732" s="193"/>
      <c r="B1732" s="194"/>
      <c r="C1732" s="195"/>
      <c r="D1732" s="196"/>
      <c r="E1732" s="196"/>
      <c r="F1732" s="196"/>
      <c r="G1732" s="196"/>
      <c r="H1732" s="262"/>
      <c r="I1732" s="206"/>
      <c r="J1732" s="282"/>
      <c r="K1732" s="257">
        <f>SUM(K1725:K1731)</f>
        <v>9000</v>
      </c>
      <c r="L1732" s="195"/>
      <c r="M1732" s="201"/>
    </row>
    <row r="1733" spans="1:13" s="141" customFormat="1" x14ac:dyDescent="0.2">
      <c r="A1733" s="172">
        <v>409</v>
      </c>
      <c r="B1733" s="173" t="s">
        <v>2264</v>
      </c>
      <c r="C1733" s="174"/>
      <c r="D1733" s="175" t="s">
        <v>107</v>
      </c>
      <c r="E1733" s="175"/>
      <c r="F1733" s="175"/>
      <c r="G1733" s="175"/>
      <c r="H1733" s="258"/>
      <c r="I1733" s="283" t="s">
        <v>2265</v>
      </c>
      <c r="J1733" s="284" t="s">
        <v>373</v>
      </c>
      <c r="K1733" s="285">
        <f>12000*80%</f>
        <v>9600</v>
      </c>
      <c r="L1733" s="174" t="s">
        <v>111</v>
      </c>
      <c r="M1733" s="180" t="s">
        <v>2266</v>
      </c>
    </row>
    <row r="1734" spans="1:13" s="141" customFormat="1" x14ac:dyDescent="0.2">
      <c r="A1734" s="182"/>
      <c r="B1734" s="183"/>
      <c r="C1734" s="184"/>
      <c r="D1734" s="185"/>
      <c r="E1734" s="185"/>
      <c r="F1734" s="185"/>
      <c r="G1734" s="185"/>
      <c r="H1734" s="260"/>
      <c r="I1734" s="192" t="s">
        <v>2267</v>
      </c>
      <c r="J1734" s="279" t="s">
        <v>373</v>
      </c>
      <c r="K1734" s="225">
        <f>12000*10%</f>
        <v>1200</v>
      </c>
      <c r="L1734" s="184"/>
      <c r="M1734" s="190"/>
    </row>
    <row r="1735" spans="1:13" s="141" customFormat="1" x14ac:dyDescent="0.2">
      <c r="A1735" s="182"/>
      <c r="B1735" s="183"/>
      <c r="C1735" s="184"/>
      <c r="D1735" s="185"/>
      <c r="E1735" s="185"/>
      <c r="F1735" s="185"/>
      <c r="G1735" s="185"/>
      <c r="H1735" s="260"/>
      <c r="I1735" s="192" t="s">
        <v>2268</v>
      </c>
      <c r="J1735" s="279" t="s">
        <v>373</v>
      </c>
      <c r="K1735" s="225">
        <f>12000*10%</f>
        <v>1200</v>
      </c>
      <c r="L1735" s="184"/>
      <c r="M1735" s="190"/>
    </row>
    <row r="1736" spans="1:13" s="141" customFormat="1" x14ac:dyDescent="0.2">
      <c r="A1736" s="193"/>
      <c r="B1736" s="194"/>
      <c r="C1736" s="195"/>
      <c r="D1736" s="196"/>
      <c r="E1736" s="196"/>
      <c r="F1736" s="196"/>
      <c r="G1736" s="196"/>
      <c r="H1736" s="262"/>
      <c r="I1736" s="186"/>
      <c r="J1736" s="304"/>
      <c r="K1736" s="261">
        <f>SUM(K1733:K1735)</f>
        <v>12000</v>
      </c>
      <c r="L1736" s="195"/>
      <c r="M1736" s="201"/>
    </row>
    <row r="1737" spans="1:13" s="141" customFormat="1" x14ac:dyDescent="0.2">
      <c r="A1737" s="172">
        <v>410</v>
      </c>
      <c r="B1737" s="173" t="s">
        <v>2269</v>
      </c>
      <c r="C1737" s="174"/>
      <c r="D1737" s="175" t="s">
        <v>107</v>
      </c>
      <c r="E1737" s="175"/>
      <c r="F1737" s="175"/>
      <c r="G1737" s="175"/>
      <c r="H1737" s="258"/>
      <c r="I1737" s="228" t="s">
        <v>2270</v>
      </c>
      <c r="J1737" s="275" t="s">
        <v>373</v>
      </c>
      <c r="K1737" s="276">
        <f>9000*50%</f>
        <v>4500</v>
      </c>
      <c r="L1737" s="174" t="s">
        <v>111</v>
      </c>
      <c r="M1737" s="180" t="s">
        <v>2271</v>
      </c>
    </row>
    <row r="1738" spans="1:13" s="141" customFormat="1" x14ac:dyDescent="0.2">
      <c r="A1738" s="182"/>
      <c r="B1738" s="183"/>
      <c r="C1738" s="184"/>
      <c r="D1738" s="185"/>
      <c r="E1738" s="185"/>
      <c r="F1738" s="185"/>
      <c r="G1738" s="185"/>
      <c r="H1738" s="260"/>
      <c r="I1738" s="192" t="s">
        <v>2267</v>
      </c>
      <c r="J1738" s="279" t="s">
        <v>373</v>
      </c>
      <c r="K1738" s="225">
        <f>9000*10%</f>
        <v>900</v>
      </c>
      <c r="L1738" s="184"/>
      <c r="M1738" s="190"/>
    </row>
    <row r="1739" spans="1:13" s="141" customFormat="1" x14ac:dyDescent="0.2">
      <c r="A1739" s="182"/>
      <c r="B1739" s="183"/>
      <c r="C1739" s="184"/>
      <c r="D1739" s="185"/>
      <c r="E1739" s="185"/>
      <c r="F1739" s="185"/>
      <c r="G1739" s="185"/>
      <c r="H1739" s="260"/>
      <c r="I1739" s="192" t="s">
        <v>2268</v>
      </c>
      <c r="J1739" s="279" t="s">
        <v>373</v>
      </c>
      <c r="K1739" s="225">
        <f>9000*10%</f>
        <v>900</v>
      </c>
      <c r="L1739" s="184"/>
      <c r="M1739" s="190"/>
    </row>
    <row r="1740" spans="1:13" s="141" customFormat="1" x14ac:dyDescent="0.2">
      <c r="A1740" s="182"/>
      <c r="B1740" s="183"/>
      <c r="C1740" s="184"/>
      <c r="D1740" s="185"/>
      <c r="E1740" s="185"/>
      <c r="F1740" s="185"/>
      <c r="G1740" s="185"/>
      <c r="H1740" s="260"/>
      <c r="I1740" s="192" t="s">
        <v>624</v>
      </c>
      <c r="J1740" s="279" t="s">
        <v>190</v>
      </c>
      <c r="K1740" s="225">
        <f>9000*10%</f>
        <v>900</v>
      </c>
      <c r="L1740" s="184"/>
      <c r="M1740" s="190"/>
    </row>
    <row r="1741" spans="1:13" s="141" customFormat="1" x14ac:dyDescent="0.2">
      <c r="A1741" s="182"/>
      <c r="B1741" s="183"/>
      <c r="C1741" s="184"/>
      <c r="D1741" s="185"/>
      <c r="E1741" s="185"/>
      <c r="F1741" s="185"/>
      <c r="G1741" s="185"/>
      <c r="H1741" s="260"/>
      <c r="I1741" s="192" t="s">
        <v>2272</v>
      </c>
      <c r="J1741" s="279" t="s">
        <v>190</v>
      </c>
      <c r="K1741" s="225">
        <f>9000*5%</f>
        <v>450</v>
      </c>
      <c r="L1741" s="184"/>
      <c r="M1741" s="190"/>
    </row>
    <row r="1742" spans="1:13" s="141" customFormat="1" x14ac:dyDescent="0.2">
      <c r="A1742" s="182"/>
      <c r="B1742" s="183"/>
      <c r="C1742" s="184"/>
      <c r="D1742" s="185"/>
      <c r="E1742" s="185"/>
      <c r="F1742" s="185"/>
      <c r="G1742" s="185"/>
      <c r="H1742" s="260"/>
      <c r="I1742" s="192" t="s">
        <v>2273</v>
      </c>
      <c r="J1742" s="279" t="s">
        <v>373</v>
      </c>
      <c r="K1742" s="225">
        <f>9000*10%</f>
        <v>900</v>
      </c>
      <c r="L1742" s="184"/>
      <c r="M1742" s="190"/>
    </row>
    <row r="1743" spans="1:13" s="141" customFormat="1" x14ac:dyDescent="0.2">
      <c r="A1743" s="182"/>
      <c r="B1743" s="183"/>
      <c r="C1743" s="184"/>
      <c r="D1743" s="185"/>
      <c r="E1743" s="185"/>
      <c r="F1743" s="185"/>
      <c r="G1743" s="185"/>
      <c r="H1743" s="260"/>
      <c r="I1743" s="192" t="s">
        <v>2274</v>
      </c>
      <c r="J1743" s="279" t="s">
        <v>373</v>
      </c>
      <c r="K1743" s="225">
        <f>9000*5%</f>
        <v>450</v>
      </c>
      <c r="L1743" s="184"/>
      <c r="M1743" s="190"/>
    </row>
    <row r="1744" spans="1:13" s="141" customFormat="1" x14ac:dyDescent="0.2">
      <c r="A1744" s="193"/>
      <c r="B1744" s="194"/>
      <c r="C1744" s="195"/>
      <c r="D1744" s="196"/>
      <c r="E1744" s="196"/>
      <c r="F1744" s="196"/>
      <c r="G1744" s="196"/>
      <c r="H1744" s="262"/>
      <c r="I1744" s="206"/>
      <c r="J1744" s="282"/>
      <c r="K1744" s="257">
        <f>SUM(K1737:K1743)</f>
        <v>9000</v>
      </c>
      <c r="L1744" s="195"/>
      <c r="M1744" s="201"/>
    </row>
    <row r="1745" spans="1:14" s="141" customFormat="1" ht="48" x14ac:dyDescent="0.2">
      <c r="A1745" s="172">
        <v>411</v>
      </c>
      <c r="B1745" s="173" t="s">
        <v>2275</v>
      </c>
      <c r="C1745" s="174"/>
      <c r="D1745" s="175" t="s">
        <v>107</v>
      </c>
      <c r="E1745" s="175"/>
      <c r="F1745" s="175"/>
      <c r="G1745" s="175"/>
      <c r="H1745" s="258"/>
      <c r="I1745" s="283" t="s">
        <v>2276</v>
      </c>
      <c r="J1745" s="284" t="s">
        <v>373</v>
      </c>
      <c r="K1745" s="285">
        <f>6600*65%</f>
        <v>4290</v>
      </c>
      <c r="L1745" s="174" t="s">
        <v>111</v>
      </c>
      <c r="M1745" s="180" t="s">
        <v>2277</v>
      </c>
    </row>
    <row r="1746" spans="1:14" s="141" customFormat="1" x14ac:dyDescent="0.2">
      <c r="A1746" s="182"/>
      <c r="B1746" s="183"/>
      <c r="C1746" s="184"/>
      <c r="D1746" s="185"/>
      <c r="E1746" s="185"/>
      <c r="F1746" s="185"/>
      <c r="G1746" s="185"/>
      <c r="H1746" s="260"/>
      <c r="I1746" s="192" t="s">
        <v>2278</v>
      </c>
      <c r="J1746" s="279" t="s">
        <v>365</v>
      </c>
      <c r="K1746" s="225">
        <f>6600*10%</f>
        <v>660</v>
      </c>
      <c r="L1746" s="184"/>
      <c r="M1746" s="190"/>
    </row>
    <row r="1747" spans="1:14" s="141" customFormat="1" x14ac:dyDescent="0.2">
      <c r="A1747" s="182"/>
      <c r="B1747" s="183"/>
      <c r="C1747" s="184"/>
      <c r="D1747" s="185"/>
      <c r="E1747" s="185"/>
      <c r="F1747" s="185"/>
      <c r="G1747" s="185"/>
      <c r="H1747" s="260"/>
      <c r="I1747" s="192" t="s">
        <v>2279</v>
      </c>
      <c r="J1747" s="279" t="s">
        <v>373</v>
      </c>
      <c r="K1747" s="225">
        <f>6600*10%</f>
        <v>660</v>
      </c>
      <c r="L1747" s="184"/>
      <c r="M1747" s="190"/>
    </row>
    <row r="1748" spans="1:14" s="141" customFormat="1" x14ac:dyDescent="0.2">
      <c r="A1748" s="182"/>
      <c r="B1748" s="183"/>
      <c r="C1748" s="184"/>
      <c r="D1748" s="185"/>
      <c r="E1748" s="185"/>
      <c r="F1748" s="185"/>
      <c r="G1748" s="185"/>
      <c r="H1748" s="260"/>
      <c r="I1748" s="192" t="s">
        <v>2280</v>
      </c>
      <c r="J1748" s="279" t="s">
        <v>373</v>
      </c>
      <c r="K1748" s="225">
        <f>6600*10%</f>
        <v>660</v>
      </c>
      <c r="L1748" s="184"/>
      <c r="M1748" s="190"/>
    </row>
    <row r="1749" spans="1:14" s="141" customFormat="1" x14ac:dyDescent="0.2">
      <c r="A1749" s="182"/>
      <c r="B1749" s="183"/>
      <c r="C1749" s="184"/>
      <c r="D1749" s="185"/>
      <c r="E1749" s="185"/>
      <c r="F1749" s="185"/>
      <c r="G1749" s="185"/>
      <c r="H1749" s="260"/>
      <c r="I1749" s="192" t="s">
        <v>1490</v>
      </c>
      <c r="J1749" s="279" t="s">
        <v>373</v>
      </c>
      <c r="K1749" s="225">
        <f>6600*5%</f>
        <v>330</v>
      </c>
      <c r="L1749" s="184"/>
      <c r="M1749" s="190"/>
    </row>
    <row r="1750" spans="1:14" s="141" customFormat="1" x14ac:dyDescent="0.2">
      <c r="A1750" s="193"/>
      <c r="B1750" s="194"/>
      <c r="C1750" s="195"/>
      <c r="D1750" s="196"/>
      <c r="E1750" s="196"/>
      <c r="F1750" s="196"/>
      <c r="G1750" s="196"/>
      <c r="H1750" s="262"/>
      <c r="I1750" s="186"/>
      <c r="J1750" s="304"/>
      <c r="K1750" s="261">
        <f>SUM(K1745:K1749)</f>
        <v>6600</v>
      </c>
      <c r="L1750" s="195"/>
      <c r="M1750" s="201"/>
    </row>
    <row r="1751" spans="1:14" s="141" customFormat="1" x14ac:dyDescent="0.2">
      <c r="A1751" s="172">
        <v>412</v>
      </c>
      <c r="B1751" s="173" t="s">
        <v>2281</v>
      </c>
      <c r="C1751" s="174"/>
      <c r="D1751" s="175" t="s">
        <v>107</v>
      </c>
      <c r="E1751" s="175"/>
      <c r="F1751" s="175"/>
      <c r="G1751" s="175"/>
      <c r="H1751" s="258"/>
      <c r="I1751" s="228" t="s">
        <v>2282</v>
      </c>
      <c r="J1751" s="275" t="s">
        <v>373</v>
      </c>
      <c r="K1751" s="276">
        <f>11100*70%</f>
        <v>7769.9999999999991</v>
      </c>
      <c r="L1751" s="174" t="s">
        <v>111</v>
      </c>
      <c r="M1751" s="180" t="s">
        <v>2283</v>
      </c>
    </row>
    <row r="1752" spans="1:14" s="141" customFormat="1" x14ac:dyDescent="0.2">
      <c r="A1752" s="182"/>
      <c r="B1752" s="183"/>
      <c r="C1752" s="184"/>
      <c r="D1752" s="185"/>
      <c r="E1752" s="185"/>
      <c r="F1752" s="185"/>
      <c r="G1752" s="185"/>
      <c r="H1752" s="260"/>
      <c r="I1752" s="192" t="s">
        <v>2284</v>
      </c>
      <c r="J1752" s="279" t="s">
        <v>373</v>
      </c>
      <c r="K1752" s="225">
        <f t="shared" ref="K1752:K1757" si="45">11100*5%</f>
        <v>555</v>
      </c>
      <c r="L1752" s="184"/>
      <c r="M1752" s="190"/>
    </row>
    <row r="1753" spans="1:14" s="141" customFormat="1" x14ac:dyDescent="0.2">
      <c r="A1753" s="182"/>
      <c r="B1753" s="183"/>
      <c r="C1753" s="184"/>
      <c r="D1753" s="185"/>
      <c r="E1753" s="185"/>
      <c r="F1753" s="185"/>
      <c r="G1753" s="185"/>
      <c r="H1753" s="260"/>
      <c r="I1753" s="192" t="s">
        <v>598</v>
      </c>
      <c r="J1753" s="279" t="s">
        <v>373</v>
      </c>
      <c r="K1753" s="225">
        <f t="shared" si="45"/>
        <v>555</v>
      </c>
      <c r="L1753" s="184"/>
      <c r="M1753" s="190"/>
    </row>
    <row r="1754" spans="1:14" s="141" customFormat="1" x14ac:dyDescent="0.2">
      <c r="A1754" s="182"/>
      <c r="B1754" s="183"/>
      <c r="C1754" s="184"/>
      <c r="D1754" s="185"/>
      <c r="E1754" s="185"/>
      <c r="F1754" s="185"/>
      <c r="G1754" s="185"/>
      <c r="H1754" s="260"/>
      <c r="I1754" s="192" t="s">
        <v>2285</v>
      </c>
      <c r="J1754" s="279" t="s">
        <v>373</v>
      </c>
      <c r="K1754" s="225">
        <f t="shared" si="45"/>
        <v>555</v>
      </c>
      <c r="L1754" s="184"/>
      <c r="M1754" s="190"/>
    </row>
    <row r="1755" spans="1:14" s="141" customFormat="1" x14ac:dyDescent="0.2">
      <c r="A1755" s="182"/>
      <c r="B1755" s="183"/>
      <c r="C1755" s="184"/>
      <c r="D1755" s="185"/>
      <c r="E1755" s="185"/>
      <c r="F1755" s="185"/>
      <c r="G1755" s="185"/>
      <c r="H1755" s="260"/>
      <c r="I1755" s="192" t="s">
        <v>2286</v>
      </c>
      <c r="J1755" s="279" t="s">
        <v>373</v>
      </c>
      <c r="K1755" s="225">
        <f t="shared" si="45"/>
        <v>555</v>
      </c>
      <c r="L1755" s="184"/>
      <c r="M1755" s="190"/>
    </row>
    <row r="1756" spans="1:14" s="141" customFormat="1" x14ac:dyDescent="0.2">
      <c r="A1756" s="182"/>
      <c r="B1756" s="183"/>
      <c r="C1756" s="184"/>
      <c r="D1756" s="185"/>
      <c r="E1756" s="185"/>
      <c r="F1756" s="185"/>
      <c r="G1756" s="185"/>
      <c r="H1756" s="260"/>
      <c r="I1756" s="192" t="s">
        <v>2287</v>
      </c>
      <c r="J1756" s="279" t="s">
        <v>373</v>
      </c>
      <c r="K1756" s="225">
        <f t="shared" si="45"/>
        <v>555</v>
      </c>
      <c r="L1756" s="184"/>
      <c r="M1756" s="190"/>
    </row>
    <row r="1757" spans="1:14" s="141" customFormat="1" x14ac:dyDescent="0.2">
      <c r="A1757" s="182"/>
      <c r="B1757" s="183"/>
      <c r="C1757" s="184"/>
      <c r="D1757" s="185"/>
      <c r="E1757" s="185"/>
      <c r="F1757" s="185"/>
      <c r="G1757" s="185"/>
      <c r="H1757" s="260"/>
      <c r="I1757" s="192" t="s">
        <v>2288</v>
      </c>
      <c r="J1757" s="279" t="s">
        <v>373</v>
      </c>
      <c r="K1757" s="225">
        <f t="shared" si="45"/>
        <v>555</v>
      </c>
      <c r="L1757" s="184"/>
      <c r="M1757" s="190"/>
    </row>
    <row r="1758" spans="1:14" s="141" customFormat="1" x14ac:dyDescent="0.2">
      <c r="A1758" s="193"/>
      <c r="B1758" s="194"/>
      <c r="C1758" s="195"/>
      <c r="D1758" s="196"/>
      <c r="E1758" s="196"/>
      <c r="F1758" s="196"/>
      <c r="G1758" s="196"/>
      <c r="H1758" s="262"/>
      <c r="I1758" s="206"/>
      <c r="J1758" s="282"/>
      <c r="K1758" s="257">
        <f>SUM(K1751:K1757)</f>
        <v>11100</v>
      </c>
      <c r="L1758" s="195"/>
      <c r="M1758" s="201"/>
    </row>
    <row r="1759" spans="1:14" s="141" customFormat="1" x14ac:dyDescent="0.2">
      <c r="A1759" s="172">
        <v>413</v>
      </c>
      <c r="B1759" s="173" t="s">
        <v>2289</v>
      </c>
      <c r="C1759" s="174"/>
      <c r="D1759" s="175" t="s">
        <v>107</v>
      </c>
      <c r="E1759" s="175"/>
      <c r="F1759" s="175"/>
      <c r="G1759" s="175"/>
      <c r="H1759" s="258"/>
      <c r="I1759" s="283" t="s">
        <v>2290</v>
      </c>
      <c r="J1759" s="284" t="s">
        <v>373</v>
      </c>
      <c r="K1759" s="285">
        <f>3600*70%</f>
        <v>2520</v>
      </c>
      <c r="L1759" s="174" t="s">
        <v>111</v>
      </c>
      <c r="M1759" s="180" t="s">
        <v>2291</v>
      </c>
    </row>
    <row r="1760" spans="1:14" s="141" customFormat="1" x14ac:dyDescent="0.2">
      <c r="A1760" s="182"/>
      <c r="B1760" s="183"/>
      <c r="C1760" s="184"/>
      <c r="D1760" s="185"/>
      <c r="E1760" s="185"/>
      <c r="F1760" s="185"/>
      <c r="G1760" s="185"/>
      <c r="H1760" s="260"/>
      <c r="I1760" s="192" t="s">
        <v>2292</v>
      </c>
      <c r="J1760" s="279" t="s">
        <v>790</v>
      </c>
      <c r="K1760" s="225">
        <f>3600*10%</f>
        <v>360</v>
      </c>
      <c r="L1760" s="184"/>
      <c r="M1760" s="190"/>
      <c r="N1760" s="181"/>
    </row>
    <row r="1761" spans="1:13" s="141" customFormat="1" x14ac:dyDescent="0.2">
      <c r="A1761" s="182"/>
      <c r="B1761" s="183"/>
      <c r="C1761" s="184"/>
      <c r="D1761" s="185"/>
      <c r="E1761" s="185"/>
      <c r="F1761" s="185"/>
      <c r="G1761" s="185"/>
      <c r="H1761" s="260"/>
      <c r="I1761" s="192" t="s">
        <v>2293</v>
      </c>
      <c r="J1761" s="279" t="s">
        <v>367</v>
      </c>
      <c r="K1761" s="225">
        <f>3600*5%</f>
        <v>180</v>
      </c>
      <c r="L1761" s="184"/>
      <c r="M1761" s="190"/>
    </row>
    <row r="1762" spans="1:13" s="141" customFormat="1" x14ac:dyDescent="0.2">
      <c r="A1762" s="182"/>
      <c r="B1762" s="183"/>
      <c r="C1762" s="184"/>
      <c r="D1762" s="185"/>
      <c r="E1762" s="185"/>
      <c r="F1762" s="185"/>
      <c r="G1762" s="185"/>
      <c r="H1762" s="260"/>
      <c r="I1762" s="192" t="s">
        <v>2294</v>
      </c>
      <c r="J1762" s="279" t="s">
        <v>190</v>
      </c>
      <c r="K1762" s="225">
        <f>3600*5%</f>
        <v>180</v>
      </c>
      <c r="L1762" s="184"/>
      <c r="M1762" s="190"/>
    </row>
    <row r="1763" spans="1:13" s="141" customFormat="1" x14ac:dyDescent="0.2">
      <c r="A1763" s="182"/>
      <c r="B1763" s="183"/>
      <c r="C1763" s="184"/>
      <c r="D1763" s="185"/>
      <c r="E1763" s="185"/>
      <c r="F1763" s="185"/>
      <c r="G1763" s="185"/>
      <c r="H1763" s="260"/>
      <c r="I1763" s="192" t="s">
        <v>2295</v>
      </c>
      <c r="J1763" s="279" t="s">
        <v>373</v>
      </c>
      <c r="K1763" s="225">
        <f>3600*5%</f>
        <v>180</v>
      </c>
      <c r="L1763" s="184"/>
      <c r="M1763" s="190"/>
    </row>
    <row r="1764" spans="1:13" s="141" customFormat="1" x14ac:dyDescent="0.2">
      <c r="A1764" s="182"/>
      <c r="B1764" s="183"/>
      <c r="C1764" s="184"/>
      <c r="D1764" s="185"/>
      <c r="E1764" s="185"/>
      <c r="F1764" s="185"/>
      <c r="G1764" s="185"/>
      <c r="H1764" s="260"/>
      <c r="I1764" s="192" t="s">
        <v>2296</v>
      </c>
      <c r="J1764" s="279" t="s">
        <v>2297</v>
      </c>
      <c r="K1764" s="225">
        <f>3600*5%</f>
        <v>180</v>
      </c>
      <c r="L1764" s="184"/>
      <c r="M1764" s="190"/>
    </row>
    <row r="1765" spans="1:13" s="141" customFormat="1" x14ac:dyDescent="0.2">
      <c r="A1765" s="193"/>
      <c r="B1765" s="194"/>
      <c r="C1765" s="195"/>
      <c r="D1765" s="196"/>
      <c r="E1765" s="196"/>
      <c r="F1765" s="196"/>
      <c r="G1765" s="196"/>
      <c r="H1765" s="262"/>
      <c r="I1765" s="186"/>
      <c r="J1765" s="304"/>
      <c r="K1765" s="261">
        <f>SUM(K1759:K1764)</f>
        <v>3600</v>
      </c>
      <c r="L1765" s="195"/>
      <c r="M1765" s="201"/>
    </row>
    <row r="1766" spans="1:13" s="141" customFormat="1" x14ac:dyDescent="0.2">
      <c r="A1766" s="172">
        <v>414</v>
      </c>
      <c r="B1766" s="173" t="s">
        <v>2298</v>
      </c>
      <c r="C1766" s="174"/>
      <c r="D1766" s="175" t="s">
        <v>107</v>
      </c>
      <c r="E1766" s="175"/>
      <c r="F1766" s="175"/>
      <c r="G1766" s="175"/>
      <c r="H1766" s="258"/>
      <c r="I1766" s="228" t="s">
        <v>2299</v>
      </c>
      <c r="J1766" s="275" t="s">
        <v>373</v>
      </c>
      <c r="K1766" s="276">
        <f>9000*90%</f>
        <v>8100</v>
      </c>
      <c r="L1766" s="174" t="s">
        <v>111</v>
      </c>
      <c r="M1766" s="180" t="s">
        <v>2300</v>
      </c>
    </row>
    <row r="1767" spans="1:13" s="141" customFormat="1" x14ac:dyDescent="0.2">
      <c r="A1767" s="182"/>
      <c r="B1767" s="183"/>
      <c r="C1767" s="184"/>
      <c r="D1767" s="185"/>
      <c r="E1767" s="185"/>
      <c r="F1767" s="185"/>
      <c r="G1767" s="185"/>
      <c r="H1767" s="260"/>
      <c r="I1767" s="192" t="s">
        <v>2292</v>
      </c>
      <c r="J1767" s="279" t="s">
        <v>790</v>
      </c>
      <c r="K1767" s="225">
        <f>9000*10%</f>
        <v>900</v>
      </c>
      <c r="L1767" s="184"/>
      <c r="M1767" s="190"/>
    </row>
    <row r="1768" spans="1:13" s="141" customFormat="1" x14ac:dyDescent="0.2">
      <c r="A1768" s="193"/>
      <c r="B1768" s="194"/>
      <c r="C1768" s="195"/>
      <c r="D1768" s="196"/>
      <c r="E1768" s="196"/>
      <c r="F1768" s="196"/>
      <c r="G1768" s="196"/>
      <c r="H1768" s="262"/>
      <c r="I1768" s="206"/>
      <c r="J1768" s="282"/>
      <c r="K1768" s="257">
        <f>SUM(K1766:K1767)</f>
        <v>9000</v>
      </c>
      <c r="L1768" s="195"/>
      <c r="M1768" s="201"/>
    </row>
    <row r="1769" spans="1:13" s="141" customFormat="1" x14ac:dyDescent="0.2">
      <c r="A1769" s="172">
        <v>415</v>
      </c>
      <c r="B1769" s="173" t="s">
        <v>2301</v>
      </c>
      <c r="C1769" s="174"/>
      <c r="D1769" s="175" t="s">
        <v>107</v>
      </c>
      <c r="E1769" s="175"/>
      <c r="F1769" s="175"/>
      <c r="G1769" s="175"/>
      <c r="H1769" s="258"/>
      <c r="I1769" s="283" t="s">
        <v>2302</v>
      </c>
      <c r="J1769" s="284" t="s">
        <v>373</v>
      </c>
      <c r="K1769" s="285">
        <f>6000*70%</f>
        <v>4200</v>
      </c>
      <c r="L1769" s="174" t="s">
        <v>111</v>
      </c>
      <c r="M1769" s="180" t="s">
        <v>2303</v>
      </c>
    </row>
    <row r="1770" spans="1:13" s="141" customFormat="1" x14ac:dyDescent="0.2">
      <c r="A1770" s="182"/>
      <c r="B1770" s="183"/>
      <c r="C1770" s="184"/>
      <c r="D1770" s="185"/>
      <c r="E1770" s="185"/>
      <c r="F1770" s="185"/>
      <c r="G1770" s="185"/>
      <c r="H1770" s="260"/>
      <c r="I1770" s="192" t="s">
        <v>2304</v>
      </c>
      <c r="J1770" s="279" t="s">
        <v>373</v>
      </c>
      <c r="K1770" s="225">
        <f>6000*30%</f>
        <v>1800</v>
      </c>
      <c r="L1770" s="184"/>
      <c r="M1770" s="190"/>
    </row>
    <row r="1771" spans="1:13" s="141" customFormat="1" x14ac:dyDescent="0.2">
      <c r="A1771" s="193"/>
      <c r="B1771" s="194"/>
      <c r="C1771" s="195"/>
      <c r="D1771" s="196"/>
      <c r="E1771" s="196"/>
      <c r="F1771" s="196"/>
      <c r="G1771" s="196"/>
      <c r="H1771" s="262"/>
      <c r="I1771" s="186"/>
      <c r="J1771" s="304"/>
      <c r="K1771" s="261">
        <f>SUM(K1769:K1770)</f>
        <v>6000</v>
      </c>
      <c r="L1771" s="195"/>
      <c r="M1771" s="201"/>
    </row>
    <row r="1772" spans="1:13" s="141" customFormat="1" x14ac:dyDescent="0.2">
      <c r="A1772" s="172">
        <v>416</v>
      </c>
      <c r="B1772" s="173" t="s">
        <v>2305</v>
      </c>
      <c r="C1772" s="174"/>
      <c r="D1772" s="175" t="s">
        <v>107</v>
      </c>
      <c r="E1772" s="175"/>
      <c r="F1772" s="175"/>
      <c r="G1772" s="175"/>
      <c r="H1772" s="258" t="s">
        <v>108</v>
      </c>
      <c r="I1772" s="228" t="s">
        <v>2306</v>
      </c>
      <c r="J1772" s="275" t="s">
        <v>373</v>
      </c>
      <c r="K1772" s="276">
        <f>13500*50%</f>
        <v>6750</v>
      </c>
      <c r="L1772" s="174" t="s">
        <v>111</v>
      </c>
      <c r="M1772" s="180" t="s">
        <v>2307</v>
      </c>
    </row>
    <row r="1773" spans="1:13" s="141" customFormat="1" x14ac:dyDescent="0.2">
      <c r="A1773" s="182"/>
      <c r="B1773" s="183"/>
      <c r="C1773" s="184"/>
      <c r="D1773" s="185"/>
      <c r="E1773" s="185"/>
      <c r="F1773" s="185"/>
      <c r="G1773" s="185"/>
      <c r="H1773" s="260"/>
      <c r="I1773" s="192" t="s">
        <v>1510</v>
      </c>
      <c r="J1773" s="279" t="s">
        <v>373</v>
      </c>
      <c r="K1773" s="225">
        <f>13500*20%</f>
        <v>2700</v>
      </c>
      <c r="L1773" s="184"/>
      <c r="M1773" s="190"/>
    </row>
    <row r="1774" spans="1:13" s="141" customFormat="1" x14ac:dyDescent="0.2">
      <c r="A1774" s="182"/>
      <c r="B1774" s="183"/>
      <c r="C1774" s="184"/>
      <c r="D1774" s="185"/>
      <c r="E1774" s="185"/>
      <c r="F1774" s="185"/>
      <c r="G1774" s="185"/>
      <c r="H1774" s="260"/>
      <c r="I1774" s="192" t="s">
        <v>2308</v>
      </c>
      <c r="J1774" s="279" t="s">
        <v>1235</v>
      </c>
      <c r="K1774" s="225">
        <f>13500*20%</f>
        <v>2700</v>
      </c>
      <c r="L1774" s="184"/>
      <c r="M1774" s="190"/>
    </row>
    <row r="1775" spans="1:13" s="141" customFormat="1" x14ac:dyDescent="0.2">
      <c r="A1775" s="182"/>
      <c r="B1775" s="183"/>
      <c r="C1775" s="184"/>
      <c r="D1775" s="185"/>
      <c r="E1775" s="185"/>
      <c r="F1775" s="185"/>
      <c r="G1775" s="185"/>
      <c r="H1775" s="260"/>
      <c r="I1775" s="192" t="s">
        <v>2309</v>
      </c>
      <c r="J1775" s="279" t="s">
        <v>373</v>
      </c>
      <c r="K1775" s="225">
        <f>13500*10%</f>
        <v>1350</v>
      </c>
      <c r="L1775" s="184"/>
      <c r="M1775" s="190"/>
    </row>
    <row r="1776" spans="1:13" s="141" customFormat="1" x14ac:dyDescent="0.2">
      <c r="A1776" s="193"/>
      <c r="B1776" s="194"/>
      <c r="C1776" s="195"/>
      <c r="D1776" s="196"/>
      <c r="E1776" s="196"/>
      <c r="F1776" s="196"/>
      <c r="G1776" s="196"/>
      <c r="H1776" s="262"/>
      <c r="I1776" s="206"/>
      <c r="J1776" s="282"/>
      <c r="K1776" s="257">
        <f>SUM(K1772:K1775)</f>
        <v>13500</v>
      </c>
      <c r="L1776" s="195"/>
      <c r="M1776" s="201"/>
    </row>
    <row r="1777" spans="1:13" s="141" customFormat="1" x14ac:dyDescent="0.2">
      <c r="A1777" s="172">
        <v>417</v>
      </c>
      <c r="B1777" s="173" t="s">
        <v>2310</v>
      </c>
      <c r="C1777" s="174"/>
      <c r="D1777" s="175" t="s">
        <v>107</v>
      </c>
      <c r="E1777" s="175"/>
      <c r="F1777" s="175"/>
      <c r="G1777" s="175"/>
      <c r="H1777" s="258"/>
      <c r="I1777" s="228" t="s">
        <v>2311</v>
      </c>
      <c r="J1777" s="275" t="s">
        <v>373</v>
      </c>
      <c r="K1777" s="276">
        <f>15000*70%</f>
        <v>10500</v>
      </c>
      <c r="L1777" s="174" t="s">
        <v>111</v>
      </c>
      <c r="M1777" s="180" t="s">
        <v>2312</v>
      </c>
    </row>
    <row r="1778" spans="1:13" s="141" customFormat="1" x14ac:dyDescent="0.2">
      <c r="A1778" s="182"/>
      <c r="B1778" s="183"/>
      <c r="C1778" s="184"/>
      <c r="D1778" s="185"/>
      <c r="E1778" s="185"/>
      <c r="F1778" s="185"/>
      <c r="G1778" s="185"/>
      <c r="H1778" s="260"/>
      <c r="I1778" s="192" t="s">
        <v>598</v>
      </c>
      <c r="J1778" s="279" t="s">
        <v>373</v>
      </c>
      <c r="K1778" s="225">
        <f t="shared" ref="K1778:K1783" si="46">15000*5%</f>
        <v>750</v>
      </c>
      <c r="L1778" s="184"/>
      <c r="M1778" s="190"/>
    </row>
    <row r="1779" spans="1:13" s="141" customFormat="1" x14ac:dyDescent="0.2">
      <c r="A1779" s="182"/>
      <c r="B1779" s="183"/>
      <c r="C1779" s="184"/>
      <c r="D1779" s="185"/>
      <c r="E1779" s="185"/>
      <c r="F1779" s="185"/>
      <c r="G1779" s="185"/>
      <c r="H1779" s="260"/>
      <c r="I1779" s="192" t="s">
        <v>2285</v>
      </c>
      <c r="J1779" s="279" t="s">
        <v>373</v>
      </c>
      <c r="K1779" s="225">
        <f t="shared" si="46"/>
        <v>750</v>
      </c>
      <c r="L1779" s="184"/>
      <c r="M1779" s="190"/>
    </row>
    <row r="1780" spans="1:13" s="141" customFormat="1" x14ac:dyDescent="0.2">
      <c r="A1780" s="182"/>
      <c r="B1780" s="183"/>
      <c r="C1780" s="184"/>
      <c r="D1780" s="185"/>
      <c r="E1780" s="185"/>
      <c r="F1780" s="185"/>
      <c r="G1780" s="185"/>
      <c r="H1780" s="260"/>
      <c r="I1780" s="192" t="s">
        <v>2313</v>
      </c>
      <c r="J1780" s="279" t="s">
        <v>373</v>
      </c>
      <c r="K1780" s="225">
        <f t="shared" si="46"/>
        <v>750</v>
      </c>
      <c r="L1780" s="184"/>
      <c r="M1780" s="190"/>
    </row>
    <row r="1781" spans="1:13" s="141" customFormat="1" x14ac:dyDescent="0.2">
      <c r="A1781" s="182"/>
      <c r="B1781" s="183"/>
      <c r="C1781" s="184"/>
      <c r="D1781" s="185"/>
      <c r="E1781" s="185"/>
      <c r="F1781" s="185"/>
      <c r="G1781" s="185"/>
      <c r="H1781" s="260"/>
      <c r="I1781" s="192" t="s">
        <v>2288</v>
      </c>
      <c r="J1781" s="279" t="s">
        <v>373</v>
      </c>
      <c r="K1781" s="225">
        <f t="shared" si="46"/>
        <v>750</v>
      </c>
      <c r="L1781" s="184"/>
      <c r="M1781" s="190"/>
    </row>
    <row r="1782" spans="1:13" s="141" customFormat="1" x14ac:dyDescent="0.2">
      <c r="A1782" s="182"/>
      <c r="B1782" s="183"/>
      <c r="C1782" s="184"/>
      <c r="D1782" s="185"/>
      <c r="E1782" s="185"/>
      <c r="F1782" s="185"/>
      <c r="G1782" s="185"/>
      <c r="H1782" s="260"/>
      <c r="I1782" s="192" t="s">
        <v>2286</v>
      </c>
      <c r="J1782" s="279" t="s">
        <v>373</v>
      </c>
      <c r="K1782" s="225">
        <f t="shared" si="46"/>
        <v>750</v>
      </c>
      <c r="L1782" s="184"/>
      <c r="M1782" s="190"/>
    </row>
    <row r="1783" spans="1:13" s="141" customFormat="1" x14ac:dyDescent="0.2">
      <c r="A1783" s="182"/>
      <c r="B1783" s="183"/>
      <c r="C1783" s="184"/>
      <c r="D1783" s="185"/>
      <c r="E1783" s="185"/>
      <c r="F1783" s="185"/>
      <c r="G1783" s="185"/>
      <c r="H1783" s="260"/>
      <c r="I1783" s="192" t="s">
        <v>2287</v>
      </c>
      <c r="J1783" s="279" t="s">
        <v>373</v>
      </c>
      <c r="K1783" s="225">
        <f t="shared" si="46"/>
        <v>750</v>
      </c>
      <c r="L1783" s="184"/>
      <c r="M1783" s="190"/>
    </row>
    <row r="1784" spans="1:13" s="141" customFormat="1" x14ac:dyDescent="0.2">
      <c r="A1784" s="193"/>
      <c r="B1784" s="194"/>
      <c r="C1784" s="195"/>
      <c r="D1784" s="196"/>
      <c r="E1784" s="196"/>
      <c r="F1784" s="196"/>
      <c r="G1784" s="196"/>
      <c r="H1784" s="262"/>
      <c r="I1784" s="206"/>
      <c r="J1784" s="282"/>
      <c r="K1784" s="257">
        <f>SUM(K1777:K1783)</f>
        <v>15000</v>
      </c>
      <c r="L1784" s="195"/>
      <c r="M1784" s="201"/>
    </row>
    <row r="1785" spans="1:13" s="141" customFormat="1" x14ac:dyDescent="0.2">
      <c r="A1785" s="172">
        <v>418</v>
      </c>
      <c r="B1785" s="173" t="s">
        <v>2314</v>
      </c>
      <c r="C1785" s="174"/>
      <c r="D1785" s="175" t="s">
        <v>163</v>
      </c>
      <c r="E1785" s="175"/>
      <c r="F1785" s="175"/>
      <c r="G1785" s="175"/>
      <c r="H1785" s="258"/>
      <c r="I1785" s="228" t="s">
        <v>2315</v>
      </c>
      <c r="J1785" s="275" t="s">
        <v>373</v>
      </c>
      <c r="K1785" s="276">
        <f>530000*65%</f>
        <v>344500</v>
      </c>
      <c r="L1785" s="174" t="s">
        <v>166</v>
      </c>
      <c r="M1785" s="180" t="s">
        <v>2316</v>
      </c>
    </row>
    <row r="1786" spans="1:13" s="141" customFormat="1" x14ac:dyDescent="0.2">
      <c r="A1786" s="182"/>
      <c r="B1786" s="183"/>
      <c r="C1786" s="184"/>
      <c r="D1786" s="185"/>
      <c r="E1786" s="185"/>
      <c r="F1786" s="185"/>
      <c r="G1786" s="185"/>
      <c r="H1786" s="260"/>
      <c r="I1786" s="192" t="s">
        <v>2317</v>
      </c>
      <c r="J1786" s="279" t="s">
        <v>1235</v>
      </c>
      <c r="K1786" s="225">
        <f>530000*10%</f>
        <v>53000</v>
      </c>
      <c r="L1786" s="184"/>
      <c r="M1786" s="190"/>
    </row>
    <row r="1787" spans="1:13" s="141" customFormat="1" x14ac:dyDescent="0.2">
      <c r="A1787" s="182"/>
      <c r="B1787" s="183"/>
      <c r="C1787" s="184"/>
      <c r="D1787" s="185"/>
      <c r="E1787" s="185"/>
      <c r="F1787" s="185"/>
      <c r="G1787" s="185"/>
      <c r="H1787" s="260"/>
      <c r="I1787" s="192" t="s">
        <v>2318</v>
      </c>
      <c r="J1787" s="279" t="s">
        <v>365</v>
      </c>
      <c r="K1787" s="225">
        <f>530000*10%</f>
        <v>53000</v>
      </c>
      <c r="L1787" s="184"/>
      <c r="M1787" s="190"/>
    </row>
    <row r="1788" spans="1:13" s="141" customFormat="1" x14ac:dyDescent="0.2">
      <c r="A1788" s="182"/>
      <c r="B1788" s="183"/>
      <c r="C1788" s="184"/>
      <c r="D1788" s="185"/>
      <c r="E1788" s="185"/>
      <c r="F1788" s="185"/>
      <c r="G1788" s="185"/>
      <c r="H1788" s="260"/>
      <c r="I1788" s="192" t="s">
        <v>594</v>
      </c>
      <c r="J1788" s="279" t="s">
        <v>373</v>
      </c>
      <c r="K1788" s="225">
        <f>530000*5%</f>
        <v>26500</v>
      </c>
      <c r="L1788" s="184"/>
      <c r="M1788" s="190"/>
    </row>
    <row r="1789" spans="1:13" s="141" customFormat="1" x14ac:dyDescent="0.2">
      <c r="A1789" s="182"/>
      <c r="B1789" s="183"/>
      <c r="C1789" s="184"/>
      <c r="D1789" s="185"/>
      <c r="E1789" s="185"/>
      <c r="F1789" s="185"/>
      <c r="G1789" s="185"/>
      <c r="H1789" s="260"/>
      <c r="I1789" s="192" t="s">
        <v>2295</v>
      </c>
      <c r="J1789" s="279" t="s">
        <v>373</v>
      </c>
      <c r="K1789" s="225">
        <f>530000*5%</f>
        <v>26500</v>
      </c>
      <c r="L1789" s="184"/>
      <c r="M1789" s="190"/>
    </row>
    <row r="1790" spans="1:13" s="141" customFormat="1" x14ac:dyDescent="0.2">
      <c r="A1790" s="182"/>
      <c r="B1790" s="183"/>
      <c r="C1790" s="184"/>
      <c r="D1790" s="185"/>
      <c r="E1790" s="185"/>
      <c r="F1790" s="185"/>
      <c r="G1790" s="185"/>
      <c r="H1790" s="260"/>
      <c r="I1790" s="192" t="s">
        <v>2319</v>
      </c>
      <c r="J1790" s="279" t="s">
        <v>373</v>
      </c>
      <c r="K1790" s="225">
        <f>530000*5%</f>
        <v>26500</v>
      </c>
      <c r="L1790" s="184"/>
      <c r="M1790" s="190"/>
    </row>
    <row r="1791" spans="1:13" s="141" customFormat="1" x14ac:dyDescent="0.2">
      <c r="A1791" s="193"/>
      <c r="B1791" s="194"/>
      <c r="C1791" s="195"/>
      <c r="D1791" s="196"/>
      <c r="E1791" s="196"/>
      <c r="F1791" s="196"/>
      <c r="G1791" s="196"/>
      <c r="H1791" s="262"/>
      <c r="I1791" s="206"/>
      <c r="J1791" s="282"/>
      <c r="K1791" s="257">
        <f>SUM(K1785:K1790)</f>
        <v>530000</v>
      </c>
      <c r="L1791" s="195"/>
      <c r="M1791" s="201"/>
    </row>
    <row r="1792" spans="1:13" s="141" customFormat="1" x14ac:dyDescent="0.2">
      <c r="A1792" s="172">
        <v>419</v>
      </c>
      <c r="B1792" s="173" t="s">
        <v>2320</v>
      </c>
      <c r="C1792" s="174"/>
      <c r="D1792" s="175" t="s">
        <v>163</v>
      </c>
      <c r="E1792" s="175"/>
      <c r="F1792" s="175"/>
      <c r="G1792" s="175"/>
      <c r="H1792" s="258"/>
      <c r="I1792" s="283" t="s">
        <v>2321</v>
      </c>
      <c r="J1792" s="284" t="s">
        <v>373</v>
      </c>
      <c r="K1792" s="285">
        <f>530000*50%</f>
        <v>265000</v>
      </c>
      <c r="L1792" s="174" t="s">
        <v>166</v>
      </c>
      <c r="M1792" s="180" t="s">
        <v>2322</v>
      </c>
    </row>
    <row r="1793" spans="1:13" s="141" customFormat="1" x14ac:dyDescent="0.2">
      <c r="A1793" s="182"/>
      <c r="B1793" s="183"/>
      <c r="C1793" s="184"/>
      <c r="D1793" s="185"/>
      <c r="E1793" s="185"/>
      <c r="F1793" s="185"/>
      <c r="G1793" s="185"/>
      <c r="H1793" s="260"/>
      <c r="I1793" s="192" t="s">
        <v>2323</v>
      </c>
      <c r="J1793" s="279" t="s">
        <v>373</v>
      </c>
      <c r="K1793" s="225">
        <f>530000*50%</f>
        <v>265000</v>
      </c>
      <c r="L1793" s="184"/>
      <c r="M1793" s="190"/>
    </row>
    <row r="1794" spans="1:13" s="141" customFormat="1" x14ac:dyDescent="0.2">
      <c r="A1794" s="193"/>
      <c r="B1794" s="194"/>
      <c r="C1794" s="195"/>
      <c r="D1794" s="196"/>
      <c r="E1794" s="196"/>
      <c r="F1794" s="196"/>
      <c r="G1794" s="196"/>
      <c r="H1794" s="262"/>
      <c r="I1794" s="186"/>
      <c r="J1794" s="304"/>
      <c r="K1794" s="261">
        <f>SUM(K1792:K1793)</f>
        <v>530000</v>
      </c>
      <c r="L1794" s="195"/>
      <c r="M1794" s="201"/>
    </row>
    <row r="1795" spans="1:13" s="141" customFormat="1" x14ac:dyDescent="0.2">
      <c r="A1795" s="172">
        <v>420</v>
      </c>
      <c r="B1795" s="173" t="s">
        <v>2324</v>
      </c>
      <c r="C1795" s="174"/>
      <c r="D1795" s="175" t="s">
        <v>163</v>
      </c>
      <c r="E1795" s="175"/>
      <c r="F1795" s="175"/>
      <c r="G1795" s="175"/>
      <c r="H1795" s="258"/>
      <c r="I1795" s="228" t="s">
        <v>2325</v>
      </c>
      <c r="J1795" s="275" t="s">
        <v>373</v>
      </c>
      <c r="K1795" s="276">
        <f>530000*60%</f>
        <v>318000</v>
      </c>
      <c r="L1795" s="174" t="s">
        <v>166</v>
      </c>
      <c r="M1795" s="180" t="s">
        <v>2326</v>
      </c>
    </row>
    <row r="1796" spans="1:13" s="141" customFormat="1" x14ac:dyDescent="0.2">
      <c r="A1796" s="182"/>
      <c r="B1796" s="183"/>
      <c r="C1796" s="184"/>
      <c r="D1796" s="185"/>
      <c r="E1796" s="185"/>
      <c r="F1796" s="185"/>
      <c r="G1796" s="185"/>
      <c r="H1796" s="260"/>
      <c r="I1796" s="192" t="s">
        <v>2327</v>
      </c>
      <c r="J1796" s="279" t="s">
        <v>1235</v>
      </c>
      <c r="K1796" s="225">
        <f>530000*15%</f>
        <v>79500</v>
      </c>
      <c r="L1796" s="184"/>
      <c r="M1796" s="190"/>
    </row>
    <row r="1797" spans="1:13" s="141" customFormat="1" x14ac:dyDescent="0.2">
      <c r="A1797" s="182"/>
      <c r="B1797" s="183"/>
      <c r="C1797" s="184"/>
      <c r="D1797" s="185"/>
      <c r="E1797" s="185"/>
      <c r="F1797" s="185"/>
      <c r="G1797" s="185"/>
      <c r="H1797" s="260"/>
      <c r="I1797" s="192" t="s">
        <v>2318</v>
      </c>
      <c r="J1797" s="279" t="s">
        <v>365</v>
      </c>
      <c r="K1797" s="225">
        <f>530000*10%</f>
        <v>53000</v>
      </c>
      <c r="L1797" s="184"/>
      <c r="M1797" s="190"/>
    </row>
    <row r="1798" spans="1:13" s="141" customFormat="1" x14ac:dyDescent="0.2">
      <c r="A1798" s="182"/>
      <c r="B1798" s="183"/>
      <c r="C1798" s="184"/>
      <c r="D1798" s="185"/>
      <c r="E1798" s="185"/>
      <c r="F1798" s="185"/>
      <c r="G1798" s="185"/>
      <c r="H1798" s="260"/>
      <c r="I1798" s="192" t="s">
        <v>2328</v>
      </c>
      <c r="J1798" s="279" t="s">
        <v>373</v>
      </c>
      <c r="K1798" s="225">
        <f>530000*5%</f>
        <v>26500</v>
      </c>
      <c r="L1798" s="184"/>
      <c r="M1798" s="190"/>
    </row>
    <row r="1799" spans="1:13" s="141" customFormat="1" x14ac:dyDescent="0.2">
      <c r="A1799" s="182"/>
      <c r="B1799" s="183"/>
      <c r="C1799" s="184"/>
      <c r="D1799" s="185"/>
      <c r="E1799" s="185"/>
      <c r="F1799" s="185"/>
      <c r="G1799" s="185"/>
      <c r="H1799" s="260"/>
      <c r="I1799" s="192" t="s">
        <v>2329</v>
      </c>
      <c r="J1799" s="279" t="s">
        <v>373</v>
      </c>
      <c r="K1799" s="225">
        <f>530000*5%</f>
        <v>26500</v>
      </c>
      <c r="L1799" s="184"/>
      <c r="M1799" s="190"/>
    </row>
    <row r="1800" spans="1:13" s="141" customFormat="1" x14ac:dyDescent="0.2">
      <c r="A1800" s="182"/>
      <c r="B1800" s="183"/>
      <c r="C1800" s="184"/>
      <c r="D1800" s="185"/>
      <c r="E1800" s="185"/>
      <c r="F1800" s="185"/>
      <c r="G1800" s="185"/>
      <c r="H1800" s="260"/>
      <c r="I1800" s="192" t="s">
        <v>2330</v>
      </c>
      <c r="J1800" s="279" t="s">
        <v>373</v>
      </c>
      <c r="K1800" s="225">
        <f>530000*5%</f>
        <v>26500</v>
      </c>
      <c r="L1800" s="184"/>
      <c r="M1800" s="190"/>
    </row>
    <row r="1801" spans="1:13" s="141" customFormat="1" x14ac:dyDescent="0.2">
      <c r="A1801" s="193"/>
      <c r="B1801" s="194"/>
      <c r="C1801" s="195"/>
      <c r="D1801" s="196"/>
      <c r="E1801" s="196"/>
      <c r="F1801" s="196"/>
      <c r="G1801" s="196"/>
      <c r="H1801" s="262"/>
      <c r="I1801" s="206"/>
      <c r="J1801" s="282"/>
      <c r="K1801" s="257">
        <f>SUM(K1795:K1800)</f>
        <v>530000</v>
      </c>
      <c r="L1801" s="195"/>
      <c r="M1801" s="201"/>
    </row>
    <row r="1802" spans="1:13" s="141" customFormat="1" x14ac:dyDescent="0.2">
      <c r="A1802" s="172">
        <v>421</v>
      </c>
      <c r="B1802" s="173" t="s">
        <v>2331</v>
      </c>
      <c r="C1802" s="174"/>
      <c r="D1802" s="175" t="s">
        <v>163</v>
      </c>
      <c r="E1802" s="175"/>
      <c r="F1802" s="175"/>
      <c r="G1802" s="175"/>
      <c r="H1802" s="258"/>
      <c r="I1802" s="283" t="s">
        <v>2332</v>
      </c>
      <c r="J1802" s="284" t="s">
        <v>373</v>
      </c>
      <c r="K1802" s="285">
        <f>530000*85%</f>
        <v>450500</v>
      </c>
      <c r="L1802" s="174" t="s">
        <v>166</v>
      </c>
      <c r="M1802" s="180" t="s">
        <v>2333</v>
      </c>
    </row>
    <row r="1803" spans="1:13" s="141" customFormat="1" x14ac:dyDescent="0.2">
      <c r="A1803" s="182"/>
      <c r="B1803" s="183"/>
      <c r="C1803" s="184"/>
      <c r="D1803" s="185"/>
      <c r="E1803" s="185"/>
      <c r="F1803" s="185"/>
      <c r="G1803" s="185"/>
      <c r="H1803" s="260"/>
      <c r="I1803" s="192" t="s">
        <v>2334</v>
      </c>
      <c r="J1803" s="279" t="s">
        <v>373</v>
      </c>
      <c r="K1803" s="225">
        <f>530000*5%</f>
        <v>26500</v>
      </c>
      <c r="L1803" s="184"/>
      <c r="M1803" s="190"/>
    </row>
    <row r="1804" spans="1:13" s="141" customFormat="1" x14ac:dyDescent="0.2">
      <c r="A1804" s="182"/>
      <c r="B1804" s="183"/>
      <c r="C1804" s="184"/>
      <c r="D1804" s="185"/>
      <c r="E1804" s="185"/>
      <c r="F1804" s="185"/>
      <c r="G1804" s="185"/>
      <c r="H1804" s="260"/>
      <c r="I1804" s="192" t="s">
        <v>2335</v>
      </c>
      <c r="J1804" s="279" t="s">
        <v>365</v>
      </c>
      <c r="K1804" s="225">
        <f>530000*5%</f>
        <v>26500</v>
      </c>
      <c r="L1804" s="184"/>
      <c r="M1804" s="190"/>
    </row>
    <row r="1805" spans="1:13" s="141" customFormat="1" x14ac:dyDescent="0.2">
      <c r="A1805" s="182"/>
      <c r="B1805" s="183"/>
      <c r="C1805" s="184"/>
      <c r="D1805" s="185"/>
      <c r="E1805" s="185"/>
      <c r="F1805" s="185"/>
      <c r="G1805" s="185"/>
      <c r="H1805" s="260"/>
      <c r="I1805" s="192" t="s">
        <v>2295</v>
      </c>
      <c r="J1805" s="279" t="s">
        <v>373</v>
      </c>
      <c r="K1805" s="225">
        <f>530000*5%</f>
        <v>26500</v>
      </c>
      <c r="L1805" s="184"/>
      <c r="M1805" s="190"/>
    </row>
    <row r="1806" spans="1:13" s="141" customFormat="1" x14ac:dyDescent="0.2">
      <c r="A1806" s="193"/>
      <c r="B1806" s="194"/>
      <c r="C1806" s="195"/>
      <c r="D1806" s="196"/>
      <c r="E1806" s="196"/>
      <c r="F1806" s="196"/>
      <c r="G1806" s="196"/>
      <c r="H1806" s="262"/>
      <c r="I1806" s="186"/>
      <c r="J1806" s="304"/>
      <c r="K1806" s="261">
        <f>SUM(K1802:K1805)</f>
        <v>530000</v>
      </c>
      <c r="L1806" s="195"/>
      <c r="M1806" s="201"/>
    </row>
    <row r="1807" spans="1:13" s="141" customFormat="1" x14ac:dyDescent="0.2">
      <c r="A1807" s="172">
        <v>422</v>
      </c>
      <c r="B1807" s="173" t="s">
        <v>2336</v>
      </c>
      <c r="C1807" s="174"/>
      <c r="D1807" s="175" t="s">
        <v>163</v>
      </c>
      <c r="E1807" s="175"/>
      <c r="F1807" s="175"/>
      <c r="G1807" s="175"/>
      <c r="H1807" s="258"/>
      <c r="I1807" s="228" t="s">
        <v>2337</v>
      </c>
      <c r="J1807" s="275" t="s">
        <v>373</v>
      </c>
      <c r="K1807" s="276">
        <f>138105*70%</f>
        <v>96673.5</v>
      </c>
      <c r="L1807" s="174" t="s">
        <v>166</v>
      </c>
      <c r="M1807" s="180" t="s">
        <v>2338</v>
      </c>
    </row>
    <row r="1808" spans="1:13" s="141" customFormat="1" x14ac:dyDescent="0.2">
      <c r="A1808" s="182"/>
      <c r="B1808" s="183"/>
      <c r="C1808" s="184"/>
      <c r="D1808" s="185"/>
      <c r="E1808" s="185"/>
      <c r="F1808" s="185"/>
      <c r="G1808" s="185"/>
      <c r="H1808" s="260"/>
      <c r="I1808" s="192" t="s">
        <v>1564</v>
      </c>
      <c r="J1808" s="279" t="s">
        <v>365</v>
      </c>
      <c r="K1808" s="225">
        <f>138105*10%</f>
        <v>13810.5</v>
      </c>
      <c r="L1808" s="184"/>
      <c r="M1808" s="190"/>
    </row>
    <row r="1809" spans="1:13" s="141" customFormat="1" x14ac:dyDescent="0.2">
      <c r="A1809" s="182"/>
      <c r="B1809" s="183"/>
      <c r="C1809" s="184"/>
      <c r="D1809" s="185"/>
      <c r="E1809" s="185"/>
      <c r="F1809" s="185"/>
      <c r="G1809" s="185"/>
      <c r="H1809" s="260"/>
      <c r="I1809" s="192" t="s">
        <v>2339</v>
      </c>
      <c r="J1809" s="279" t="s">
        <v>373</v>
      </c>
      <c r="K1809" s="225">
        <f>138105*10%</f>
        <v>13810.5</v>
      </c>
      <c r="L1809" s="184"/>
      <c r="M1809" s="190"/>
    </row>
    <row r="1810" spans="1:13" s="141" customFormat="1" x14ac:dyDescent="0.2">
      <c r="A1810" s="182"/>
      <c r="B1810" s="183"/>
      <c r="C1810" s="184"/>
      <c r="D1810" s="185"/>
      <c r="E1810" s="185"/>
      <c r="F1810" s="185"/>
      <c r="G1810" s="185"/>
      <c r="H1810" s="260"/>
      <c r="I1810" s="192" t="s">
        <v>2309</v>
      </c>
      <c r="J1810" s="279" t="s">
        <v>373</v>
      </c>
      <c r="K1810" s="225">
        <f>138105*10%</f>
        <v>13810.5</v>
      </c>
      <c r="L1810" s="184"/>
      <c r="M1810" s="190"/>
    </row>
    <row r="1811" spans="1:13" s="141" customFormat="1" x14ac:dyDescent="0.2">
      <c r="A1811" s="193"/>
      <c r="B1811" s="194"/>
      <c r="C1811" s="195"/>
      <c r="D1811" s="196"/>
      <c r="E1811" s="196"/>
      <c r="F1811" s="196"/>
      <c r="G1811" s="196"/>
      <c r="H1811" s="262"/>
      <c r="I1811" s="206"/>
      <c r="J1811" s="282"/>
      <c r="K1811" s="257">
        <f>SUM(K1807:K1810)</f>
        <v>138105</v>
      </c>
      <c r="L1811" s="195"/>
      <c r="M1811" s="201"/>
    </row>
    <row r="1812" spans="1:13" s="141" customFormat="1" x14ac:dyDescent="0.2">
      <c r="A1812" s="172">
        <v>423</v>
      </c>
      <c r="B1812" s="173" t="s">
        <v>2340</v>
      </c>
      <c r="C1812" s="174"/>
      <c r="D1812" s="175" t="s">
        <v>163</v>
      </c>
      <c r="E1812" s="175"/>
      <c r="F1812" s="175"/>
      <c r="G1812" s="175"/>
      <c r="H1812" s="258"/>
      <c r="I1812" s="283" t="s">
        <v>2341</v>
      </c>
      <c r="J1812" s="284" t="s">
        <v>373</v>
      </c>
      <c r="K1812" s="285">
        <f>322245*75%</f>
        <v>241683.75</v>
      </c>
      <c r="L1812" s="174" t="s">
        <v>166</v>
      </c>
      <c r="M1812" s="180" t="s">
        <v>2342</v>
      </c>
    </row>
    <row r="1813" spans="1:13" s="141" customFormat="1" x14ac:dyDescent="0.2">
      <c r="A1813" s="182"/>
      <c r="B1813" s="183"/>
      <c r="C1813" s="184"/>
      <c r="D1813" s="185"/>
      <c r="E1813" s="185"/>
      <c r="F1813" s="185"/>
      <c r="G1813" s="185"/>
      <c r="H1813" s="260"/>
      <c r="I1813" s="192" t="s">
        <v>2343</v>
      </c>
      <c r="J1813" s="279" t="s">
        <v>373</v>
      </c>
      <c r="K1813" s="225">
        <f>322245*5%</f>
        <v>16112.25</v>
      </c>
      <c r="L1813" s="184"/>
      <c r="M1813" s="190"/>
    </row>
    <row r="1814" spans="1:13" s="141" customFormat="1" x14ac:dyDescent="0.2">
      <c r="A1814" s="182"/>
      <c r="B1814" s="183"/>
      <c r="C1814" s="184"/>
      <c r="D1814" s="185"/>
      <c r="E1814" s="185"/>
      <c r="F1814" s="185"/>
      <c r="G1814" s="185"/>
      <c r="H1814" s="260"/>
      <c r="I1814" s="192" t="s">
        <v>2344</v>
      </c>
      <c r="J1814" s="279" t="s">
        <v>373</v>
      </c>
      <c r="K1814" s="225">
        <f>322245*5%</f>
        <v>16112.25</v>
      </c>
      <c r="L1814" s="184"/>
      <c r="M1814" s="190"/>
    </row>
    <row r="1815" spans="1:13" s="141" customFormat="1" x14ac:dyDescent="0.2">
      <c r="A1815" s="182"/>
      <c r="B1815" s="183"/>
      <c r="C1815" s="184"/>
      <c r="D1815" s="185"/>
      <c r="E1815" s="185"/>
      <c r="F1815" s="185"/>
      <c r="G1815" s="185"/>
      <c r="H1815" s="260"/>
      <c r="I1815" s="192" t="s">
        <v>2345</v>
      </c>
      <c r="J1815" s="279" t="s">
        <v>373</v>
      </c>
      <c r="K1815" s="225">
        <f>322245*5%</f>
        <v>16112.25</v>
      </c>
      <c r="L1815" s="184"/>
      <c r="M1815" s="190"/>
    </row>
    <row r="1816" spans="1:13" s="141" customFormat="1" x14ac:dyDescent="0.2">
      <c r="A1816" s="182"/>
      <c r="B1816" s="183"/>
      <c r="C1816" s="184"/>
      <c r="D1816" s="185"/>
      <c r="E1816" s="185"/>
      <c r="F1816" s="185"/>
      <c r="G1816" s="185"/>
      <c r="H1816" s="260"/>
      <c r="I1816" s="192" t="s">
        <v>2346</v>
      </c>
      <c r="J1816" s="279" t="s">
        <v>373</v>
      </c>
      <c r="K1816" s="225">
        <f>322245*5%</f>
        <v>16112.25</v>
      </c>
      <c r="L1816" s="184"/>
      <c r="M1816" s="190"/>
    </row>
    <row r="1817" spans="1:13" s="141" customFormat="1" x14ac:dyDescent="0.2">
      <c r="A1817" s="182"/>
      <c r="B1817" s="183"/>
      <c r="C1817" s="184"/>
      <c r="D1817" s="185"/>
      <c r="E1817" s="185"/>
      <c r="F1817" s="185"/>
      <c r="G1817" s="185"/>
      <c r="H1817" s="260"/>
      <c r="I1817" s="192" t="s">
        <v>2347</v>
      </c>
      <c r="J1817" s="279" t="s">
        <v>365</v>
      </c>
      <c r="K1817" s="225">
        <f>322245*5%</f>
        <v>16112.25</v>
      </c>
      <c r="L1817" s="184"/>
      <c r="M1817" s="190"/>
    </row>
    <row r="1818" spans="1:13" s="141" customFormat="1" x14ac:dyDescent="0.2">
      <c r="A1818" s="193"/>
      <c r="B1818" s="194"/>
      <c r="C1818" s="195"/>
      <c r="D1818" s="196"/>
      <c r="E1818" s="196"/>
      <c r="F1818" s="196"/>
      <c r="G1818" s="196"/>
      <c r="H1818" s="262"/>
      <c r="I1818" s="186"/>
      <c r="J1818" s="304"/>
      <c r="K1818" s="261">
        <f>SUM(K1812:K1817)</f>
        <v>322245</v>
      </c>
      <c r="L1818" s="195"/>
      <c r="M1818" s="201"/>
    </row>
    <row r="1819" spans="1:13" s="141" customFormat="1" x14ac:dyDescent="0.2">
      <c r="A1819" s="172">
        <v>424</v>
      </c>
      <c r="B1819" s="173" t="s">
        <v>2348</v>
      </c>
      <c r="C1819" s="174"/>
      <c r="D1819" s="175" t="s">
        <v>163</v>
      </c>
      <c r="E1819" s="175"/>
      <c r="F1819" s="175"/>
      <c r="G1819" s="175"/>
      <c r="H1819" s="258"/>
      <c r="I1819" s="228" t="s">
        <v>2349</v>
      </c>
      <c r="J1819" s="275" t="s">
        <v>373</v>
      </c>
      <c r="K1819" s="276">
        <f>209550*50%</f>
        <v>104775</v>
      </c>
      <c r="L1819" s="174" t="s">
        <v>166</v>
      </c>
      <c r="M1819" s="180" t="s">
        <v>2350</v>
      </c>
    </row>
    <row r="1820" spans="1:13" s="141" customFormat="1" x14ac:dyDescent="0.2">
      <c r="A1820" s="182"/>
      <c r="B1820" s="183"/>
      <c r="C1820" s="184"/>
      <c r="D1820" s="185"/>
      <c r="E1820" s="185"/>
      <c r="F1820" s="185"/>
      <c r="G1820" s="185"/>
      <c r="H1820" s="260"/>
      <c r="I1820" s="192" t="s">
        <v>2351</v>
      </c>
      <c r="J1820" s="279" t="s">
        <v>373</v>
      </c>
      <c r="K1820" s="225">
        <f>209550*20%</f>
        <v>41910</v>
      </c>
      <c r="L1820" s="184"/>
      <c r="M1820" s="190"/>
    </row>
    <row r="1821" spans="1:13" s="141" customFormat="1" x14ac:dyDescent="0.2">
      <c r="A1821" s="182"/>
      <c r="B1821" s="183"/>
      <c r="C1821" s="184"/>
      <c r="D1821" s="185"/>
      <c r="E1821" s="185"/>
      <c r="F1821" s="185"/>
      <c r="G1821" s="185"/>
      <c r="H1821" s="260"/>
      <c r="I1821" s="192" t="s">
        <v>2352</v>
      </c>
      <c r="J1821" s="279" t="s">
        <v>373</v>
      </c>
      <c r="K1821" s="225">
        <f>209550*5%</f>
        <v>10477.5</v>
      </c>
      <c r="L1821" s="184"/>
      <c r="M1821" s="190"/>
    </row>
    <row r="1822" spans="1:13" s="141" customFormat="1" x14ac:dyDescent="0.2">
      <c r="A1822" s="182"/>
      <c r="B1822" s="183"/>
      <c r="C1822" s="184"/>
      <c r="D1822" s="185"/>
      <c r="E1822" s="185"/>
      <c r="F1822" s="185"/>
      <c r="G1822" s="185"/>
      <c r="H1822" s="260"/>
      <c r="I1822" s="192" t="s">
        <v>2353</v>
      </c>
      <c r="J1822" s="279" t="s">
        <v>373</v>
      </c>
      <c r="K1822" s="225">
        <f>209550*10%</f>
        <v>20955</v>
      </c>
      <c r="L1822" s="184"/>
      <c r="M1822" s="190"/>
    </row>
    <row r="1823" spans="1:13" s="141" customFormat="1" x14ac:dyDescent="0.2">
      <c r="A1823" s="182"/>
      <c r="B1823" s="183"/>
      <c r="C1823" s="184"/>
      <c r="D1823" s="185"/>
      <c r="E1823" s="185"/>
      <c r="F1823" s="185"/>
      <c r="G1823" s="185"/>
      <c r="H1823" s="260"/>
      <c r="I1823" s="192" t="s">
        <v>2354</v>
      </c>
      <c r="J1823" s="279" t="s">
        <v>373</v>
      </c>
      <c r="K1823" s="225">
        <f>209550*10%</f>
        <v>20955</v>
      </c>
      <c r="L1823" s="184"/>
      <c r="M1823" s="190"/>
    </row>
    <row r="1824" spans="1:13" s="141" customFormat="1" x14ac:dyDescent="0.2">
      <c r="A1824" s="182"/>
      <c r="B1824" s="183"/>
      <c r="C1824" s="184"/>
      <c r="D1824" s="185"/>
      <c r="E1824" s="185"/>
      <c r="F1824" s="185"/>
      <c r="G1824" s="185"/>
      <c r="H1824" s="260"/>
      <c r="I1824" s="192" t="s">
        <v>2343</v>
      </c>
      <c r="J1824" s="279" t="s">
        <v>373</v>
      </c>
      <c r="K1824" s="225">
        <f>209550*5%</f>
        <v>10477.5</v>
      </c>
      <c r="L1824" s="184"/>
      <c r="M1824" s="190"/>
    </row>
    <row r="1825" spans="1:13" s="141" customFormat="1" x14ac:dyDescent="0.2">
      <c r="A1825" s="193"/>
      <c r="B1825" s="194"/>
      <c r="C1825" s="195"/>
      <c r="D1825" s="196"/>
      <c r="E1825" s="196"/>
      <c r="F1825" s="196"/>
      <c r="G1825" s="196"/>
      <c r="H1825" s="262"/>
      <c r="I1825" s="206"/>
      <c r="J1825" s="282"/>
      <c r="K1825" s="257">
        <f>SUM(K1819:K1824)</f>
        <v>209550</v>
      </c>
      <c r="L1825" s="195"/>
      <c r="M1825" s="201"/>
    </row>
    <row r="1826" spans="1:13" s="141" customFormat="1" ht="21.75" customHeight="1" x14ac:dyDescent="0.2">
      <c r="A1826" s="172">
        <v>425</v>
      </c>
      <c r="B1826" s="173" t="s">
        <v>2355</v>
      </c>
      <c r="C1826" s="174"/>
      <c r="D1826" s="263" t="s">
        <v>107</v>
      </c>
      <c r="E1826" s="175"/>
      <c r="F1826" s="175"/>
      <c r="G1826" s="175"/>
      <c r="H1826" s="175" t="s">
        <v>137</v>
      </c>
      <c r="I1826" s="176" t="s">
        <v>2356</v>
      </c>
      <c r="J1826" s="177" t="s">
        <v>1046</v>
      </c>
      <c r="K1826" s="216">
        <f>K1829*85%</f>
        <v>7650</v>
      </c>
      <c r="L1826" s="179" t="s">
        <v>111</v>
      </c>
      <c r="M1826" s="180" t="s">
        <v>2357</v>
      </c>
    </row>
    <row r="1827" spans="1:13" s="141" customFormat="1" x14ac:dyDescent="0.2">
      <c r="A1827" s="182"/>
      <c r="B1827" s="183"/>
      <c r="C1827" s="184"/>
      <c r="D1827" s="255"/>
      <c r="E1827" s="185"/>
      <c r="F1827" s="185"/>
      <c r="G1827" s="185"/>
      <c r="H1827" s="185"/>
      <c r="I1827" s="186" t="s">
        <v>2358</v>
      </c>
      <c r="J1827" s="212" t="s">
        <v>373</v>
      </c>
      <c r="K1827" s="213">
        <f>K1829*10%</f>
        <v>900</v>
      </c>
      <c r="L1827" s="189"/>
      <c r="M1827" s="190"/>
    </row>
    <row r="1828" spans="1:13" s="141" customFormat="1" x14ac:dyDescent="0.2">
      <c r="A1828" s="182"/>
      <c r="B1828" s="183"/>
      <c r="C1828" s="184"/>
      <c r="D1828" s="255"/>
      <c r="E1828" s="185"/>
      <c r="F1828" s="185"/>
      <c r="G1828" s="185"/>
      <c r="H1828" s="185"/>
      <c r="I1828" s="186" t="s">
        <v>792</v>
      </c>
      <c r="J1828" s="223" t="s">
        <v>365</v>
      </c>
      <c r="K1828" s="210">
        <f>K1829*5%</f>
        <v>450</v>
      </c>
      <c r="L1828" s="189"/>
      <c r="M1828" s="190"/>
    </row>
    <row r="1829" spans="1:13" s="141" customFormat="1" x14ac:dyDescent="0.2">
      <c r="A1829" s="193"/>
      <c r="B1829" s="194"/>
      <c r="C1829" s="195"/>
      <c r="D1829" s="256"/>
      <c r="E1829" s="196"/>
      <c r="F1829" s="196"/>
      <c r="G1829" s="196"/>
      <c r="H1829" s="196"/>
      <c r="I1829" s="206"/>
      <c r="J1829" s="226"/>
      <c r="K1829" s="227">
        <v>9000</v>
      </c>
      <c r="L1829" s="200"/>
      <c r="M1829" s="201"/>
    </row>
    <row r="1830" spans="1:13" s="141" customFormat="1" ht="21" customHeight="1" x14ac:dyDescent="0.2">
      <c r="A1830" s="358">
        <v>426</v>
      </c>
      <c r="B1830" s="173" t="s">
        <v>2359</v>
      </c>
      <c r="C1830" s="174"/>
      <c r="D1830" s="263" t="s">
        <v>107</v>
      </c>
      <c r="E1830" s="175"/>
      <c r="F1830" s="175"/>
      <c r="G1830" s="175"/>
      <c r="H1830" s="175" t="s">
        <v>164</v>
      </c>
      <c r="I1830" s="176" t="s">
        <v>2360</v>
      </c>
      <c r="J1830" s="177" t="s">
        <v>1046</v>
      </c>
      <c r="K1830" s="222">
        <f>K1832*75%</f>
        <v>3750</v>
      </c>
      <c r="L1830" s="179" t="s">
        <v>111</v>
      </c>
      <c r="M1830" s="180" t="s">
        <v>2361</v>
      </c>
    </row>
    <row r="1831" spans="1:13" s="141" customFormat="1" ht="21" customHeight="1" x14ac:dyDescent="0.2">
      <c r="A1831" s="358"/>
      <c r="B1831" s="183"/>
      <c r="C1831" s="184"/>
      <c r="D1831" s="255"/>
      <c r="E1831" s="185"/>
      <c r="F1831" s="185"/>
      <c r="G1831" s="185"/>
      <c r="H1831" s="185"/>
      <c r="I1831" s="186" t="s">
        <v>2362</v>
      </c>
      <c r="J1831" s="223" t="s">
        <v>617</v>
      </c>
      <c r="K1831" s="210">
        <f>K1832*25%</f>
        <v>1250</v>
      </c>
      <c r="L1831" s="189"/>
      <c r="M1831" s="190"/>
    </row>
    <row r="1832" spans="1:13" s="141" customFormat="1" x14ac:dyDescent="0.2">
      <c r="A1832" s="358"/>
      <c r="B1832" s="194"/>
      <c r="C1832" s="195"/>
      <c r="D1832" s="256"/>
      <c r="E1832" s="196"/>
      <c r="F1832" s="196"/>
      <c r="G1832" s="196"/>
      <c r="H1832" s="196"/>
      <c r="I1832" s="206"/>
      <c r="J1832" s="226"/>
      <c r="K1832" s="227">
        <v>5000</v>
      </c>
      <c r="L1832" s="200"/>
      <c r="M1832" s="201"/>
    </row>
    <row r="1833" spans="1:13" s="141" customFormat="1" ht="63" customHeight="1" x14ac:dyDescent="0.2">
      <c r="A1833" s="316">
        <v>427</v>
      </c>
      <c r="B1833" s="173" t="s">
        <v>2363</v>
      </c>
      <c r="C1833" s="174"/>
      <c r="D1833" s="320" t="s">
        <v>107</v>
      </c>
      <c r="E1833" s="321"/>
      <c r="F1833" s="321"/>
      <c r="G1833" s="321"/>
      <c r="H1833" s="321"/>
      <c r="I1833" s="197" t="s">
        <v>2364</v>
      </c>
      <c r="J1833" s="226" t="s">
        <v>373</v>
      </c>
      <c r="K1833" s="271">
        <v>18000</v>
      </c>
      <c r="L1833" s="323" t="s">
        <v>111</v>
      </c>
      <c r="M1833" s="272" t="s">
        <v>2365</v>
      </c>
    </row>
    <row r="1834" spans="1:13" s="141" customFormat="1" ht="42" customHeight="1" x14ac:dyDescent="0.2">
      <c r="A1834" s="242">
        <v>428</v>
      </c>
      <c r="B1834" s="173" t="s">
        <v>2366</v>
      </c>
      <c r="C1834" s="174"/>
      <c r="D1834" s="320" t="s">
        <v>107</v>
      </c>
      <c r="E1834" s="321"/>
      <c r="F1834" s="321"/>
      <c r="G1834" s="321"/>
      <c r="H1834" s="321"/>
      <c r="I1834" s="176" t="s">
        <v>2367</v>
      </c>
      <c r="J1834" s="177" t="s">
        <v>373</v>
      </c>
      <c r="K1834" s="468">
        <v>18000</v>
      </c>
      <c r="L1834" s="323" t="s">
        <v>111</v>
      </c>
      <c r="M1834" s="272" t="s">
        <v>2368</v>
      </c>
    </row>
    <row r="1835" spans="1:13" s="141" customFormat="1" ht="21.75" customHeight="1" x14ac:dyDescent="0.2">
      <c r="A1835" s="172">
        <v>429</v>
      </c>
      <c r="B1835" s="173" t="s">
        <v>2369</v>
      </c>
      <c r="C1835" s="174"/>
      <c r="D1835" s="263" t="s">
        <v>25</v>
      </c>
      <c r="E1835" s="175"/>
      <c r="F1835" s="175" t="s">
        <v>1312</v>
      </c>
      <c r="G1835" s="175" t="s">
        <v>1179</v>
      </c>
      <c r="H1835" s="175" t="s">
        <v>361</v>
      </c>
      <c r="I1835" s="322" t="s">
        <v>2370</v>
      </c>
      <c r="J1835" s="202" t="s">
        <v>373</v>
      </c>
      <c r="K1835" s="383">
        <f>450000*65%</f>
        <v>292500</v>
      </c>
      <c r="L1835" s="180" t="s">
        <v>1179</v>
      </c>
      <c r="M1835" s="180" t="s">
        <v>2371</v>
      </c>
    </row>
    <row r="1836" spans="1:13" s="141" customFormat="1" ht="21.75" customHeight="1" x14ac:dyDescent="0.2">
      <c r="A1836" s="182"/>
      <c r="B1836" s="183"/>
      <c r="C1836" s="184"/>
      <c r="D1836" s="255"/>
      <c r="E1836" s="185"/>
      <c r="F1836" s="185"/>
      <c r="G1836" s="185"/>
      <c r="H1836" s="185"/>
      <c r="I1836" s="192" t="s">
        <v>2372</v>
      </c>
      <c r="J1836" s="177" t="s">
        <v>373</v>
      </c>
      <c r="K1836" s="261">
        <f>450000*20%</f>
        <v>90000</v>
      </c>
      <c r="L1836" s="190"/>
      <c r="M1836" s="190"/>
    </row>
    <row r="1837" spans="1:13" s="141" customFormat="1" ht="21.75" customHeight="1" x14ac:dyDescent="0.2">
      <c r="A1837" s="182"/>
      <c r="B1837" s="183"/>
      <c r="C1837" s="184"/>
      <c r="D1837" s="255"/>
      <c r="E1837" s="185"/>
      <c r="F1837" s="185"/>
      <c r="G1837" s="185"/>
      <c r="H1837" s="185"/>
      <c r="I1837" s="192" t="s">
        <v>2373</v>
      </c>
      <c r="J1837" s="191" t="s">
        <v>373</v>
      </c>
      <c r="K1837" s="261">
        <f>450000*10%</f>
        <v>45000</v>
      </c>
      <c r="L1837" s="190"/>
      <c r="M1837" s="190"/>
    </row>
    <row r="1838" spans="1:13" s="141" customFormat="1" ht="21.75" customHeight="1" x14ac:dyDescent="0.2">
      <c r="A1838" s="182"/>
      <c r="B1838" s="183"/>
      <c r="C1838" s="184"/>
      <c r="D1838" s="255"/>
      <c r="E1838" s="185"/>
      <c r="F1838" s="185"/>
      <c r="G1838" s="185"/>
      <c r="H1838" s="185"/>
      <c r="I1838" s="192" t="s">
        <v>2374</v>
      </c>
      <c r="J1838" s="187" t="s">
        <v>373</v>
      </c>
      <c r="K1838" s="225">
        <f>450000*5%</f>
        <v>22500</v>
      </c>
      <c r="L1838" s="190"/>
      <c r="M1838" s="190"/>
    </row>
    <row r="1839" spans="1:13" s="141" customFormat="1" ht="21.75" customHeight="1" x14ac:dyDescent="0.2">
      <c r="A1839" s="193"/>
      <c r="B1839" s="194"/>
      <c r="C1839" s="195"/>
      <c r="D1839" s="256"/>
      <c r="E1839" s="196"/>
      <c r="F1839" s="196"/>
      <c r="G1839" s="196"/>
      <c r="H1839" s="196"/>
      <c r="I1839" s="197"/>
      <c r="J1839" s="226"/>
      <c r="K1839" s="257">
        <f>SUM(K1835:K1838)</f>
        <v>450000</v>
      </c>
      <c r="L1839" s="201"/>
      <c r="M1839" s="201"/>
    </row>
    <row r="1840" spans="1:13" s="141" customFormat="1" ht="68.25" customHeight="1" x14ac:dyDescent="0.2">
      <c r="A1840" s="341">
        <v>430</v>
      </c>
      <c r="B1840" s="469" t="s">
        <v>2375</v>
      </c>
      <c r="C1840" s="470"/>
      <c r="D1840" s="317" t="s">
        <v>25</v>
      </c>
      <c r="E1840" s="318"/>
      <c r="F1840" s="318"/>
      <c r="G1840" s="318"/>
      <c r="H1840" s="422"/>
      <c r="I1840" s="197" t="s">
        <v>2376</v>
      </c>
      <c r="J1840" s="392" t="s">
        <v>373</v>
      </c>
      <c r="K1840" s="298">
        <v>300000</v>
      </c>
      <c r="L1840" s="471" t="s">
        <v>690</v>
      </c>
      <c r="M1840" s="226" t="s">
        <v>2377</v>
      </c>
    </row>
    <row r="1841" spans="1:14" s="141" customFormat="1" x14ac:dyDescent="0.2">
      <c r="A1841" s="172">
        <v>431</v>
      </c>
      <c r="B1841" s="173" t="s">
        <v>2378</v>
      </c>
      <c r="C1841" s="174"/>
      <c r="D1841" s="175" t="s">
        <v>107</v>
      </c>
      <c r="E1841" s="175"/>
      <c r="F1841" s="175"/>
      <c r="G1841" s="175"/>
      <c r="H1841" s="258" t="s">
        <v>164</v>
      </c>
      <c r="I1841" s="283" t="s">
        <v>2379</v>
      </c>
      <c r="J1841" s="284" t="s">
        <v>617</v>
      </c>
      <c r="K1841" s="285">
        <f>5000*90%</f>
        <v>4500</v>
      </c>
      <c r="L1841" s="184" t="s">
        <v>111</v>
      </c>
      <c r="M1841" s="190" t="s">
        <v>2380</v>
      </c>
    </row>
    <row r="1842" spans="1:14" s="141" customFormat="1" x14ac:dyDescent="0.2">
      <c r="A1842" s="182"/>
      <c r="B1842" s="183"/>
      <c r="C1842" s="184"/>
      <c r="D1842" s="185"/>
      <c r="E1842" s="185"/>
      <c r="F1842" s="185"/>
      <c r="G1842" s="185"/>
      <c r="H1842" s="260"/>
      <c r="I1842" s="192" t="s">
        <v>2381</v>
      </c>
      <c r="J1842" s="279" t="s">
        <v>617</v>
      </c>
      <c r="K1842" s="225">
        <f>5000*10%</f>
        <v>500</v>
      </c>
      <c r="L1842" s="184"/>
      <c r="M1842" s="190"/>
    </row>
    <row r="1843" spans="1:14" s="141" customFormat="1" x14ac:dyDescent="0.2">
      <c r="A1843" s="193"/>
      <c r="B1843" s="194"/>
      <c r="C1843" s="195"/>
      <c r="D1843" s="196"/>
      <c r="E1843" s="196"/>
      <c r="F1843" s="196"/>
      <c r="G1843" s="196"/>
      <c r="H1843" s="262"/>
      <c r="I1843" s="186"/>
      <c r="J1843" s="304"/>
      <c r="K1843" s="261">
        <f>SUM(K1841:K1842)</f>
        <v>5000</v>
      </c>
      <c r="L1843" s="195"/>
      <c r="M1843" s="201"/>
    </row>
    <row r="1844" spans="1:14" s="141" customFormat="1" x14ac:dyDescent="0.2">
      <c r="A1844" s="172">
        <v>432</v>
      </c>
      <c r="B1844" s="173" t="s">
        <v>2382</v>
      </c>
      <c r="C1844" s="174"/>
      <c r="D1844" s="175" t="s">
        <v>107</v>
      </c>
      <c r="E1844" s="175"/>
      <c r="F1844" s="175"/>
      <c r="G1844" s="175"/>
      <c r="H1844" s="258"/>
      <c r="I1844" s="228" t="s">
        <v>2383</v>
      </c>
      <c r="J1844" s="275" t="s">
        <v>617</v>
      </c>
      <c r="K1844" s="276">
        <f>4800*75%</f>
        <v>3600</v>
      </c>
      <c r="L1844" s="174" t="s">
        <v>111</v>
      </c>
      <c r="M1844" s="180" t="s">
        <v>2384</v>
      </c>
      <c r="N1844" s="181"/>
    </row>
    <row r="1845" spans="1:14" s="141" customFormat="1" x14ac:dyDescent="0.2">
      <c r="A1845" s="182"/>
      <c r="B1845" s="183"/>
      <c r="C1845" s="184"/>
      <c r="D1845" s="185"/>
      <c r="E1845" s="185"/>
      <c r="F1845" s="185"/>
      <c r="G1845" s="185"/>
      <c r="H1845" s="260"/>
      <c r="I1845" s="192" t="s">
        <v>2385</v>
      </c>
      <c r="J1845" s="279" t="s">
        <v>367</v>
      </c>
      <c r="K1845" s="225">
        <f>4800*25%</f>
        <v>1200</v>
      </c>
      <c r="L1845" s="184"/>
      <c r="M1845" s="190"/>
    </row>
    <row r="1846" spans="1:14" s="141" customFormat="1" x14ac:dyDescent="0.2">
      <c r="A1846" s="193"/>
      <c r="B1846" s="194"/>
      <c r="C1846" s="195"/>
      <c r="D1846" s="196"/>
      <c r="E1846" s="196"/>
      <c r="F1846" s="196"/>
      <c r="G1846" s="196"/>
      <c r="H1846" s="262"/>
      <c r="I1846" s="206"/>
      <c r="J1846" s="282"/>
      <c r="K1846" s="257">
        <f>SUM(K1844:K1845)</f>
        <v>4800</v>
      </c>
      <c r="L1846" s="195"/>
      <c r="M1846" s="201"/>
    </row>
    <row r="1847" spans="1:14" s="141" customFormat="1" x14ac:dyDescent="0.2">
      <c r="A1847" s="172">
        <v>433</v>
      </c>
      <c r="B1847" s="173" t="s">
        <v>2386</v>
      </c>
      <c r="C1847" s="174"/>
      <c r="D1847" s="175" t="s">
        <v>163</v>
      </c>
      <c r="E1847" s="175"/>
      <c r="F1847" s="175"/>
      <c r="G1847" s="175"/>
      <c r="H1847" s="258"/>
      <c r="I1847" s="283" t="s">
        <v>2387</v>
      </c>
      <c r="J1847" s="284" t="s">
        <v>617</v>
      </c>
      <c r="K1847" s="285">
        <f>530000*30%</f>
        <v>159000</v>
      </c>
      <c r="L1847" s="174" t="s">
        <v>166</v>
      </c>
      <c r="M1847" s="180" t="s">
        <v>2388</v>
      </c>
    </row>
    <row r="1848" spans="1:14" s="141" customFormat="1" x14ac:dyDescent="0.2">
      <c r="A1848" s="182"/>
      <c r="B1848" s="183"/>
      <c r="C1848" s="184"/>
      <c r="D1848" s="185"/>
      <c r="E1848" s="185"/>
      <c r="F1848" s="185"/>
      <c r="G1848" s="185"/>
      <c r="H1848" s="260"/>
      <c r="I1848" s="192" t="s">
        <v>2389</v>
      </c>
      <c r="J1848" s="279" t="s">
        <v>617</v>
      </c>
      <c r="K1848" s="225">
        <f>530000*25%</f>
        <v>132500</v>
      </c>
      <c r="L1848" s="184"/>
      <c r="M1848" s="190"/>
    </row>
    <row r="1849" spans="1:14" s="141" customFormat="1" x14ac:dyDescent="0.2">
      <c r="A1849" s="182"/>
      <c r="B1849" s="183"/>
      <c r="C1849" s="184"/>
      <c r="D1849" s="185"/>
      <c r="E1849" s="185"/>
      <c r="F1849" s="185"/>
      <c r="G1849" s="185"/>
      <c r="H1849" s="260"/>
      <c r="I1849" s="192" t="s">
        <v>2390</v>
      </c>
      <c r="J1849" s="279" t="s">
        <v>617</v>
      </c>
      <c r="K1849" s="225">
        <f>530000*25%</f>
        <v>132500</v>
      </c>
      <c r="L1849" s="184"/>
      <c r="M1849" s="190"/>
    </row>
    <row r="1850" spans="1:14" s="141" customFormat="1" x14ac:dyDescent="0.2">
      <c r="A1850" s="182"/>
      <c r="B1850" s="183"/>
      <c r="C1850" s="184"/>
      <c r="D1850" s="185"/>
      <c r="E1850" s="185"/>
      <c r="F1850" s="185"/>
      <c r="G1850" s="185"/>
      <c r="H1850" s="260"/>
      <c r="I1850" s="192" t="s">
        <v>2391</v>
      </c>
      <c r="J1850" s="279" t="s">
        <v>617</v>
      </c>
      <c r="K1850" s="225">
        <f>530000*20%</f>
        <v>106000</v>
      </c>
      <c r="L1850" s="184"/>
      <c r="M1850" s="190"/>
    </row>
    <row r="1851" spans="1:14" s="141" customFormat="1" x14ac:dyDescent="0.2">
      <c r="A1851" s="193"/>
      <c r="B1851" s="194"/>
      <c r="C1851" s="195"/>
      <c r="D1851" s="196"/>
      <c r="E1851" s="196"/>
      <c r="F1851" s="196"/>
      <c r="G1851" s="196"/>
      <c r="H1851" s="262"/>
      <c r="I1851" s="186"/>
      <c r="J1851" s="304"/>
      <c r="K1851" s="261">
        <f>SUM(K1847:K1850)</f>
        <v>530000</v>
      </c>
      <c r="L1851" s="195"/>
      <c r="M1851" s="201"/>
    </row>
    <row r="1852" spans="1:14" s="141" customFormat="1" ht="21" customHeight="1" x14ac:dyDescent="0.2">
      <c r="A1852" s="172">
        <v>434</v>
      </c>
      <c r="B1852" s="173" t="s">
        <v>2392</v>
      </c>
      <c r="C1852" s="174"/>
      <c r="D1852" s="175" t="s">
        <v>163</v>
      </c>
      <c r="E1852" s="175"/>
      <c r="F1852" s="175"/>
      <c r="G1852" s="175"/>
      <c r="H1852" s="258"/>
      <c r="I1852" s="228" t="s">
        <v>2393</v>
      </c>
      <c r="J1852" s="275" t="s">
        <v>186</v>
      </c>
      <c r="K1852" s="276">
        <f>530000*60%</f>
        <v>318000</v>
      </c>
      <c r="L1852" s="174" t="s">
        <v>166</v>
      </c>
      <c r="M1852" s="180" t="s">
        <v>2394</v>
      </c>
    </row>
    <row r="1853" spans="1:14" s="141" customFormat="1" x14ac:dyDescent="0.2">
      <c r="A1853" s="182"/>
      <c r="B1853" s="183"/>
      <c r="C1853" s="184"/>
      <c r="D1853" s="185"/>
      <c r="E1853" s="185"/>
      <c r="F1853" s="185"/>
      <c r="G1853" s="185"/>
      <c r="H1853" s="260"/>
      <c r="I1853" s="192" t="s">
        <v>616</v>
      </c>
      <c r="J1853" s="279" t="s">
        <v>617</v>
      </c>
      <c r="K1853" s="225">
        <f>530000*10%</f>
        <v>53000</v>
      </c>
      <c r="L1853" s="184"/>
      <c r="M1853" s="190"/>
    </row>
    <row r="1854" spans="1:14" s="141" customFormat="1" x14ac:dyDescent="0.2">
      <c r="A1854" s="182"/>
      <c r="B1854" s="183"/>
      <c r="C1854" s="184"/>
      <c r="D1854" s="185"/>
      <c r="E1854" s="185"/>
      <c r="F1854" s="185"/>
      <c r="G1854" s="185"/>
      <c r="H1854" s="260"/>
      <c r="I1854" s="192" t="s">
        <v>2395</v>
      </c>
      <c r="J1854" s="279" t="s">
        <v>617</v>
      </c>
      <c r="K1854" s="225">
        <f>530000*10%</f>
        <v>53000</v>
      </c>
      <c r="L1854" s="184"/>
      <c r="M1854" s="190"/>
    </row>
    <row r="1855" spans="1:14" s="141" customFormat="1" x14ac:dyDescent="0.2">
      <c r="A1855" s="182"/>
      <c r="B1855" s="183"/>
      <c r="C1855" s="184"/>
      <c r="D1855" s="185"/>
      <c r="E1855" s="185"/>
      <c r="F1855" s="185"/>
      <c r="G1855" s="185"/>
      <c r="H1855" s="260"/>
      <c r="I1855" s="192" t="s">
        <v>2396</v>
      </c>
      <c r="J1855" s="279" t="s">
        <v>617</v>
      </c>
      <c r="K1855" s="225">
        <f>530000*10%</f>
        <v>53000</v>
      </c>
      <c r="L1855" s="184"/>
      <c r="M1855" s="190"/>
    </row>
    <row r="1856" spans="1:14" s="141" customFormat="1" x14ac:dyDescent="0.2">
      <c r="A1856" s="182"/>
      <c r="B1856" s="183"/>
      <c r="C1856" s="184"/>
      <c r="D1856" s="185"/>
      <c r="E1856" s="185"/>
      <c r="F1856" s="185"/>
      <c r="G1856" s="185"/>
      <c r="H1856" s="260"/>
      <c r="I1856" s="192" t="s">
        <v>2397</v>
      </c>
      <c r="J1856" s="279" t="s">
        <v>617</v>
      </c>
      <c r="K1856" s="225">
        <f>530000*10%</f>
        <v>53000</v>
      </c>
      <c r="L1856" s="184"/>
      <c r="M1856" s="190"/>
    </row>
    <row r="1857" spans="1:14" s="141" customFormat="1" x14ac:dyDescent="0.2">
      <c r="A1857" s="193"/>
      <c r="B1857" s="194"/>
      <c r="C1857" s="195"/>
      <c r="D1857" s="196"/>
      <c r="E1857" s="196"/>
      <c r="F1857" s="196"/>
      <c r="G1857" s="196"/>
      <c r="H1857" s="262"/>
      <c r="I1857" s="206"/>
      <c r="J1857" s="282"/>
      <c r="K1857" s="257">
        <f>SUM(K1852:K1856)</f>
        <v>530000</v>
      </c>
      <c r="L1857" s="195"/>
      <c r="M1857" s="201"/>
    </row>
    <row r="1858" spans="1:14" s="141" customFormat="1" x14ac:dyDescent="0.2">
      <c r="A1858" s="172">
        <v>435</v>
      </c>
      <c r="B1858" s="173" t="s">
        <v>2398</v>
      </c>
      <c r="C1858" s="174"/>
      <c r="D1858" s="175" t="s">
        <v>25</v>
      </c>
      <c r="E1858" s="175"/>
      <c r="F1858" s="175" t="s">
        <v>1312</v>
      </c>
      <c r="G1858" s="175" t="s">
        <v>2399</v>
      </c>
      <c r="H1858" s="472" t="s">
        <v>1172</v>
      </c>
      <c r="I1858" s="473" t="s">
        <v>2400</v>
      </c>
      <c r="J1858" s="272" t="s">
        <v>617</v>
      </c>
      <c r="K1858" s="383">
        <v>1110444</v>
      </c>
      <c r="L1858" s="174" t="s">
        <v>2399</v>
      </c>
      <c r="M1858" s="180" t="s">
        <v>2401</v>
      </c>
      <c r="N1858" s="181"/>
    </row>
    <row r="1859" spans="1:14" s="141" customFormat="1" x14ac:dyDescent="0.2">
      <c r="A1859" s="182"/>
      <c r="B1859" s="183"/>
      <c r="C1859" s="184"/>
      <c r="D1859" s="185"/>
      <c r="E1859" s="185"/>
      <c r="F1859" s="185"/>
      <c r="G1859" s="185"/>
      <c r="H1859" s="474"/>
      <c r="I1859" s="475" t="s">
        <v>2402</v>
      </c>
      <c r="J1859" s="187" t="s">
        <v>617</v>
      </c>
      <c r="K1859" s="225">
        <v>1110444</v>
      </c>
      <c r="L1859" s="184"/>
      <c r="M1859" s="190"/>
    </row>
    <row r="1860" spans="1:14" s="141" customFormat="1" x14ac:dyDescent="0.2">
      <c r="A1860" s="182"/>
      <c r="B1860" s="183"/>
      <c r="C1860" s="184"/>
      <c r="D1860" s="185"/>
      <c r="E1860" s="185"/>
      <c r="F1860" s="185"/>
      <c r="G1860" s="185"/>
      <c r="H1860" s="474"/>
      <c r="I1860" s="264" t="s">
        <v>2403</v>
      </c>
      <c r="J1860" s="401" t="s">
        <v>617</v>
      </c>
      <c r="K1860" s="393">
        <v>1110444</v>
      </c>
      <c r="L1860" s="184"/>
      <c r="M1860" s="190"/>
    </row>
    <row r="1861" spans="1:14" s="141" customFormat="1" x14ac:dyDescent="0.2">
      <c r="A1861" s="182"/>
      <c r="B1861" s="183"/>
      <c r="C1861" s="184"/>
      <c r="D1861" s="185"/>
      <c r="E1861" s="185"/>
      <c r="F1861" s="185"/>
      <c r="G1861" s="185"/>
      <c r="H1861" s="474"/>
      <c r="I1861" s="476" t="s">
        <v>2404</v>
      </c>
      <c r="J1861" s="187" t="s">
        <v>617</v>
      </c>
      <c r="K1861" s="225">
        <v>1110444</v>
      </c>
      <c r="L1861" s="184"/>
      <c r="M1861" s="190"/>
    </row>
    <row r="1862" spans="1:14" s="141" customFormat="1" x14ac:dyDescent="0.2">
      <c r="A1862" s="182"/>
      <c r="B1862" s="183"/>
      <c r="C1862" s="184"/>
      <c r="D1862" s="185"/>
      <c r="E1862" s="185"/>
      <c r="F1862" s="185"/>
      <c r="G1862" s="185"/>
      <c r="H1862" s="474"/>
      <c r="I1862" s="477" t="s">
        <v>2405</v>
      </c>
      <c r="J1862" s="401" t="s">
        <v>617</v>
      </c>
      <c r="K1862" s="261">
        <v>1110444</v>
      </c>
      <c r="L1862" s="184"/>
      <c r="M1862" s="190"/>
    </row>
    <row r="1863" spans="1:14" s="141" customFormat="1" x14ac:dyDescent="0.2">
      <c r="A1863" s="182"/>
      <c r="B1863" s="183"/>
      <c r="C1863" s="184"/>
      <c r="D1863" s="185"/>
      <c r="E1863" s="185"/>
      <c r="F1863" s="185"/>
      <c r="G1863" s="185"/>
      <c r="H1863" s="474"/>
      <c r="I1863" s="475" t="s">
        <v>2406</v>
      </c>
      <c r="J1863" s="187" t="s">
        <v>617</v>
      </c>
      <c r="K1863" s="225">
        <v>1110444</v>
      </c>
      <c r="L1863" s="184"/>
      <c r="M1863" s="190"/>
    </row>
    <row r="1864" spans="1:14" s="141" customFormat="1" x14ac:dyDescent="0.2">
      <c r="A1864" s="193"/>
      <c r="B1864" s="194"/>
      <c r="C1864" s="195"/>
      <c r="D1864" s="196"/>
      <c r="E1864" s="196"/>
      <c r="F1864" s="196"/>
      <c r="G1864" s="196"/>
      <c r="H1864" s="478"/>
      <c r="I1864" s="479"/>
      <c r="J1864" s="226"/>
      <c r="K1864" s="257">
        <f>SUM(K1858:K1863)</f>
        <v>6662664</v>
      </c>
      <c r="L1864" s="195"/>
      <c r="M1864" s="201"/>
    </row>
    <row r="1865" spans="1:14" s="141" customFormat="1" x14ac:dyDescent="0.2">
      <c r="A1865" s="182">
        <v>436</v>
      </c>
      <c r="B1865" s="173" t="s">
        <v>2407</v>
      </c>
      <c r="C1865" s="174"/>
      <c r="D1865" s="175" t="s">
        <v>25</v>
      </c>
      <c r="E1865" s="175"/>
      <c r="F1865" s="175" t="s">
        <v>1312</v>
      </c>
      <c r="G1865" s="175" t="s">
        <v>2408</v>
      </c>
      <c r="H1865" s="258" t="s">
        <v>361</v>
      </c>
      <c r="I1865" s="228" t="s">
        <v>2409</v>
      </c>
      <c r="J1865" s="202" t="s">
        <v>617</v>
      </c>
      <c r="K1865" s="276">
        <v>43750</v>
      </c>
      <c r="L1865" s="174" t="s">
        <v>2408</v>
      </c>
      <c r="M1865" s="177" t="s">
        <v>2410</v>
      </c>
    </row>
    <row r="1866" spans="1:14" s="141" customFormat="1" x14ac:dyDescent="0.2">
      <c r="A1866" s="182"/>
      <c r="B1866" s="183"/>
      <c r="C1866" s="184"/>
      <c r="D1866" s="185"/>
      <c r="E1866" s="185"/>
      <c r="F1866" s="185"/>
      <c r="G1866" s="185"/>
      <c r="H1866" s="260"/>
      <c r="I1866" s="176" t="s">
        <v>2411</v>
      </c>
      <c r="J1866" s="177" t="s">
        <v>617</v>
      </c>
      <c r="K1866" s="225">
        <v>43750</v>
      </c>
      <c r="L1866" s="184"/>
      <c r="M1866" s="177"/>
    </row>
    <row r="1867" spans="1:14" s="141" customFormat="1" x14ac:dyDescent="0.2">
      <c r="A1867" s="182"/>
      <c r="B1867" s="183"/>
      <c r="C1867" s="184"/>
      <c r="D1867" s="185"/>
      <c r="E1867" s="185"/>
      <c r="F1867" s="185"/>
      <c r="G1867" s="185"/>
      <c r="H1867" s="260"/>
      <c r="I1867" s="186" t="s">
        <v>2412</v>
      </c>
      <c r="J1867" s="191" t="s">
        <v>617</v>
      </c>
      <c r="K1867" s="393">
        <v>43750</v>
      </c>
      <c r="L1867" s="184"/>
      <c r="M1867" s="177"/>
    </row>
    <row r="1868" spans="1:14" s="141" customFormat="1" x14ac:dyDescent="0.2">
      <c r="A1868" s="182"/>
      <c r="B1868" s="183"/>
      <c r="C1868" s="184"/>
      <c r="D1868" s="185"/>
      <c r="E1868" s="185"/>
      <c r="F1868" s="185"/>
      <c r="G1868" s="185"/>
      <c r="H1868" s="260"/>
      <c r="I1868" s="186" t="s">
        <v>2413</v>
      </c>
      <c r="J1868" s="191" t="s">
        <v>617</v>
      </c>
      <c r="K1868" s="225">
        <v>43750</v>
      </c>
      <c r="L1868" s="184"/>
      <c r="M1868" s="177"/>
    </row>
    <row r="1869" spans="1:14" s="141" customFormat="1" x14ac:dyDescent="0.2">
      <c r="A1869" s="182"/>
      <c r="B1869" s="183"/>
      <c r="C1869" s="184"/>
      <c r="D1869" s="185"/>
      <c r="E1869" s="185"/>
      <c r="F1869" s="185"/>
      <c r="G1869" s="185"/>
      <c r="H1869" s="260"/>
      <c r="I1869" s="192" t="s">
        <v>2414</v>
      </c>
      <c r="J1869" s="187" t="s">
        <v>617</v>
      </c>
      <c r="K1869" s="225">
        <v>43750</v>
      </c>
      <c r="L1869" s="184"/>
      <c r="M1869" s="177"/>
    </row>
    <row r="1870" spans="1:14" s="141" customFormat="1" x14ac:dyDescent="0.2">
      <c r="A1870" s="182"/>
      <c r="B1870" s="183"/>
      <c r="C1870" s="184"/>
      <c r="D1870" s="185"/>
      <c r="E1870" s="185"/>
      <c r="F1870" s="185"/>
      <c r="G1870" s="185"/>
      <c r="H1870" s="260"/>
      <c r="I1870" s="192" t="s">
        <v>2415</v>
      </c>
      <c r="J1870" s="177" t="s">
        <v>617</v>
      </c>
      <c r="K1870" s="393">
        <v>43750</v>
      </c>
      <c r="L1870" s="184"/>
      <c r="M1870" s="177"/>
    </row>
    <row r="1871" spans="1:14" s="141" customFormat="1" x14ac:dyDescent="0.2">
      <c r="A1871" s="182"/>
      <c r="B1871" s="183"/>
      <c r="C1871" s="184"/>
      <c r="D1871" s="185"/>
      <c r="E1871" s="185"/>
      <c r="F1871" s="185"/>
      <c r="G1871" s="185"/>
      <c r="H1871" s="260"/>
      <c r="I1871" s="176" t="s">
        <v>2416</v>
      </c>
      <c r="J1871" s="187" t="s">
        <v>617</v>
      </c>
      <c r="K1871" s="225">
        <v>43750</v>
      </c>
      <c r="L1871" s="184"/>
      <c r="M1871" s="177"/>
    </row>
    <row r="1872" spans="1:14" s="141" customFormat="1" x14ac:dyDescent="0.2">
      <c r="A1872" s="182"/>
      <c r="B1872" s="183"/>
      <c r="C1872" s="184"/>
      <c r="D1872" s="185"/>
      <c r="E1872" s="185"/>
      <c r="F1872" s="185"/>
      <c r="G1872" s="185"/>
      <c r="H1872" s="260"/>
      <c r="I1872" s="186" t="s">
        <v>2417</v>
      </c>
      <c r="J1872" s="187" t="s">
        <v>617</v>
      </c>
      <c r="K1872" s="393">
        <v>43750</v>
      </c>
      <c r="L1872" s="184"/>
      <c r="M1872" s="177"/>
    </row>
    <row r="1873" spans="1:13" s="141" customFormat="1" x14ac:dyDescent="0.2">
      <c r="A1873" s="193"/>
      <c r="B1873" s="194"/>
      <c r="C1873" s="195"/>
      <c r="D1873" s="196"/>
      <c r="E1873" s="196"/>
      <c r="F1873" s="196"/>
      <c r="G1873" s="196"/>
      <c r="H1873" s="262"/>
      <c r="I1873" s="206"/>
      <c r="J1873" s="198"/>
      <c r="K1873" s="257">
        <f>SUM(K1865:K1872)</f>
        <v>350000</v>
      </c>
      <c r="L1873" s="195"/>
      <c r="M1873" s="177"/>
    </row>
    <row r="1874" spans="1:13" s="141" customFormat="1" ht="21" customHeight="1" x14ac:dyDescent="0.2">
      <c r="A1874" s="172">
        <v>437</v>
      </c>
      <c r="B1874" s="173" t="s">
        <v>2418</v>
      </c>
      <c r="C1874" s="174"/>
      <c r="D1874" s="263" t="s">
        <v>107</v>
      </c>
      <c r="E1874" s="175"/>
      <c r="F1874" s="175"/>
      <c r="G1874" s="175"/>
      <c r="H1874" s="175" t="s">
        <v>108</v>
      </c>
      <c r="I1874" s="228" t="s">
        <v>2419</v>
      </c>
      <c r="J1874" s="315" t="s">
        <v>186</v>
      </c>
      <c r="K1874" s="216">
        <f>K1878*85%</f>
        <v>4675</v>
      </c>
      <c r="L1874" s="179" t="s">
        <v>111</v>
      </c>
      <c r="M1874" s="180" t="s">
        <v>2420</v>
      </c>
    </row>
    <row r="1875" spans="1:13" s="141" customFormat="1" x14ac:dyDescent="0.2">
      <c r="A1875" s="182"/>
      <c r="B1875" s="183"/>
      <c r="C1875" s="184"/>
      <c r="D1875" s="255"/>
      <c r="E1875" s="185"/>
      <c r="F1875" s="185"/>
      <c r="G1875" s="185"/>
      <c r="H1875" s="185"/>
      <c r="I1875" s="176" t="s">
        <v>2421</v>
      </c>
      <c r="J1875" s="177" t="s">
        <v>365</v>
      </c>
      <c r="K1875" s="240">
        <f>K1878*5%</f>
        <v>275</v>
      </c>
      <c r="L1875" s="189"/>
      <c r="M1875" s="190"/>
    </row>
    <row r="1876" spans="1:13" s="141" customFormat="1" x14ac:dyDescent="0.2">
      <c r="A1876" s="182"/>
      <c r="B1876" s="183"/>
      <c r="C1876" s="184"/>
      <c r="D1876" s="255"/>
      <c r="E1876" s="185"/>
      <c r="F1876" s="185"/>
      <c r="G1876" s="185"/>
      <c r="H1876" s="185"/>
      <c r="I1876" s="186" t="s">
        <v>2422</v>
      </c>
      <c r="J1876" s="223" t="s">
        <v>365</v>
      </c>
      <c r="K1876" s="213">
        <f>K1878*5%</f>
        <v>275</v>
      </c>
      <c r="L1876" s="189"/>
      <c r="M1876" s="190"/>
    </row>
    <row r="1877" spans="1:13" s="141" customFormat="1" x14ac:dyDescent="0.2">
      <c r="A1877" s="182"/>
      <c r="B1877" s="183"/>
      <c r="C1877" s="184"/>
      <c r="D1877" s="255"/>
      <c r="E1877" s="185"/>
      <c r="F1877" s="185"/>
      <c r="G1877" s="185"/>
      <c r="H1877" s="185"/>
      <c r="I1877" s="186" t="s">
        <v>795</v>
      </c>
      <c r="J1877" s="223" t="s">
        <v>790</v>
      </c>
      <c r="K1877" s="210">
        <f>K1878*5%</f>
        <v>275</v>
      </c>
      <c r="L1877" s="189"/>
      <c r="M1877" s="190"/>
    </row>
    <row r="1878" spans="1:13" s="141" customFormat="1" x14ac:dyDescent="0.2">
      <c r="A1878" s="193"/>
      <c r="B1878" s="194"/>
      <c r="C1878" s="195"/>
      <c r="D1878" s="256"/>
      <c r="E1878" s="196"/>
      <c r="F1878" s="196"/>
      <c r="G1878" s="196"/>
      <c r="H1878" s="196"/>
      <c r="I1878" s="206"/>
      <c r="J1878" s="226"/>
      <c r="K1878" s="227">
        <v>5500</v>
      </c>
      <c r="L1878" s="200"/>
      <c r="M1878" s="201"/>
    </row>
    <row r="1879" spans="1:13" s="141" customFormat="1" ht="21" customHeight="1" x14ac:dyDescent="0.2">
      <c r="A1879" s="172">
        <v>438</v>
      </c>
      <c r="B1879" s="173" t="s">
        <v>2423</v>
      </c>
      <c r="C1879" s="174"/>
      <c r="D1879" s="263" t="s">
        <v>107</v>
      </c>
      <c r="E1879" s="175"/>
      <c r="F1879" s="175"/>
      <c r="G1879" s="175"/>
      <c r="H1879" s="175" t="s">
        <v>137</v>
      </c>
      <c r="I1879" s="176" t="s">
        <v>2424</v>
      </c>
      <c r="J1879" s="177" t="s">
        <v>186</v>
      </c>
      <c r="K1879" s="216">
        <f>K1882*90%</f>
        <v>3600</v>
      </c>
      <c r="L1879" s="179" t="s">
        <v>111</v>
      </c>
      <c r="M1879" s="180" t="s">
        <v>2425</v>
      </c>
    </row>
    <row r="1880" spans="1:13" s="141" customFormat="1" x14ac:dyDescent="0.2">
      <c r="A1880" s="182"/>
      <c r="B1880" s="183"/>
      <c r="C1880" s="184"/>
      <c r="D1880" s="255"/>
      <c r="E1880" s="185"/>
      <c r="F1880" s="185"/>
      <c r="G1880" s="185"/>
      <c r="H1880" s="185"/>
      <c r="I1880" s="192" t="s">
        <v>2426</v>
      </c>
      <c r="J1880" s="212" t="s">
        <v>709</v>
      </c>
      <c r="K1880" s="213">
        <f>K1882*5%</f>
        <v>200</v>
      </c>
      <c r="L1880" s="189"/>
      <c r="M1880" s="190"/>
    </row>
    <row r="1881" spans="1:13" s="141" customFormat="1" x14ac:dyDescent="0.2">
      <c r="A1881" s="182"/>
      <c r="B1881" s="183"/>
      <c r="C1881" s="184"/>
      <c r="D1881" s="255"/>
      <c r="E1881" s="185"/>
      <c r="F1881" s="185"/>
      <c r="G1881" s="185"/>
      <c r="H1881" s="185"/>
      <c r="I1881" s="283" t="s">
        <v>2427</v>
      </c>
      <c r="J1881" s="212" t="s">
        <v>617</v>
      </c>
      <c r="K1881" s="213">
        <f>K1882*5%</f>
        <v>200</v>
      </c>
      <c r="L1881" s="189"/>
      <c r="M1881" s="190"/>
    </row>
    <row r="1882" spans="1:13" s="141" customFormat="1" x14ac:dyDescent="0.2">
      <c r="A1882" s="193"/>
      <c r="B1882" s="194"/>
      <c r="C1882" s="195"/>
      <c r="D1882" s="256"/>
      <c r="E1882" s="196"/>
      <c r="F1882" s="196"/>
      <c r="G1882" s="196"/>
      <c r="H1882" s="196"/>
      <c r="I1882" s="197"/>
      <c r="J1882" s="214"/>
      <c r="K1882" s="210">
        <v>4000</v>
      </c>
      <c r="L1882" s="200"/>
      <c r="M1882" s="201"/>
    </row>
    <row r="1883" spans="1:13" s="141" customFormat="1" ht="24" customHeight="1" x14ac:dyDescent="0.2">
      <c r="A1883" s="172">
        <v>439</v>
      </c>
      <c r="B1883" s="173" t="s">
        <v>2428</v>
      </c>
      <c r="C1883" s="174"/>
      <c r="D1883" s="263" t="s">
        <v>107</v>
      </c>
      <c r="E1883" s="175"/>
      <c r="F1883" s="175"/>
      <c r="G1883" s="175"/>
      <c r="H1883" s="175" t="s">
        <v>137</v>
      </c>
      <c r="I1883" s="228" t="s">
        <v>2429</v>
      </c>
      <c r="J1883" s="177" t="s">
        <v>186</v>
      </c>
      <c r="K1883" s="423">
        <f>K1886*80%</f>
        <v>3200</v>
      </c>
      <c r="L1883" s="180" t="s">
        <v>111</v>
      </c>
      <c r="M1883" s="180" t="s">
        <v>2430</v>
      </c>
    </row>
    <row r="1884" spans="1:13" s="141" customFormat="1" x14ac:dyDescent="0.2">
      <c r="A1884" s="182"/>
      <c r="B1884" s="183"/>
      <c r="C1884" s="184"/>
      <c r="D1884" s="255"/>
      <c r="E1884" s="185"/>
      <c r="F1884" s="185"/>
      <c r="G1884" s="185"/>
      <c r="H1884" s="185"/>
      <c r="I1884" s="192" t="s">
        <v>2431</v>
      </c>
      <c r="J1884" s="191" t="s">
        <v>617</v>
      </c>
      <c r="K1884" s="425">
        <f>K1886*10%</f>
        <v>400</v>
      </c>
      <c r="L1884" s="190"/>
      <c r="M1884" s="190"/>
    </row>
    <row r="1885" spans="1:13" s="141" customFormat="1" x14ac:dyDescent="0.2">
      <c r="A1885" s="182"/>
      <c r="B1885" s="183"/>
      <c r="C1885" s="184"/>
      <c r="D1885" s="255"/>
      <c r="E1885" s="185"/>
      <c r="F1885" s="185"/>
      <c r="G1885" s="185"/>
      <c r="H1885" s="185"/>
      <c r="I1885" s="176" t="s">
        <v>2432</v>
      </c>
      <c r="J1885" s="191" t="s">
        <v>617</v>
      </c>
      <c r="K1885" s="425">
        <f>K1886*10%</f>
        <v>400</v>
      </c>
      <c r="L1885" s="190"/>
      <c r="M1885" s="190"/>
    </row>
    <row r="1886" spans="1:13" s="141" customFormat="1" x14ac:dyDescent="0.2">
      <c r="A1886" s="193"/>
      <c r="B1886" s="194"/>
      <c r="C1886" s="195"/>
      <c r="D1886" s="256"/>
      <c r="E1886" s="196"/>
      <c r="F1886" s="196"/>
      <c r="G1886" s="196"/>
      <c r="H1886" s="196"/>
      <c r="I1886" s="206"/>
      <c r="J1886" s="198"/>
      <c r="K1886" s="480">
        <v>4000</v>
      </c>
      <c r="L1886" s="201"/>
      <c r="M1886" s="201"/>
    </row>
    <row r="1887" spans="1:13" s="141" customFormat="1" ht="21.75" customHeight="1" x14ac:dyDescent="0.2">
      <c r="A1887" s="172">
        <v>440</v>
      </c>
      <c r="B1887" s="173" t="s">
        <v>2433</v>
      </c>
      <c r="C1887" s="174"/>
      <c r="D1887" s="263" t="s">
        <v>107</v>
      </c>
      <c r="E1887" s="175"/>
      <c r="F1887" s="175"/>
      <c r="G1887" s="175"/>
      <c r="H1887" s="175"/>
      <c r="I1887" s="283" t="s">
        <v>2434</v>
      </c>
      <c r="J1887" s="259" t="s">
        <v>186</v>
      </c>
      <c r="K1887" s="224">
        <f>4000*15%</f>
        <v>600</v>
      </c>
      <c r="L1887" s="180" t="s">
        <v>111</v>
      </c>
      <c r="M1887" s="180" t="s">
        <v>2435</v>
      </c>
    </row>
    <row r="1888" spans="1:13" s="141" customFormat="1" x14ac:dyDescent="0.2">
      <c r="A1888" s="182"/>
      <c r="B1888" s="183"/>
      <c r="C1888" s="184"/>
      <c r="D1888" s="255"/>
      <c r="E1888" s="185"/>
      <c r="F1888" s="185"/>
      <c r="G1888" s="185"/>
      <c r="H1888" s="185"/>
      <c r="I1888" s="192" t="s">
        <v>2436</v>
      </c>
      <c r="J1888" s="187" t="s">
        <v>617</v>
      </c>
      <c r="K1888" s="220">
        <f>4000*10%</f>
        <v>400</v>
      </c>
      <c r="L1888" s="190"/>
      <c r="M1888" s="190"/>
    </row>
    <row r="1889" spans="1:13" s="141" customFormat="1" x14ac:dyDescent="0.2">
      <c r="A1889" s="182"/>
      <c r="B1889" s="183"/>
      <c r="C1889" s="184"/>
      <c r="D1889" s="255"/>
      <c r="E1889" s="185"/>
      <c r="F1889" s="185"/>
      <c r="G1889" s="185"/>
      <c r="H1889" s="185"/>
      <c r="I1889" s="192" t="s">
        <v>2437</v>
      </c>
      <c r="J1889" s="187" t="s">
        <v>617</v>
      </c>
      <c r="K1889" s="220">
        <f>4000*10%</f>
        <v>400</v>
      </c>
      <c r="L1889" s="190"/>
      <c r="M1889" s="190"/>
    </row>
    <row r="1890" spans="1:13" s="141" customFormat="1" x14ac:dyDescent="0.2">
      <c r="A1890" s="182"/>
      <c r="B1890" s="183"/>
      <c r="C1890" s="184"/>
      <c r="D1890" s="255"/>
      <c r="E1890" s="185"/>
      <c r="F1890" s="185"/>
      <c r="G1890" s="185"/>
      <c r="H1890" s="185"/>
      <c r="I1890" s="192" t="s">
        <v>2438</v>
      </c>
      <c r="J1890" s="187" t="s">
        <v>617</v>
      </c>
      <c r="K1890" s="220">
        <f>4000*65%</f>
        <v>2600</v>
      </c>
      <c r="L1890" s="190"/>
      <c r="M1890" s="190"/>
    </row>
    <row r="1891" spans="1:13" s="141" customFormat="1" x14ac:dyDescent="0.2">
      <c r="A1891" s="193"/>
      <c r="B1891" s="194"/>
      <c r="C1891" s="195"/>
      <c r="D1891" s="256"/>
      <c r="E1891" s="196"/>
      <c r="F1891" s="196"/>
      <c r="G1891" s="196"/>
      <c r="H1891" s="196"/>
      <c r="I1891" s="206"/>
      <c r="J1891" s="198"/>
      <c r="K1891" s="221">
        <f>SUM(K1887:K1890)</f>
        <v>4000</v>
      </c>
      <c r="L1891" s="201"/>
      <c r="M1891" s="201"/>
    </row>
    <row r="1892" spans="1:13" s="141" customFormat="1" ht="23.25" customHeight="1" x14ac:dyDescent="0.2">
      <c r="A1892" s="172">
        <v>441</v>
      </c>
      <c r="B1892" s="173" t="s">
        <v>2439</v>
      </c>
      <c r="C1892" s="174"/>
      <c r="D1892" s="263" t="s">
        <v>107</v>
      </c>
      <c r="E1892" s="175"/>
      <c r="F1892" s="175"/>
      <c r="G1892" s="175"/>
      <c r="H1892" s="175" t="s">
        <v>137</v>
      </c>
      <c r="I1892" s="283" t="s">
        <v>2440</v>
      </c>
      <c r="J1892" s="259" t="s">
        <v>186</v>
      </c>
      <c r="K1892" s="219">
        <f>6500*50%</f>
        <v>3250</v>
      </c>
      <c r="L1892" s="180" t="s">
        <v>111</v>
      </c>
      <c r="M1892" s="180" t="s">
        <v>2441</v>
      </c>
    </row>
    <row r="1893" spans="1:13" s="141" customFormat="1" x14ac:dyDescent="0.2">
      <c r="A1893" s="182"/>
      <c r="B1893" s="183"/>
      <c r="C1893" s="184"/>
      <c r="D1893" s="255"/>
      <c r="E1893" s="185"/>
      <c r="F1893" s="185"/>
      <c r="G1893" s="185"/>
      <c r="H1893" s="185"/>
      <c r="I1893" s="192" t="s">
        <v>2442</v>
      </c>
      <c r="J1893" s="187" t="s">
        <v>617</v>
      </c>
      <c r="K1893" s="225">
        <f>6500*40%</f>
        <v>2600</v>
      </c>
      <c r="L1893" s="190"/>
      <c r="M1893" s="190"/>
    </row>
    <row r="1894" spans="1:13" s="141" customFormat="1" x14ac:dyDescent="0.2">
      <c r="A1894" s="182"/>
      <c r="B1894" s="183"/>
      <c r="C1894" s="184"/>
      <c r="D1894" s="255"/>
      <c r="E1894" s="185"/>
      <c r="F1894" s="185"/>
      <c r="G1894" s="185"/>
      <c r="H1894" s="185"/>
      <c r="I1894" s="192" t="s">
        <v>2443</v>
      </c>
      <c r="J1894" s="187" t="s">
        <v>617</v>
      </c>
      <c r="K1894" s="225">
        <f>6500*10%</f>
        <v>650</v>
      </c>
      <c r="L1894" s="190"/>
      <c r="M1894" s="190"/>
    </row>
    <row r="1895" spans="1:13" s="141" customFormat="1" x14ac:dyDescent="0.2">
      <c r="A1895" s="193"/>
      <c r="B1895" s="194"/>
      <c r="C1895" s="195"/>
      <c r="D1895" s="256"/>
      <c r="E1895" s="196"/>
      <c r="F1895" s="196"/>
      <c r="G1895" s="196"/>
      <c r="H1895" s="196"/>
      <c r="I1895" s="206"/>
      <c r="J1895" s="198"/>
      <c r="K1895" s="221">
        <f>SUM(K1892:K1894)</f>
        <v>6500</v>
      </c>
      <c r="L1895" s="201"/>
      <c r="M1895" s="201"/>
    </row>
    <row r="1896" spans="1:13" s="141" customFormat="1" ht="23.25" customHeight="1" x14ac:dyDescent="0.2">
      <c r="A1896" s="172">
        <v>442</v>
      </c>
      <c r="B1896" s="173" t="s">
        <v>2444</v>
      </c>
      <c r="C1896" s="174"/>
      <c r="D1896" s="263" t="s">
        <v>107</v>
      </c>
      <c r="E1896" s="175"/>
      <c r="F1896" s="175"/>
      <c r="G1896" s="175"/>
      <c r="H1896" s="175" t="s">
        <v>137</v>
      </c>
      <c r="I1896" s="283" t="s">
        <v>2445</v>
      </c>
      <c r="J1896" s="259" t="s">
        <v>186</v>
      </c>
      <c r="K1896" s="219">
        <f>5000*60%</f>
        <v>3000</v>
      </c>
      <c r="L1896" s="180" t="s">
        <v>111</v>
      </c>
      <c r="M1896" s="180" t="s">
        <v>2446</v>
      </c>
    </row>
    <row r="1897" spans="1:13" s="141" customFormat="1" x14ac:dyDescent="0.2">
      <c r="A1897" s="182"/>
      <c r="B1897" s="183"/>
      <c r="C1897" s="184"/>
      <c r="D1897" s="255"/>
      <c r="E1897" s="185"/>
      <c r="F1897" s="185"/>
      <c r="G1897" s="185"/>
      <c r="H1897" s="185"/>
      <c r="I1897" s="192" t="s">
        <v>2447</v>
      </c>
      <c r="J1897" s="187" t="s">
        <v>617</v>
      </c>
      <c r="K1897" s="225">
        <f>5000*20%</f>
        <v>1000</v>
      </c>
      <c r="L1897" s="190"/>
      <c r="M1897" s="190"/>
    </row>
    <row r="1898" spans="1:13" s="141" customFormat="1" x14ac:dyDescent="0.2">
      <c r="A1898" s="182"/>
      <c r="B1898" s="183"/>
      <c r="C1898" s="184"/>
      <c r="D1898" s="255"/>
      <c r="E1898" s="185"/>
      <c r="F1898" s="185"/>
      <c r="G1898" s="185"/>
      <c r="H1898" s="185"/>
      <c r="I1898" s="192" t="s">
        <v>2448</v>
      </c>
      <c r="J1898" s="187" t="s">
        <v>617</v>
      </c>
      <c r="K1898" s="225">
        <f>5000*20%</f>
        <v>1000</v>
      </c>
      <c r="L1898" s="190"/>
      <c r="M1898" s="190"/>
    </row>
    <row r="1899" spans="1:13" s="141" customFormat="1" x14ac:dyDescent="0.2">
      <c r="A1899" s="193"/>
      <c r="B1899" s="194"/>
      <c r="C1899" s="195"/>
      <c r="D1899" s="256"/>
      <c r="E1899" s="196"/>
      <c r="F1899" s="196"/>
      <c r="G1899" s="196"/>
      <c r="H1899" s="196"/>
      <c r="I1899" s="206"/>
      <c r="J1899" s="198"/>
      <c r="K1899" s="239">
        <f>SUM(K1896:K1898)</f>
        <v>5000</v>
      </c>
      <c r="L1899" s="201"/>
      <c r="M1899" s="201"/>
    </row>
    <row r="1900" spans="1:13" s="141" customFormat="1" ht="23.25" customHeight="1" x14ac:dyDescent="0.2">
      <c r="A1900" s="172">
        <v>443</v>
      </c>
      <c r="B1900" s="173" t="s">
        <v>2449</v>
      </c>
      <c r="C1900" s="174"/>
      <c r="D1900" s="263" t="s">
        <v>107</v>
      </c>
      <c r="E1900" s="175"/>
      <c r="F1900" s="175"/>
      <c r="G1900" s="175"/>
      <c r="H1900" s="175" t="s">
        <v>108</v>
      </c>
      <c r="I1900" s="283" t="s">
        <v>2450</v>
      </c>
      <c r="J1900" s="259" t="s">
        <v>186</v>
      </c>
      <c r="K1900" s="224">
        <f>5000*50%</f>
        <v>2500</v>
      </c>
      <c r="L1900" s="180" t="s">
        <v>111</v>
      </c>
      <c r="M1900" s="180" t="s">
        <v>2451</v>
      </c>
    </row>
    <row r="1901" spans="1:13" s="141" customFormat="1" x14ac:dyDescent="0.2">
      <c r="A1901" s="182"/>
      <c r="B1901" s="183"/>
      <c r="C1901" s="184"/>
      <c r="D1901" s="255"/>
      <c r="E1901" s="185"/>
      <c r="F1901" s="185"/>
      <c r="G1901" s="185"/>
      <c r="H1901" s="185"/>
      <c r="I1901" s="192" t="s">
        <v>2452</v>
      </c>
      <c r="J1901" s="187" t="s">
        <v>617</v>
      </c>
      <c r="K1901" s="220">
        <f>5000*20%</f>
        <v>1000</v>
      </c>
      <c r="L1901" s="190"/>
      <c r="M1901" s="190"/>
    </row>
    <row r="1902" spans="1:13" s="141" customFormat="1" x14ac:dyDescent="0.2">
      <c r="A1902" s="182"/>
      <c r="B1902" s="183"/>
      <c r="C1902" s="184"/>
      <c r="D1902" s="255"/>
      <c r="E1902" s="185"/>
      <c r="F1902" s="185"/>
      <c r="G1902" s="185"/>
      <c r="H1902" s="185"/>
      <c r="I1902" s="192" t="s">
        <v>2448</v>
      </c>
      <c r="J1902" s="187" t="s">
        <v>617</v>
      </c>
      <c r="K1902" s="220">
        <f>5000*20%</f>
        <v>1000</v>
      </c>
      <c r="L1902" s="190"/>
      <c r="M1902" s="190"/>
    </row>
    <row r="1903" spans="1:13" s="141" customFormat="1" x14ac:dyDescent="0.2">
      <c r="A1903" s="182"/>
      <c r="B1903" s="183"/>
      <c r="C1903" s="184"/>
      <c r="D1903" s="255"/>
      <c r="E1903" s="185"/>
      <c r="F1903" s="185"/>
      <c r="G1903" s="185"/>
      <c r="H1903" s="185"/>
      <c r="I1903" s="192" t="s">
        <v>2453</v>
      </c>
      <c r="J1903" s="187" t="s">
        <v>617</v>
      </c>
      <c r="K1903" s="220">
        <f>5000*10%</f>
        <v>500</v>
      </c>
      <c r="L1903" s="190"/>
      <c r="M1903" s="190"/>
    </row>
    <row r="1904" spans="1:13" s="141" customFormat="1" x14ac:dyDescent="0.2">
      <c r="A1904" s="193"/>
      <c r="B1904" s="194"/>
      <c r="C1904" s="195"/>
      <c r="D1904" s="256"/>
      <c r="E1904" s="196"/>
      <c r="F1904" s="196"/>
      <c r="G1904" s="196"/>
      <c r="H1904" s="196"/>
      <c r="I1904" s="206"/>
      <c r="J1904" s="198"/>
      <c r="K1904" s="221">
        <f>SUM(K1900:K1903)</f>
        <v>5000</v>
      </c>
      <c r="L1904" s="201"/>
      <c r="M1904" s="201"/>
    </row>
    <row r="1905" spans="1:13" s="141" customFormat="1" ht="22.5" customHeight="1" x14ac:dyDescent="0.2">
      <c r="A1905" s="172">
        <v>444</v>
      </c>
      <c r="B1905" s="173" t="s">
        <v>2454</v>
      </c>
      <c r="C1905" s="174"/>
      <c r="D1905" s="263" t="s">
        <v>107</v>
      </c>
      <c r="E1905" s="175"/>
      <c r="F1905" s="175"/>
      <c r="G1905" s="175"/>
      <c r="H1905" s="175" t="s">
        <v>137</v>
      </c>
      <c r="I1905" s="283" t="s">
        <v>2455</v>
      </c>
      <c r="J1905" s="259" t="s">
        <v>186</v>
      </c>
      <c r="K1905" s="222">
        <f>6500*80%</f>
        <v>5200</v>
      </c>
      <c r="L1905" s="179" t="s">
        <v>111</v>
      </c>
      <c r="M1905" s="180" t="s">
        <v>2456</v>
      </c>
    </row>
    <row r="1906" spans="1:13" s="141" customFormat="1" x14ac:dyDescent="0.2">
      <c r="A1906" s="182"/>
      <c r="B1906" s="183"/>
      <c r="C1906" s="184"/>
      <c r="D1906" s="255"/>
      <c r="E1906" s="185"/>
      <c r="F1906" s="185"/>
      <c r="G1906" s="185"/>
      <c r="H1906" s="185"/>
      <c r="I1906" s="192" t="s">
        <v>2457</v>
      </c>
      <c r="J1906" s="187" t="s">
        <v>617</v>
      </c>
      <c r="K1906" s="240">
        <f>6500*10%</f>
        <v>650</v>
      </c>
      <c r="L1906" s="189"/>
      <c r="M1906" s="190"/>
    </row>
    <row r="1907" spans="1:13" s="141" customFormat="1" x14ac:dyDescent="0.2">
      <c r="A1907" s="182"/>
      <c r="B1907" s="183"/>
      <c r="C1907" s="184"/>
      <c r="D1907" s="255"/>
      <c r="E1907" s="185"/>
      <c r="F1907" s="185"/>
      <c r="G1907" s="185"/>
      <c r="H1907" s="185"/>
      <c r="I1907" s="192" t="s">
        <v>2458</v>
      </c>
      <c r="J1907" s="187" t="s">
        <v>617</v>
      </c>
      <c r="K1907" s="240">
        <f>6500*10%</f>
        <v>650</v>
      </c>
      <c r="L1907" s="189"/>
      <c r="M1907" s="190"/>
    </row>
    <row r="1908" spans="1:13" s="141" customFormat="1" x14ac:dyDescent="0.2">
      <c r="A1908" s="193"/>
      <c r="B1908" s="194"/>
      <c r="C1908" s="195"/>
      <c r="D1908" s="256"/>
      <c r="E1908" s="196"/>
      <c r="F1908" s="196"/>
      <c r="G1908" s="196"/>
      <c r="H1908" s="196"/>
      <c r="I1908" s="206"/>
      <c r="J1908" s="198"/>
      <c r="K1908" s="227">
        <f>SUM(K1905:K1907)</f>
        <v>6500</v>
      </c>
      <c r="L1908" s="200"/>
      <c r="M1908" s="201"/>
    </row>
    <row r="1909" spans="1:13" s="141" customFormat="1" ht="20.25" customHeight="1" x14ac:dyDescent="0.2">
      <c r="A1909" s="172">
        <v>445</v>
      </c>
      <c r="B1909" s="173" t="s">
        <v>2459</v>
      </c>
      <c r="C1909" s="174"/>
      <c r="D1909" s="263" t="s">
        <v>107</v>
      </c>
      <c r="E1909" s="175"/>
      <c r="F1909" s="175"/>
      <c r="G1909" s="175"/>
      <c r="H1909" s="175" t="s">
        <v>137</v>
      </c>
      <c r="I1909" s="283" t="s">
        <v>2460</v>
      </c>
      <c r="J1909" s="259" t="s">
        <v>186</v>
      </c>
      <c r="K1909" s="209">
        <f>5000*10%</f>
        <v>500</v>
      </c>
      <c r="L1909" s="179" t="s">
        <v>111</v>
      </c>
      <c r="M1909" s="180" t="s">
        <v>2461</v>
      </c>
    </row>
    <row r="1910" spans="1:13" s="141" customFormat="1" ht="20.25" customHeight="1" x14ac:dyDescent="0.2">
      <c r="A1910" s="182"/>
      <c r="B1910" s="183"/>
      <c r="C1910" s="184"/>
      <c r="D1910" s="255"/>
      <c r="E1910" s="185"/>
      <c r="F1910" s="185"/>
      <c r="G1910" s="185"/>
      <c r="H1910" s="185"/>
      <c r="I1910" s="192" t="s">
        <v>2462</v>
      </c>
      <c r="J1910" s="187" t="s">
        <v>617</v>
      </c>
      <c r="K1910" s="213">
        <f>5000*80%</f>
        <v>4000</v>
      </c>
      <c r="L1910" s="189"/>
      <c r="M1910" s="190"/>
    </row>
    <row r="1911" spans="1:13" s="141" customFormat="1" ht="20.25" customHeight="1" x14ac:dyDescent="0.2">
      <c r="A1911" s="182"/>
      <c r="B1911" s="183"/>
      <c r="C1911" s="184"/>
      <c r="D1911" s="255"/>
      <c r="E1911" s="185"/>
      <c r="F1911" s="185"/>
      <c r="G1911" s="185"/>
      <c r="H1911" s="185"/>
      <c r="I1911" s="192" t="s">
        <v>2458</v>
      </c>
      <c r="J1911" s="187" t="s">
        <v>617</v>
      </c>
      <c r="K1911" s="213">
        <f t="shared" ref="K1911" si="47">5000*10%</f>
        <v>500</v>
      </c>
      <c r="L1911" s="189"/>
      <c r="M1911" s="190"/>
    </row>
    <row r="1912" spans="1:13" s="141" customFormat="1" ht="20.25" customHeight="1" x14ac:dyDescent="0.2">
      <c r="A1912" s="193"/>
      <c r="B1912" s="194"/>
      <c r="C1912" s="195"/>
      <c r="D1912" s="256"/>
      <c r="E1912" s="196"/>
      <c r="F1912" s="196"/>
      <c r="G1912" s="196"/>
      <c r="H1912" s="196"/>
      <c r="I1912" s="206"/>
      <c r="J1912" s="198"/>
      <c r="K1912" s="218">
        <f>SUM(K1909:K1911)</f>
        <v>5000</v>
      </c>
      <c r="L1912" s="200"/>
      <c r="M1912" s="201"/>
    </row>
    <row r="1913" spans="1:13" s="141" customFormat="1" ht="21.75" customHeight="1" x14ac:dyDescent="0.2">
      <c r="A1913" s="172">
        <v>446</v>
      </c>
      <c r="B1913" s="173" t="s">
        <v>2463</v>
      </c>
      <c r="C1913" s="174"/>
      <c r="D1913" s="263" t="s">
        <v>107</v>
      </c>
      <c r="E1913" s="175"/>
      <c r="F1913" s="175"/>
      <c r="G1913" s="175"/>
      <c r="H1913" s="175"/>
      <c r="I1913" s="283" t="s">
        <v>2464</v>
      </c>
      <c r="J1913" s="259" t="s">
        <v>186</v>
      </c>
      <c r="K1913" s="224">
        <f>6500*15%</f>
        <v>975</v>
      </c>
      <c r="L1913" s="180" t="s">
        <v>111</v>
      </c>
      <c r="M1913" s="180" t="s">
        <v>2465</v>
      </c>
    </row>
    <row r="1914" spans="1:13" s="141" customFormat="1" x14ac:dyDescent="0.2">
      <c r="A1914" s="182"/>
      <c r="B1914" s="183"/>
      <c r="C1914" s="184"/>
      <c r="D1914" s="255"/>
      <c r="E1914" s="185"/>
      <c r="F1914" s="185"/>
      <c r="G1914" s="185"/>
      <c r="H1914" s="185"/>
      <c r="I1914" s="192" t="s">
        <v>2466</v>
      </c>
      <c r="J1914" s="187" t="s">
        <v>617</v>
      </c>
      <c r="K1914" s="220">
        <f>6500*20%</f>
        <v>1300</v>
      </c>
      <c r="L1914" s="190"/>
      <c r="M1914" s="190"/>
    </row>
    <row r="1915" spans="1:13" s="141" customFormat="1" x14ac:dyDescent="0.2">
      <c r="A1915" s="182"/>
      <c r="B1915" s="183"/>
      <c r="C1915" s="184"/>
      <c r="D1915" s="255"/>
      <c r="E1915" s="185"/>
      <c r="F1915" s="185"/>
      <c r="G1915" s="185"/>
      <c r="H1915" s="185"/>
      <c r="I1915" s="192" t="s">
        <v>2467</v>
      </c>
      <c r="J1915" s="187" t="s">
        <v>617</v>
      </c>
      <c r="K1915" s="220">
        <f t="shared" ref="K1915:K1918" si="48">6500*15%</f>
        <v>975</v>
      </c>
      <c r="L1915" s="190"/>
      <c r="M1915" s="190"/>
    </row>
    <row r="1916" spans="1:13" s="141" customFormat="1" x14ac:dyDescent="0.2">
      <c r="A1916" s="182"/>
      <c r="B1916" s="183"/>
      <c r="C1916" s="184"/>
      <c r="D1916" s="255"/>
      <c r="E1916" s="185"/>
      <c r="F1916" s="185"/>
      <c r="G1916" s="185"/>
      <c r="H1916" s="185"/>
      <c r="I1916" s="192" t="s">
        <v>2468</v>
      </c>
      <c r="J1916" s="187" t="s">
        <v>617</v>
      </c>
      <c r="K1916" s="220">
        <f>6500*20%</f>
        <v>1300</v>
      </c>
      <c r="L1916" s="190"/>
      <c r="M1916" s="190"/>
    </row>
    <row r="1917" spans="1:13" s="141" customFormat="1" x14ac:dyDescent="0.2">
      <c r="A1917" s="182"/>
      <c r="B1917" s="183"/>
      <c r="C1917" s="184"/>
      <c r="D1917" s="255"/>
      <c r="E1917" s="185"/>
      <c r="F1917" s="185"/>
      <c r="G1917" s="185"/>
      <c r="H1917" s="185"/>
      <c r="I1917" s="192" t="s">
        <v>2469</v>
      </c>
      <c r="J1917" s="187" t="s">
        <v>617</v>
      </c>
      <c r="K1917" s="220">
        <f t="shared" si="48"/>
        <v>975</v>
      </c>
      <c r="L1917" s="190"/>
      <c r="M1917" s="190"/>
    </row>
    <row r="1918" spans="1:13" s="141" customFormat="1" x14ac:dyDescent="0.2">
      <c r="A1918" s="182"/>
      <c r="B1918" s="183"/>
      <c r="C1918" s="184"/>
      <c r="D1918" s="255"/>
      <c r="E1918" s="185"/>
      <c r="F1918" s="185"/>
      <c r="G1918" s="185"/>
      <c r="H1918" s="185"/>
      <c r="I1918" s="192" t="s">
        <v>2470</v>
      </c>
      <c r="J1918" s="187" t="s">
        <v>617</v>
      </c>
      <c r="K1918" s="220">
        <f t="shared" si="48"/>
        <v>975</v>
      </c>
      <c r="L1918" s="190"/>
      <c r="M1918" s="190"/>
    </row>
    <row r="1919" spans="1:13" s="141" customFormat="1" x14ac:dyDescent="0.2">
      <c r="A1919" s="193"/>
      <c r="B1919" s="194"/>
      <c r="C1919" s="195"/>
      <c r="D1919" s="256"/>
      <c r="E1919" s="196"/>
      <c r="F1919" s="196"/>
      <c r="G1919" s="196"/>
      <c r="H1919" s="196"/>
      <c r="I1919" s="206"/>
      <c r="J1919" s="198"/>
      <c r="K1919" s="221">
        <f>SUM(K1913:K1918)</f>
        <v>6500</v>
      </c>
      <c r="L1919" s="201"/>
      <c r="M1919" s="201"/>
    </row>
    <row r="1920" spans="1:13" s="141" customFormat="1" ht="22.5" customHeight="1" x14ac:dyDescent="0.2">
      <c r="A1920" s="172">
        <v>447</v>
      </c>
      <c r="B1920" s="173" t="s">
        <v>2471</v>
      </c>
      <c r="C1920" s="174"/>
      <c r="D1920" s="263" t="s">
        <v>107</v>
      </c>
      <c r="E1920" s="175"/>
      <c r="F1920" s="175"/>
      <c r="G1920" s="175"/>
      <c r="H1920" s="175" t="s">
        <v>137</v>
      </c>
      <c r="I1920" s="283" t="s">
        <v>2472</v>
      </c>
      <c r="J1920" s="259" t="s">
        <v>617</v>
      </c>
      <c r="K1920" s="209">
        <f>5000*40%</f>
        <v>2000</v>
      </c>
      <c r="L1920" s="179" t="s">
        <v>111</v>
      </c>
      <c r="M1920" s="180" t="s">
        <v>2473</v>
      </c>
    </row>
    <row r="1921" spans="1:13" s="141" customFormat="1" x14ac:dyDescent="0.2">
      <c r="A1921" s="182"/>
      <c r="B1921" s="183"/>
      <c r="C1921" s="184"/>
      <c r="D1921" s="255"/>
      <c r="E1921" s="185"/>
      <c r="F1921" s="185"/>
      <c r="G1921" s="185"/>
      <c r="H1921" s="185"/>
      <c r="I1921" s="192" t="s">
        <v>2474</v>
      </c>
      <c r="J1921" s="187" t="s">
        <v>617</v>
      </c>
      <c r="K1921" s="213">
        <f>5000*30%</f>
        <v>1500</v>
      </c>
      <c r="L1921" s="189"/>
      <c r="M1921" s="190"/>
    </row>
    <row r="1922" spans="1:13" s="141" customFormat="1" x14ac:dyDescent="0.2">
      <c r="A1922" s="182"/>
      <c r="B1922" s="183"/>
      <c r="C1922" s="184"/>
      <c r="D1922" s="255"/>
      <c r="E1922" s="185"/>
      <c r="F1922" s="185"/>
      <c r="G1922" s="185"/>
      <c r="H1922" s="185"/>
      <c r="I1922" s="192" t="s">
        <v>2475</v>
      </c>
      <c r="J1922" s="187" t="s">
        <v>617</v>
      </c>
      <c r="K1922" s="213">
        <f>5000*30%</f>
        <v>1500</v>
      </c>
      <c r="L1922" s="189"/>
      <c r="M1922" s="190"/>
    </row>
    <row r="1923" spans="1:13" s="141" customFormat="1" x14ac:dyDescent="0.2">
      <c r="A1923" s="193"/>
      <c r="B1923" s="194"/>
      <c r="C1923" s="195"/>
      <c r="D1923" s="256"/>
      <c r="E1923" s="196"/>
      <c r="F1923" s="196"/>
      <c r="G1923" s="196"/>
      <c r="H1923" s="196"/>
      <c r="I1923" s="206"/>
      <c r="J1923" s="198"/>
      <c r="K1923" s="218">
        <f>SUM(K1920:K1922)</f>
        <v>5000</v>
      </c>
      <c r="L1923" s="200"/>
      <c r="M1923" s="201"/>
    </row>
    <row r="1924" spans="1:13" s="141" customFormat="1" ht="24.75" customHeight="1" x14ac:dyDescent="0.2">
      <c r="A1924" s="172">
        <v>448</v>
      </c>
      <c r="B1924" s="173" t="s">
        <v>2476</v>
      </c>
      <c r="C1924" s="174"/>
      <c r="D1924" s="263" t="s">
        <v>107</v>
      </c>
      <c r="E1924" s="175"/>
      <c r="F1924" s="175"/>
      <c r="G1924" s="175"/>
      <c r="H1924" s="175" t="s">
        <v>108</v>
      </c>
      <c r="I1924" s="283" t="s">
        <v>2477</v>
      </c>
      <c r="J1924" s="259" t="s">
        <v>186</v>
      </c>
      <c r="K1924" s="209">
        <f>5000*30%</f>
        <v>1500</v>
      </c>
      <c r="L1924" s="179" t="s">
        <v>111</v>
      </c>
      <c r="M1924" s="180" t="s">
        <v>2478</v>
      </c>
    </row>
    <row r="1925" spans="1:13" s="141" customFormat="1" x14ac:dyDescent="0.2">
      <c r="A1925" s="182"/>
      <c r="B1925" s="183"/>
      <c r="C1925" s="184"/>
      <c r="D1925" s="255"/>
      <c r="E1925" s="185"/>
      <c r="F1925" s="185"/>
      <c r="G1925" s="185"/>
      <c r="H1925" s="185"/>
      <c r="I1925" s="192" t="s">
        <v>2479</v>
      </c>
      <c r="J1925" s="187" t="s">
        <v>617</v>
      </c>
      <c r="K1925" s="213">
        <f>5000*25%</f>
        <v>1250</v>
      </c>
      <c r="L1925" s="189"/>
      <c r="M1925" s="190"/>
    </row>
    <row r="1926" spans="1:13" s="141" customFormat="1" x14ac:dyDescent="0.2">
      <c r="A1926" s="182"/>
      <c r="B1926" s="183"/>
      <c r="C1926" s="184"/>
      <c r="D1926" s="255"/>
      <c r="E1926" s="185"/>
      <c r="F1926" s="185"/>
      <c r="G1926" s="185"/>
      <c r="H1926" s="185"/>
      <c r="I1926" s="192" t="s">
        <v>2480</v>
      </c>
      <c r="J1926" s="187" t="s">
        <v>617</v>
      </c>
      <c r="K1926" s="213">
        <f>5000*25%</f>
        <v>1250</v>
      </c>
      <c r="L1926" s="189"/>
      <c r="M1926" s="190"/>
    </row>
    <row r="1927" spans="1:13" s="141" customFormat="1" x14ac:dyDescent="0.2">
      <c r="A1927" s="182"/>
      <c r="B1927" s="183"/>
      <c r="C1927" s="184"/>
      <c r="D1927" s="255"/>
      <c r="E1927" s="185"/>
      <c r="F1927" s="185"/>
      <c r="G1927" s="185"/>
      <c r="H1927" s="185"/>
      <c r="I1927" s="192" t="s">
        <v>2481</v>
      </c>
      <c r="J1927" s="187" t="s">
        <v>617</v>
      </c>
      <c r="K1927" s="213">
        <f>5000*20%</f>
        <v>1000</v>
      </c>
      <c r="L1927" s="189"/>
      <c r="M1927" s="190"/>
    </row>
    <row r="1928" spans="1:13" s="141" customFormat="1" x14ac:dyDescent="0.2">
      <c r="A1928" s="193"/>
      <c r="B1928" s="194"/>
      <c r="C1928" s="195"/>
      <c r="D1928" s="256"/>
      <c r="E1928" s="196"/>
      <c r="F1928" s="196"/>
      <c r="G1928" s="196"/>
      <c r="H1928" s="196"/>
      <c r="I1928" s="206"/>
      <c r="J1928" s="198"/>
      <c r="K1928" s="218">
        <f>SUM(K1924:K1927)</f>
        <v>5000</v>
      </c>
      <c r="L1928" s="200"/>
      <c r="M1928" s="201"/>
    </row>
    <row r="1929" spans="1:13" s="141" customFormat="1" ht="24.75" customHeight="1" x14ac:dyDescent="0.2">
      <c r="A1929" s="172">
        <v>449</v>
      </c>
      <c r="B1929" s="173" t="s">
        <v>2482</v>
      </c>
      <c r="C1929" s="174"/>
      <c r="D1929" s="263" t="s">
        <v>107</v>
      </c>
      <c r="E1929" s="175"/>
      <c r="F1929" s="175"/>
      <c r="G1929" s="175"/>
      <c r="H1929" s="175"/>
      <c r="I1929" s="283" t="s">
        <v>2483</v>
      </c>
      <c r="J1929" s="259" t="s">
        <v>186</v>
      </c>
      <c r="K1929" s="224">
        <f>6500*60%</f>
        <v>3900</v>
      </c>
      <c r="L1929" s="180" t="s">
        <v>111</v>
      </c>
      <c r="M1929" s="180" t="s">
        <v>2484</v>
      </c>
    </row>
    <row r="1930" spans="1:13" s="141" customFormat="1" x14ac:dyDescent="0.2">
      <c r="A1930" s="182"/>
      <c r="B1930" s="183"/>
      <c r="C1930" s="184"/>
      <c r="D1930" s="255"/>
      <c r="E1930" s="185"/>
      <c r="F1930" s="185"/>
      <c r="G1930" s="185"/>
      <c r="H1930" s="185"/>
      <c r="I1930" s="192" t="s">
        <v>2485</v>
      </c>
      <c r="J1930" s="187" t="s">
        <v>617</v>
      </c>
      <c r="K1930" s="220">
        <f>6500*10%</f>
        <v>650</v>
      </c>
      <c r="L1930" s="190"/>
      <c r="M1930" s="190"/>
    </row>
    <row r="1931" spans="1:13" s="141" customFormat="1" x14ac:dyDescent="0.2">
      <c r="A1931" s="182"/>
      <c r="B1931" s="183"/>
      <c r="C1931" s="184"/>
      <c r="D1931" s="255"/>
      <c r="E1931" s="185"/>
      <c r="F1931" s="185"/>
      <c r="G1931" s="185"/>
      <c r="H1931" s="185"/>
      <c r="I1931" s="192" t="s">
        <v>2436</v>
      </c>
      <c r="J1931" s="187" t="s">
        <v>617</v>
      </c>
      <c r="K1931" s="220">
        <f t="shared" ref="K1931:K1933" si="49">6500*10%</f>
        <v>650</v>
      </c>
      <c r="L1931" s="190"/>
      <c r="M1931" s="190"/>
    </row>
    <row r="1932" spans="1:13" s="141" customFormat="1" x14ac:dyDescent="0.2">
      <c r="A1932" s="182"/>
      <c r="B1932" s="183"/>
      <c r="C1932" s="184"/>
      <c r="D1932" s="255"/>
      <c r="E1932" s="185"/>
      <c r="F1932" s="185"/>
      <c r="G1932" s="185"/>
      <c r="H1932" s="185"/>
      <c r="I1932" s="192" t="s">
        <v>2486</v>
      </c>
      <c r="J1932" s="187" t="s">
        <v>617</v>
      </c>
      <c r="K1932" s="220">
        <f t="shared" si="49"/>
        <v>650</v>
      </c>
      <c r="L1932" s="190"/>
      <c r="M1932" s="190"/>
    </row>
    <row r="1933" spans="1:13" s="141" customFormat="1" x14ac:dyDescent="0.2">
      <c r="A1933" s="182"/>
      <c r="B1933" s="183"/>
      <c r="C1933" s="184"/>
      <c r="D1933" s="255"/>
      <c r="E1933" s="185"/>
      <c r="F1933" s="185"/>
      <c r="G1933" s="185"/>
      <c r="H1933" s="185"/>
      <c r="I1933" s="192" t="s">
        <v>2487</v>
      </c>
      <c r="J1933" s="187" t="s">
        <v>617</v>
      </c>
      <c r="K1933" s="220">
        <f t="shared" si="49"/>
        <v>650</v>
      </c>
      <c r="L1933" s="190"/>
      <c r="M1933" s="190"/>
    </row>
    <row r="1934" spans="1:13" s="141" customFormat="1" x14ac:dyDescent="0.2">
      <c r="A1934" s="193"/>
      <c r="B1934" s="194"/>
      <c r="C1934" s="195"/>
      <c r="D1934" s="256"/>
      <c r="E1934" s="196"/>
      <c r="F1934" s="196"/>
      <c r="G1934" s="196"/>
      <c r="H1934" s="196"/>
      <c r="I1934" s="206"/>
      <c r="J1934" s="198"/>
      <c r="K1934" s="221">
        <f>SUM(K1929:K1933)</f>
        <v>6500</v>
      </c>
      <c r="L1934" s="201"/>
      <c r="M1934" s="201"/>
    </row>
    <row r="1935" spans="1:13" s="141" customFormat="1" ht="23.25" customHeight="1" x14ac:dyDescent="0.2">
      <c r="A1935" s="172">
        <v>450</v>
      </c>
      <c r="B1935" s="173" t="s">
        <v>2488</v>
      </c>
      <c r="C1935" s="174"/>
      <c r="D1935" s="263" t="s">
        <v>107</v>
      </c>
      <c r="E1935" s="175"/>
      <c r="F1935" s="175"/>
      <c r="G1935" s="175"/>
      <c r="H1935" s="175"/>
      <c r="I1935" s="283" t="s">
        <v>2489</v>
      </c>
      <c r="J1935" s="259" t="s">
        <v>186</v>
      </c>
      <c r="K1935" s="222">
        <f>5000*20%</f>
        <v>1000</v>
      </c>
      <c r="L1935" s="179" t="s">
        <v>111</v>
      </c>
      <c r="M1935" s="180" t="s">
        <v>2490</v>
      </c>
    </row>
    <row r="1936" spans="1:13" s="141" customFormat="1" x14ac:dyDescent="0.2">
      <c r="A1936" s="182"/>
      <c r="B1936" s="183"/>
      <c r="C1936" s="184"/>
      <c r="D1936" s="255"/>
      <c r="E1936" s="185"/>
      <c r="F1936" s="185"/>
      <c r="G1936" s="185"/>
      <c r="H1936" s="185"/>
      <c r="I1936" s="192" t="s">
        <v>2486</v>
      </c>
      <c r="J1936" s="187" t="s">
        <v>617</v>
      </c>
      <c r="K1936" s="240">
        <f>5000*10%</f>
        <v>500</v>
      </c>
      <c r="L1936" s="189"/>
      <c r="M1936" s="190"/>
    </row>
    <row r="1937" spans="1:13" s="141" customFormat="1" x14ac:dyDescent="0.2">
      <c r="A1937" s="182"/>
      <c r="B1937" s="183"/>
      <c r="C1937" s="184"/>
      <c r="D1937" s="255"/>
      <c r="E1937" s="185"/>
      <c r="F1937" s="185"/>
      <c r="G1937" s="185"/>
      <c r="H1937" s="185"/>
      <c r="I1937" s="192" t="s">
        <v>2437</v>
      </c>
      <c r="J1937" s="187" t="s">
        <v>617</v>
      </c>
      <c r="K1937" s="240">
        <f>5000*10%</f>
        <v>500</v>
      </c>
      <c r="L1937" s="189"/>
      <c r="M1937" s="190"/>
    </row>
    <row r="1938" spans="1:13" s="141" customFormat="1" x14ac:dyDescent="0.2">
      <c r="A1938" s="182"/>
      <c r="B1938" s="183"/>
      <c r="C1938" s="184"/>
      <c r="D1938" s="255"/>
      <c r="E1938" s="185"/>
      <c r="F1938" s="185"/>
      <c r="G1938" s="185"/>
      <c r="H1938" s="185"/>
      <c r="I1938" s="192" t="s">
        <v>2491</v>
      </c>
      <c r="J1938" s="187" t="s">
        <v>617</v>
      </c>
      <c r="K1938" s="240">
        <f>5000*60%</f>
        <v>3000</v>
      </c>
      <c r="L1938" s="189"/>
      <c r="M1938" s="190"/>
    </row>
    <row r="1939" spans="1:13" s="141" customFormat="1" x14ac:dyDescent="0.2">
      <c r="A1939" s="193"/>
      <c r="B1939" s="194"/>
      <c r="C1939" s="195"/>
      <c r="D1939" s="256"/>
      <c r="E1939" s="196"/>
      <c r="F1939" s="196"/>
      <c r="G1939" s="196"/>
      <c r="H1939" s="196"/>
      <c r="I1939" s="206"/>
      <c r="J1939" s="198"/>
      <c r="K1939" s="227">
        <f>SUM(K1935:K1938)</f>
        <v>5000</v>
      </c>
      <c r="L1939" s="200"/>
      <c r="M1939" s="201"/>
    </row>
    <row r="1940" spans="1:13" s="141" customFormat="1" ht="24.75" customHeight="1" x14ac:dyDescent="0.2">
      <c r="A1940" s="172">
        <v>451</v>
      </c>
      <c r="B1940" s="173" t="s">
        <v>2492</v>
      </c>
      <c r="C1940" s="174"/>
      <c r="D1940" s="263" t="s">
        <v>107</v>
      </c>
      <c r="E1940" s="175"/>
      <c r="F1940" s="175"/>
      <c r="G1940" s="175"/>
      <c r="H1940" s="175"/>
      <c r="I1940" s="283" t="s">
        <v>2493</v>
      </c>
      <c r="J1940" s="259" t="s">
        <v>186</v>
      </c>
      <c r="K1940" s="219">
        <f>5000*70%</f>
        <v>3500</v>
      </c>
      <c r="L1940" s="180" t="s">
        <v>111</v>
      </c>
      <c r="M1940" s="180" t="s">
        <v>2494</v>
      </c>
    </row>
    <row r="1941" spans="1:13" s="141" customFormat="1" x14ac:dyDescent="0.2">
      <c r="A1941" s="182"/>
      <c r="B1941" s="183"/>
      <c r="C1941" s="184"/>
      <c r="D1941" s="255"/>
      <c r="E1941" s="185"/>
      <c r="F1941" s="185"/>
      <c r="G1941" s="185"/>
      <c r="H1941" s="185"/>
      <c r="I1941" s="192" t="s">
        <v>2495</v>
      </c>
      <c r="J1941" s="187" t="s">
        <v>617</v>
      </c>
      <c r="K1941" s="225">
        <f>5000*30%</f>
        <v>1500</v>
      </c>
      <c r="L1941" s="190"/>
      <c r="M1941" s="190"/>
    </row>
    <row r="1942" spans="1:13" s="141" customFormat="1" x14ac:dyDescent="0.2">
      <c r="A1942" s="193"/>
      <c r="B1942" s="194"/>
      <c r="C1942" s="195"/>
      <c r="D1942" s="256"/>
      <c r="E1942" s="196"/>
      <c r="F1942" s="196"/>
      <c r="G1942" s="196"/>
      <c r="H1942" s="196"/>
      <c r="I1942" s="206"/>
      <c r="J1942" s="198"/>
      <c r="K1942" s="257">
        <f>SUM(K1940:K1941)</f>
        <v>5000</v>
      </c>
      <c r="L1942" s="201"/>
      <c r="M1942" s="201"/>
    </row>
    <row r="1943" spans="1:13" s="141" customFormat="1" ht="65.25" customHeight="1" x14ac:dyDescent="0.2">
      <c r="A1943" s="242">
        <v>452</v>
      </c>
      <c r="B1943" s="266" t="s">
        <v>2496</v>
      </c>
      <c r="C1943" s="267" t="s">
        <v>2496</v>
      </c>
      <c r="D1943" s="268" t="s">
        <v>107</v>
      </c>
      <c r="E1943" s="269"/>
      <c r="F1943" s="269"/>
      <c r="G1943" s="269"/>
      <c r="H1943" s="270"/>
      <c r="I1943" s="197" t="s">
        <v>2497</v>
      </c>
      <c r="J1943" s="226" t="s">
        <v>617</v>
      </c>
      <c r="K1943" s="436">
        <v>35000</v>
      </c>
      <c r="L1943" s="272" t="s">
        <v>111</v>
      </c>
      <c r="M1943" s="226" t="s">
        <v>2498</v>
      </c>
    </row>
    <row r="1944" spans="1:13" s="141" customFormat="1" ht="67.5" customHeight="1" x14ac:dyDescent="0.2">
      <c r="A1944" s="316">
        <v>453</v>
      </c>
      <c r="B1944" s="266" t="s">
        <v>2499</v>
      </c>
      <c r="C1944" s="267"/>
      <c r="D1944" s="317" t="s">
        <v>25</v>
      </c>
      <c r="E1944" s="347"/>
      <c r="F1944" s="347"/>
      <c r="G1944" s="347" t="s">
        <v>2500</v>
      </c>
      <c r="H1944" s="347" t="s">
        <v>1172</v>
      </c>
      <c r="I1944" s="289" t="s">
        <v>2501</v>
      </c>
      <c r="J1944" s="290" t="s">
        <v>617</v>
      </c>
      <c r="K1944" s="481">
        <v>20000</v>
      </c>
      <c r="L1944" s="319" t="s">
        <v>2500</v>
      </c>
      <c r="M1944" s="177" t="s">
        <v>2502</v>
      </c>
    </row>
    <row r="1945" spans="1:13" s="141" customFormat="1" ht="19.5" customHeight="1" x14ac:dyDescent="0.2">
      <c r="A1945" s="172">
        <v>454</v>
      </c>
      <c r="B1945" s="299" t="s">
        <v>2503</v>
      </c>
      <c r="C1945" s="300"/>
      <c r="D1945" s="175" t="s">
        <v>107</v>
      </c>
      <c r="E1945" s="175"/>
      <c r="F1945" s="175"/>
      <c r="G1945" s="175"/>
      <c r="H1945" s="175"/>
      <c r="I1945" s="283" t="s">
        <v>2504</v>
      </c>
      <c r="J1945" s="284" t="s">
        <v>617</v>
      </c>
      <c r="K1945" s="276">
        <f>16000*50%</f>
        <v>8000</v>
      </c>
      <c r="L1945" s="180" t="s">
        <v>111</v>
      </c>
      <c r="M1945" s="180" t="s">
        <v>2505</v>
      </c>
    </row>
    <row r="1946" spans="1:13" s="141" customFormat="1" x14ac:dyDescent="0.2">
      <c r="A1946" s="182"/>
      <c r="B1946" s="294"/>
      <c r="C1946" s="295"/>
      <c r="D1946" s="185"/>
      <c r="E1946" s="185"/>
      <c r="F1946" s="185"/>
      <c r="G1946" s="185"/>
      <c r="H1946" s="185"/>
      <c r="I1946" s="192" t="s">
        <v>2506</v>
      </c>
      <c r="J1946" s="279" t="s">
        <v>617</v>
      </c>
      <c r="K1946" s="225">
        <f>16000*50%</f>
        <v>8000</v>
      </c>
      <c r="L1946" s="190"/>
      <c r="M1946" s="190"/>
    </row>
    <row r="1947" spans="1:13" s="141" customFormat="1" x14ac:dyDescent="0.2">
      <c r="A1947" s="193"/>
      <c r="B1947" s="327"/>
      <c r="C1947" s="328"/>
      <c r="D1947" s="196"/>
      <c r="E1947" s="196"/>
      <c r="F1947" s="196"/>
      <c r="G1947" s="196"/>
      <c r="H1947" s="196"/>
      <c r="I1947" s="186"/>
      <c r="J1947" s="304"/>
      <c r="K1947" s="261">
        <f>SUM(K1945:K1946)</f>
        <v>16000</v>
      </c>
      <c r="L1947" s="201"/>
      <c r="M1947" s="201"/>
    </row>
    <row r="1948" spans="1:13" s="141" customFormat="1" x14ac:dyDescent="0.2">
      <c r="A1948" s="172">
        <v>455</v>
      </c>
      <c r="B1948" s="299" t="s">
        <v>2507</v>
      </c>
      <c r="C1948" s="300"/>
      <c r="D1948" s="175" t="s">
        <v>107</v>
      </c>
      <c r="E1948" s="175"/>
      <c r="F1948" s="175"/>
      <c r="G1948" s="175"/>
      <c r="H1948" s="175"/>
      <c r="I1948" s="228" t="s">
        <v>2508</v>
      </c>
      <c r="J1948" s="275" t="s">
        <v>617</v>
      </c>
      <c r="K1948" s="276">
        <f>10000*40%</f>
        <v>4000</v>
      </c>
      <c r="L1948" s="180" t="s">
        <v>111</v>
      </c>
      <c r="M1948" s="180" t="s">
        <v>1373</v>
      </c>
    </row>
    <row r="1949" spans="1:13" s="141" customFormat="1" x14ac:dyDescent="0.2">
      <c r="A1949" s="182"/>
      <c r="B1949" s="294"/>
      <c r="C1949" s="295"/>
      <c r="D1949" s="185"/>
      <c r="E1949" s="185"/>
      <c r="F1949" s="185"/>
      <c r="G1949" s="185"/>
      <c r="H1949" s="185"/>
      <c r="I1949" s="192" t="s">
        <v>2509</v>
      </c>
      <c r="J1949" s="279" t="s">
        <v>617</v>
      </c>
      <c r="K1949" s="225">
        <f>10000*30%</f>
        <v>3000</v>
      </c>
      <c r="L1949" s="190"/>
      <c r="M1949" s="190"/>
    </row>
    <row r="1950" spans="1:13" s="141" customFormat="1" x14ac:dyDescent="0.2">
      <c r="A1950" s="182"/>
      <c r="B1950" s="294"/>
      <c r="C1950" s="295"/>
      <c r="D1950" s="185"/>
      <c r="E1950" s="185"/>
      <c r="F1950" s="185"/>
      <c r="G1950" s="185"/>
      <c r="H1950" s="185"/>
      <c r="I1950" s="192" t="s">
        <v>2510</v>
      </c>
      <c r="J1950" s="279" t="s">
        <v>617</v>
      </c>
      <c r="K1950" s="225">
        <f>10000*30%</f>
        <v>3000</v>
      </c>
      <c r="L1950" s="190"/>
      <c r="M1950" s="190"/>
    </row>
    <row r="1951" spans="1:13" s="141" customFormat="1" x14ac:dyDescent="0.2">
      <c r="A1951" s="193"/>
      <c r="B1951" s="327"/>
      <c r="C1951" s="328"/>
      <c r="D1951" s="196"/>
      <c r="E1951" s="196"/>
      <c r="F1951" s="196"/>
      <c r="G1951" s="196"/>
      <c r="H1951" s="196"/>
      <c r="I1951" s="206"/>
      <c r="J1951" s="282"/>
      <c r="K1951" s="257">
        <f>SUM(K1948:K1950)</f>
        <v>10000</v>
      </c>
      <c r="L1951" s="201"/>
      <c r="M1951" s="201"/>
    </row>
    <row r="1952" spans="1:13" s="141" customFormat="1" ht="65.25" customHeight="1" x14ac:dyDescent="0.2">
      <c r="A1952" s="341">
        <v>456</v>
      </c>
      <c r="B1952" s="324" t="s">
        <v>2511</v>
      </c>
      <c r="C1952" s="325" t="s">
        <v>2511</v>
      </c>
      <c r="D1952" s="321" t="s">
        <v>107</v>
      </c>
      <c r="E1952" s="321"/>
      <c r="F1952" s="321"/>
      <c r="G1952" s="321"/>
      <c r="H1952" s="421"/>
      <c r="I1952" s="228" t="s">
        <v>2512</v>
      </c>
      <c r="J1952" s="275" t="s">
        <v>617</v>
      </c>
      <c r="K1952" s="291">
        <v>20000</v>
      </c>
      <c r="L1952" s="319" t="s">
        <v>111</v>
      </c>
      <c r="M1952" s="272" t="s">
        <v>2513</v>
      </c>
    </row>
    <row r="1953" spans="1:13" s="141" customFormat="1" ht="26.25" customHeight="1" x14ac:dyDescent="0.2">
      <c r="A1953" s="172">
        <v>457</v>
      </c>
      <c r="B1953" s="173" t="s">
        <v>2514</v>
      </c>
      <c r="C1953" s="174"/>
      <c r="D1953" s="175" t="s">
        <v>107</v>
      </c>
      <c r="E1953" s="175"/>
      <c r="F1953" s="175"/>
      <c r="G1953" s="175"/>
      <c r="H1953" s="258" t="s">
        <v>164</v>
      </c>
      <c r="I1953" s="228" t="s">
        <v>2515</v>
      </c>
      <c r="J1953" s="272" t="s">
        <v>186</v>
      </c>
      <c r="K1953" s="276">
        <f>6500*75%</f>
        <v>4875</v>
      </c>
      <c r="L1953" s="180" t="s">
        <v>111</v>
      </c>
      <c r="M1953" s="180" t="s">
        <v>2516</v>
      </c>
    </row>
    <row r="1954" spans="1:13" s="141" customFormat="1" ht="26.25" customHeight="1" x14ac:dyDescent="0.2">
      <c r="A1954" s="182"/>
      <c r="B1954" s="183"/>
      <c r="C1954" s="184"/>
      <c r="D1954" s="185"/>
      <c r="E1954" s="185"/>
      <c r="F1954" s="185"/>
      <c r="G1954" s="185"/>
      <c r="H1954" s="260"/>
      <c r="I1954" s="192" t="s">
        <v>2517</v>
      </c>
      <c r="J1954" s="191" t="s">
        <v>373</v>
      </c>
      <c r="K1954" s="393">
        <f>6500*25%</f>
        <v>1625</v>
      </c>
      <c r="L1954" s="190"/>
      <c r="M1954" s="190"/>
    </row>
    <row r="1955" spans="1:13" s="141" customFormat="1" ht="26.25" customHeight="1" x14ac:dyDescent="0.2">
      <c r="A1955" s="193"/>
      <c r="B1955" s="194"/>
      <c r="C1955" s="195"/>
      <c r="D1955" s="196"/>
      <c r="E1955" s="196"/>
      <c r="F1955" s="196"/>
      <c r="G1955" s="196"/>
      <c r="H1955" s="262"/>
      <c r="I1955" s="197"/>
      <c r="J1955" s="198"/>
      <c r="K1955" s="257">
        <f>SUM(K1953:K1954)</f>
        <v>6500</v>
      </c>
      <c r="L1955" s="201"/>
      <c r="M1955" s="201"/>
    </row>
    <row r="1956" spans="1:13" s="141" customFormat="1" ht="24.75" customHeight="1" x14ac:dyDescent="0.2">
      <c r="A1956" s="172">
        <v>458</v>
      </c>
      <c r="B1956" s="173" t="s">
        <v>2518</v>
      </c>
      <c r="C1956" s="174"/>
      <c r="D1956" s="175" t="s">
        <v>107</v>
      </c>
      <c r="E1956" s="175"/>
      <c r="F1956" s="175"/>
      <c r="G1956" s="175"/>
      <c r="H1956" s="258" t="s">
        <v>164</v>
      </c>
      <c r="I1956" s="322" t="s">
        <v>2515</v>
      </c>
      <c r="J1956" s="202" t="s">
        <v>186</v>
      </c>
      <c r="K1956" s="383">
        <f>5000*75%</f>
        <v>3750</v>
      </c>
      <c r="L1956" s="180" t="s">
        <v>111</v>
      </c>
      <c r="M1956" s="180" t="s">
        <v>2519</v>
      </c>
    </row>
    <row r="1957" spans="1:13" s="141" customFormat="1" ht="26.25" customHeight="1" x14ac:dyDescent="0.2">
      <c r="A1957" s="182"/>
      <c r="B1957" s="183"/>
      <c r="C1957" s="184"/>
      <c r="D1957" s="185"/>
      <c r="E1957" s="185"/>
      <c r="F1957" s="185"/>
      <c r="G1957" s="185"/>
      <c r="H1957" s="260"/>
      <c r="I1957" s="186" t="s">
        <v>2517</v>
      </c>
      <c r="J1957" s="177" t="s">
        <v>373</v>
      </c>
      <c r="K1957" s="261">
        <f>5000*25%</f>
        <v>1250</v>
      </c>
      <c r="L1957" s="190"/>
      <c r="M1957" s="190"/>
    </row>
    <row r="1958" spans="1:13" s="141" customFormat="1" x14ac:dyDescent="0.2">
      <c r="A1958" s="193"/>
      <c r="B1958" s="194"/>
      <c r="C1958" s="195"/>
      <c r="D1958" s="196"/>
      <c r="E1958" s="196"/>
      <c r="F1958" s="196"/>
      <c r="G1958" s="196"/>
      <c r="H1958" s="262"/>
      <c r="I1958" s="206"/>
      <c r="J1958" s="198"/>
      <c r="K1958" s="257">
        <f>SUM(K1956:K1957)</f>
        <v>5000</v>
      </c>
      <c r="L1958" s="201"/>
      <c r="M1958" s="201"/>
    </row>
    <row r="1959" spans="1:13" s="141" customFormat="1" x14ac:dyDescent="0.2">
      <c r="A1959" s="172">
        <v>459</v>
      </c>
      <c r="B1959" s="173" t="s">
        <v>2520</v>
      </c>
      <c r="C1959" s="174"/>
      <c r="D1959" s="175" t="s">
        <v>107</v>
      </c>
      <c r="E1959" s="175"/>
      <c r="F1959" s="175"/>
      <c r="G1959" s="175"/>
      <c r="H1959" s="258" t="s">
        <v>137</v>
      </c>
      <c r="I1959" s="228" t="s">
        <v>2521</v>
      </c>
      <c r="J1959" s="275" t="s">
        <v>709</v>
      </c>
      <c r="K1959" s="276">
        <f>7700*50%</f>
        <v>3850</v>
      </c>
      <c r="L1959" s="174" t="s">
        <v>111</v>
      </c>
      <c r="M1959" s="180" t="s">
        <v>2522</v>
      </c>
    </row>
    <row r="1960" spans="1:13" s="141" customFormat="1" x14ac:dyDescent="0.2">
      <c r="A1960" s="182"/>
      <c r="B1960" s="183"/>
      <c r="C1960" s="184"/>
      <c r="D1960" s="185"/>
      <c r="E1960" s="185"/>
      <c r="F1960" s="185"/>
      <c r="G1960" s="185"/>
      <c r="H1960" s="260"/>
      <c r="I1960" s="192" t="s">
        <v>2523</v>
      </c>
      <c r="J1960" s="279" t="s">
        <v>709</v>
      </c>
      <c r="K1960" s="225">
        <f>7700*25%</f>
        <v>1925</v>
      </c>
      <c r="L1960" s="184"/>
      <c r="M1960" s="190"/>
    </row>
    <row r="1961" spans="1:13" s="141" customFormat="1" x14ac:dyDescent="0.2">
      <c r="A1961" s="182"/>
      <c r="B1961" s="183"/>
      <c r="C1961" s="184"/>
      <c r="D1961" s="185"/>
      <c r="E1961" s="185"/>
      <c r="F1961" s="185"/>
      <c r="G1961" s="185"/>
      <c r="H1961" s="260"/>
      <c r="I1961" s="192" t="s">
        <v>2524</v>
      </c>
      <c r="J1961" s="279" t="s">
        <v>709</v>
      </c>
      <c r="K1961" s="225">
        <f>7700*25%</f>
        <v>1925</v>
      </c>
      <c r="L1961" s="184"/>
      <c r="M1961" s="190"/>
    </row>
    <row r="1962" spans="1:13" s="141" customFormat="1" x14ac:dyDescent="0.2">
      <c r="A1962" s="193"/>
      <c r="B1962" s="194"/>
      <c r="C1962" s="195"/>
      <c r="D1962" s="196"/>
      <c r="E1962" s="196"/>
      <c r="F1962" s="196"/>
      <c r="G1962" s="196"/>
      <c r="H1962" s="262"/>
      <c r="I1962" s="206"/>
      <c r="J1962" s="282"/>
      <c r="K1962" s="257">
        <f>SUM(K1959:K1961)</f>
        <v>7700</v>
      </c>
      <c r="L1962" s="195"/>
      <c r="M1962" s="201"/>
    </row>
    <row r="1963" spans="1:13" s="141" customFormat="1" x14ac:dyDescent="0.2">
      <c r="A1963" s="172">
        <v>460</v>
      </c>
      <c r="B1963" s="173" t="s">
        <v>2525</v>
      </c>
      <c r="C1963" s="174"/>
      <c r="D1963" s="175" t="s">
        <v>107</v>
      </c>
      <c r="E1963" s="175"/>
      <c r="F1963" s="175"/>
      <c r="G1963" s="175"/>
      <c r="H1963" s="258" t="s">
        <v>137</v>
      </c>
      <c r="I1963" s="228" t="s">
        <v>2526</v>
      </c>
      <c r="J1963" s="275" t="s">
        <v>709</v>
      </c>
      <c r="K1963" s="276">
        <f>7700*70%</f>
        <v>5390</v>
      </c>
      <c r="L1963" s="174" t="s">
        <v>111</v>
      </c>
      <c r="M1963" s="180" t="s">
        <v>2527</v>
      </c>
    </row>
    <row r="1964" spans="1:13" s="141" customFormat="1" x14ac:dyDescent="0.2">
      <c r="A1964" s="182"/>
      <c r="B1964" s="183"/>
      <c r="C1964" s="184"/>
      <c r="D1964" s="185"/>
      <c r="E1964" s="185"/>
      <c r="F1964" s="185"/>
      <c r="G1964" s="185"/>
      <c r="H1964" s="260"/>
      <c r="I1964" s="192" t="s">
        <v>2528</v>
      </c>
      <c r="J1964" s="279" t="s">
        <v>709</v>
      </c>
      <c r="K1964" s="225">
        <f>7700*20%</f>
        <v>1540</v>
      </c>
      <c r="L1964" s="184"/>
      <c r="M1964" s="190"/>
    </row>
    <row r="1965" spans="1:13" s="141" customFormat="1" x14ac:dyDescent="0.2">
      <c r="A1965" s="182"/>
      <c r="B1965" s="183"/>
      <c r="C1965" s="184"/>
      <c r="D1965" s="185"/>
      <c r="E1965" s="185"/>
      <c r="F1965" s="185"/>
      <c r="G1965" s="185"/>
      <c r="H1965" s="260"/>
      <c r="I1965" s="192" t="s">
        <v>2529</v>
      </c>
      <c r="J1965" s="279" t="s">
        <v>709</v>
      </c>
      <c r="K1965" s="225">
        <f>7700*10%</f>
        <v>770</v>
      </c>
      <c r="L1965" s="184"/>
      <c r="M1965" s="190"/>
    </row>
    <row r="1966" spans="1:13" s="141" customFormat="1" x14ac:dyDescent="0.2">
      <c r="A1966" s="193"/>
      <c r="B1966" s="194"/>
      <c r="C1966" s="195"/>
      <c r="D1966" s="196"/>
      <c r="E1966" s="196"/>
      <c r="F1966" s="196"/>
      <c r="G1966" s="196"/>
      <c r="H1966" s="262"/>
      <c r="I1966" s="206"/>
      <c r="J1966" s="282"/>
      <c r="K1966" s="257">
        <f>SUM(K1963:K1965)</f>
        <v>7700</v>
      </c>
      <c r="L1966" s="195"/>
      <c r="M1966" s="201"/>
    </row>
    <row r="1967" spans="1:13" s="141" customFormat="1" x14ac:dyDescent="0.2">
      <c r="A1967" s="172">
        <v>461</v>
      </c>
      <c r="B1967" s="173" t="s">
        <v>2530</v>
      </c>
      <c r="C1967" s="174"/>
      <c r="D1967" s="175" t="s">
        <v>107</v>
      </c>
      <c r="E1967" s="175"/>
      <c r="F1967" s="175"/>
      <c r="G1967" s="175"/>
      <c r="H1967" s="258"/>
      <c r="I1967" s="283" t="s">
        <v>2531</v>
      </c>
      <c r="J1967" s="284" t="s">
        <v>709</v>
      </c>
      <c r="K1967" s="285">
        <f>6300*50%</f>
        <v>3150</v>
      </c>
      <c r="L1967" s="174" t="s">
        <v>111</v>
      </c>
      <c r="M1967" s="180" t="s">
        <v>2532</v>
      </c>
    </row>
    <row r="1968" spans="1:13" s="141" customFormat="1" x14ac:dyDescent="0.2">
      <c r="A1968" s="182"/>
      <c r="B1968" s="183"/>
      <c r="C1968" s="184"/>
      <c r="D1968" s="185"/>
      <c r="E1968" s="185"/>
      <c r="F1968" s="185"/>
      <c r="G1968" s="185"/>
      <c r="H1968" s="260"/>
      <c r="I1968" s="192" t="s">
        <v>2533</v>
      </c>
      <c r="J1968" s="279" t="s">
        <v>709</v>
      </c>
      <c r="K1968" s="225">
        <f>6300*25%</f>
        <v>1575</v>
      </c>
      <c r="L1968" s="184"/>
      <c r="M1968" s="190"/>
    </row>
    <row r="1969" spans="1:13" s="141" customFormat="1" x14ac:dyDescent="0.2">
      <c r="A1969" s="182"/>
      <c r="B1969" s="183"/>
      <c r="C1969" s="184"/>
      <c r="D1969" s="185"/>
      <c r="E1969" s="185"/>
      <c r="F1969" s="185"/>
      <c r="G1969" s="185"/>
      <c r="H1969" s="260"/>
      <c r="I1969" s="192" t="s">
        <v>2534</v>
      </c>
      <c r="J1969" s="279" t="s">
        <v>790</v>
      </c>
      <c r="K1969" s="225">
        <f>6300*25%</f>
        <v>1575</v>
      </c>
      <c r="L1969" s="184"/>
      <c r="M1969" s="190"/>
    </row>
    <row r="1970" spans="1:13" s="141" customFormat="1" x14ac:dyDescent="0.2">
      <c r="A1970" s="193"/>
      <c r="B1970" s="194"/>
      <c r="C1970" s="195"/>
      <c r="D1970" s="196"/>
      <c r="E1970" s="196"/>
      <c r="F1970" s="196"/>
      <c r="G1970" s="196"/>
      <c r="H1970" s="262"/>
      <c r="I1970" s="186"/>
      <c r="J1970" s="304"/>
      <c r="K1970" s="261">
        <f>SUM(K1967:K1969)</f>
        <v>6300</v>
      </c>
      <c r="L1970" s="195"/>
      <c r="M1970" s="201"/>
    </row>
    <row r="1971" spans="1:13" s="141" customFormat="1" x14ac:dyDescent="0.2">
      <c r="A1971" s="172">
        <v>462</v>
      </c>
      <c r="B1971" s="173" t="s">
        <v>2535</v>
      </c>
      <c r="C1971" s="174"/>
      <c r="D1971" s="175" t="s">
        <v>107</v>
      </c>
      <c r="E1971" s="175"/>
      <c r="F1971" s="175"/>
      <c r="G1971" s="175"/>
      <c r="H1971" s="258"/>
      <c r="I1971" s="228" t="s">
        <v>2536</v>
      </c>
      <c r="J1971" s="275" t="s">
        <v>709</v>
      </c>
      <c r="K1971" s="276">
        <f>7700*40%</f>
        <v>3080</v>
      </c>
      <c r="L1971" s="174" t="s">
        <v>111</v>
      </c>
      <c r="M1971" s="180" t="s">
        <v>2537</v>
      </c>
    </row>
    <row r="1972" spans="1:13" s="141" customFormat="1" x14ac:dyDescent="0.2">
      <c r="A1972" s="182"/>
      <c r="B1972" s="183"/>
      <c r="C1972" s="184"/>
      <c r="D1972" s="185"/>
      <c r="E1972" s="185"/>
      <c r="F1972" s="185"/>
      <c r="G1972" s="185"/>
      <c r="H1972" s="260"/>
      <c r="I1972" s="192" t="s">
        <v>2538</v>
      </c>
      <c r="J1972" s="279" t="s">
        <v>709</v>
      </c>
      <c r="K1972" s="225">
        <f>7700*30%</f>
        <v>2310</v>
      </c>
      <c r="L1972" s="184"/>
      <c r="M1972" s="190"/>
    </row>
    <row r="1973" spans="1:13" s="141" customFormat="1" x14ac:dyDescent="0.2">
      <c r="A1973" s="182"/>
      <c r="B1973" s="183"/>
      <c r="C1973" s="184"/>
      <c r="D1973" s="185"/>
      <c r="E1973" s="185"/>
      <c r="F1973" s="185"/>
      <c r="G1973" s="185"/>
      <c r="H1973" s="260"/>
      <c r="I1973" s="192" t="s">
        <v>2539</v>
      </c>
      <c r="J1973" s="279" t="s">
        <v>709</v>
      </c>
      <c r="K1973" s="225">
        <f>7700*30%</f>
        <v>2310</v>
      </c>
      <c r="L1973" s="184"/>
      <c r="M1973" s="190"/>
    </row>
    <row r="1974" spans="1:13" s="141" customFormat="1" x14ac:dyDescent="0.2">
      <c r="A1974" s="193"/>
      <c r="B1974" s="194"/>
      <c r="C1974" s="195"/>
      <c r="D1974" s="196"/>
      <c r="E1974" s="196"/>
      <c r="F1974" s="196"/>
      <c r="G1974" s="196"/>
      <c r="H1974" s="262"/>
      <c r="I1974" s="206"/>
      <c r="J1974" s="282"/>
      <c r="K1974" s="257">
        <f>SUM(K1971:K1973)</f>
        <v>7700</v>
      </c>
      <c r="L1974" s="195"/>
      <c r="M1974" s="201"/>
    </row>
    <row r="1975" spans="1:13" s="141" customFormat="1" x14ac:dyDescent="0.2">
      <c r="A1975" s="172">
        <v>463</v>
      </c>
      <c r="B1975" s="173" t="s">
        <v>2540</v>
      </c>
      <c r="C1975" s="174"/>
      <c r="D1975" s="175" t="s">
        <v>107</v>
      </c>
      <c r="E1975" s="175"/>
      <c r="F1975" s="175"/>
      <c r="G1975" s="175"/>
      <c r="H1975" s="258"/>
      <c r="I1975" s="283" t="s">
        <v>2541</v>
      </c>
      <c r="J1975" s="284" t="s">
        <v>709</v>
      </c>
      <c r="K1975" s="285">
        <f>7700*60%</f>
        <v>4620</v>
      </c>
      <c r="L1975" s="174" t="s">
        <v>111</v>
      </c>
      <c r="M1975" s="180" t="s">
        <v>2542</v>
      </c>
    </row>
    <row r="1976" spans="1:13" s="141" customFormat="1" x14ac:dyDescent="0.2">
      <c r="A1976" s="182"/>
      <c r="B1976" s="183"/>
      <c r="C1976" s="184"/>
      <c r="D1976" s="185"/>
      <c r="E1976" s="185"/>
      <c r="F1976" s="185"/>
      <c r="G1976" s="185"/>
      <c r="H1976" s="260"/>
      <c r="I1976" s="192" t="s">
        <v>2543</v>
      </c>
      <c r="J1976" s="279" t="s">
        <v>709</v>
      </c>
      <c r="K1976" s="225">
        <f>7700*20%</f>
        <v>1540</v>
      </c>
      <c r="L1976" s="184"/>
      <c r="M1976" s="190"/>
    </row>
    <row r="1977" spans="1:13" s="141" customFormat="1" x14ac:dyDescent="0.2">
      <c r="A1977" s="182"/>
      <c r="B1977" s="183"/>
      <c r="C1977" s="184"/>
      <c r="D1977" s="185"/>
      <c r="E1977" s="185"/>
      <c r="F1977" s="185"/>
      <c r="G1977" s="185"/>
      <c r="H1977" s="260"/>
      <c r="I1977" s="192" t="s">
        <v>2544</v>
      </c>
      <c r="J1977" s="279" t="s">
        <v>709</v>
      </c>
      <c r="K1977" s="225">
        <f>7700*20%</f>
        <v>1540</v>
      </c>
      <c r="L1977" s="184"/>
      <c r="M1977" s="190"/>
    </row>
    <row r="1978" spans="1:13" s="141" customFormat="1" x14ac:dyDescent="0.2">
      <c r="A1978" s="193"/>
      <c r="B1978" s="194"/>
      <c r="C1978" s="195"/>
      <c r="D1978" s="196"/>
      <c r="E1978" s="196"/>
      <c r="F1978" s="196"/>
      <c r="G1978" s="196"/>
      <c r="H1978" s="262"/>
      <c r="I1978" s="186"/>
      <c r="J1978" s="304"/>
      <c r="K1978" s="261">
        <f>SUM(K1975:K1977)</f>
        <v>7700</v>
      </c>
      <c r="L1978" s="195"/>
      <c r="M1978" s="201"/>
    </row>
    <row r="1979" spans="1:13" s="141" customFormat="1" x14ac:dyDescent="0.2">
      <c r="A1979" s="172">
        <v>464</v>
      </c>
      <c r="B1979" s="173" t="s">
        <v>2545</v>
      </c>
      <c r="C1979" s="174"/>
      <c r="D1979" s="175" t="s">
        <v>107</v>
      </c>
      <c r="E1979" s="175"/>
      <c r="F1979" s="175"/>
      <c r="G1979" s="175"/>
      <c r="H1979" s="258"/>
      <c r="I1979" s="228" t="s">
        <v>2546</v>
      </c>
      <c r="J1979" s="275" t="s">
        <v>709</v>
      </c>
      <c r="K1979" s="276">
        <f>7700*60%</f>
        <v>4620</v>
      </c>
      <c r="L1979" s="174" t="s">
        <v>111</v>
      </c>
      <c r="M1979" s="180" t="s">
        <v>2547</v>
      </c>
    </row>
    <row r="1980" spans="1:13" s="141" customFormat="1" x14ac:dyDescent="0.2">
      <c r="A1980" s="182"/>
      <c r="B1980" s="183"/>
      <c r="C1980" s="184"/>
      <c r="D1980" s="185"/>
      <c r="E1980" s="185"/>
      <c r="F1980" s="185"/>
      <c r="G1980" s="185"/>
      <c r="H1980" s="260"/>
      <c r="I1980" s="192" t="s">
        <v>2548</v>
      </c>
      <c r="J1980" s="279" t="s">
        <v>709</v>
      </c>
      <c r="K1980" s="225">
        <f>7700*20%</f>
        <v>1540</v>
      </c>
      <c r="L1980" s="184"/>
      <c r="M1980" s="190"/>
    </row>
    <row r="1981" spans="1:13" s="141" customFormat="1" x14ac:dyDescent="0.2">
      <c r="A1981" s="182"/>
      <c r="B1981" s="183"/>
      <c r="C1981" s="184"/>
      <c r="D1981" s="185"/>
      <c r="E1981" s="185"/>
      <c r="F1981" s="185"/>
      <c r="G1981" s="185"/>
      <c r="H1981" s="260"/>
      <c r="I1981" s="192" t="s">
        <v>2549</v>
      </c>
      <c r="J1981" s="279" t="s">
        <v>709</v>
      </c>
      <c r="K1981" s="225">
        <f>7700*20%</f>
        <v>1540</v>
      </c>
      <c r="L1981" s="184"/>
      <c r="M1981" s="190"/>
    </row>
    <row r="1982" spans="1:13" s="141" customFormat="1" x14ac:dyDescent="0.2">
      <c r="A1982" s="193"/>
      <c r="B1982" s="194"/>
      <c r="C1982" s="195"/>
      <c r="D1982" s="196"/>
      <c r="E1982" s="196"/>
      <c r="F1982" s="196"/>
      <c r="G1982" s="196"/>
      <c r="H1982" s="262"/>
      <c r="I1982" s="206"/>
      <c r="J1982" s="282"/>
      <c r="K1982" s="257">
        <f>SUM(K1979:K1981)</f>
        <v>7700</v>
      </c>
      <c r="L1982" s="195"/>
      <c r="M1982" s="201"/>
    </row>
    <row r="1983" spans="1:13" s="141" customFormat="1" x14ac:dyDescent="0.2">
      <c r="A1983" s="172">
        <v>465</v>
      </c>
      <c r="B1983" s="173" t="s">
        <v>2550</v>
      </c>
      <c r="C1983" s="174"/>
      <c r="D1983" s="175" t="s">
        <v>107</v>
      </c>
      <c r="E1983" s="175"/>
      <c r="F1983" s="175"/>
      <c r="G1983" s="175"/>
      <c r="H1983" s="258"/>
      <c r="I1983" s="283" t="s">
        <v>2551</v>
      </c>
      <c r="J1983" s="284" t="s">
        <v>709</v>
      </c>
      <c r="K1983" s="285">
        <f>7700*60%</f>
        <v>4620</v>
      </c>
      <c r="L1983" s="174" t="s">
        <v>111</v>
      </c>
      <c r="M1983" s="180" t="s">
        <v>2552</v>
      </c>
    </row>
    <row r="1984" spans="1:13" s="141" customFormat="1" x14ac:dyDescent="0.2">
      <c r="A1984" s="182"/>
      <c r="B1984" s="183"/>
      <c r="C1984" s="184"/>
      <c r="D1984" s="185"/>
      <c r="E1984" s="185"/>
      <c r="F1984" s="185"/>
      <c r="G1984" s="185"/>
      <c r="H1984" s="260"/>
      <c r="I1984" s="192" t="s">
        <v>2553</v>
      </c>
      <c r="J1984" s="279" t="s">
        <v>709</v>
      </c>
      <c r="K1984" s="225">
        <f>7700*20%</f>
        <v>1540</v>
      </c>
      <c r="L1984" s="184"/>
      <c r="M1984" s="190"/>
    </row>
    <row r="1985" spans="1:13" s="141" customFormat="1" x14ac:dyDescent="0.2">
      <c r="A1985" s="182"/>
      <c r="B1985" s="183"/>
      <c r="C1985" s="184"/>
      <c r="D1985" s="185"/>
      <c r="E1985" s="185"/>
      <c r="F1985" s="185"/>
      <c r="G1985" s="185"/>
      <c r="H1985" s="260"/>
      <c r="I1985" s="192" t="s">
        <v>2549</v>
      </c>
      <c r="J1985" s="279" t="s">
        <v>709</v>
      </c>
      <c r="K1985" s="225">
        <f>7700*20%</f>
        <v>1540</v>
      </c>
      <c r="L1985" s="184"/>
      <c r="M1985" s="190"/>
    </row>
    <row r="1986" spans="1:13" s="141" customFormat="1" x14ac:dyDescent="0.2">
      <c r="A1986" s="193"/>
      <c r="B1986" s="194"/>
      <c r="C1986" s="195"/>
      <c r="D1986" s="196"/>
      <c r="E1986" s="196"/>
      <c r="F1986" s="196"/>
      <c r="G1986" s="196"/>
      <c r="H1986" s="262"/>
      <c r="I1986" s="186"/>
      <c r="J1986" s="304"/>
      <c r="K1986" s="261">
        <f>SUM(K1983:K1985)</f>
        <v>7700</v>
      </c>
      <c r="L1986" s="195"/>
      <c r="M1986" s="201"/>
    </row>
    <row r="1987" spans="1:13" s="141" customFormat="1" x14ac:dyDescent="0.2">
      <c r="A1987" s="172">
        <v>466</v>
      </c>
      <c r="B1987" s="173" t="s">
        <v>2554</v>
      </c>
      <c r="C1987" s="174"/>
      <c r="D1987" s="175" t="s">
        <v>107</v>
      </c>
      <c r="E1987" s="175"/>
      <c r="F1987" s="175"/>
      <c r="G1987" s="175"/>
      <c r="H1987" s="258" t="s">
        <v>137</v>
      </c>
      <c r="I1987" s="228" t="s">
        <v>2551</v>
      </c>
      <c r="J1987" s="275" t="s">
        <v>709</v>
      </c>
      <c r="K1987" s="276">
        <f>7700*60%</f>
        <v>4620</v>
      </c>
      <c r="L1987" s="174" t="s">
        <v>111</v>
      </c>
      <c r="M1987" s="180" t="s">
        <v>2555</v>
      </c>
    </row>
    <row r="1988" spans="1:13" s="141" customFormat="1" x14ac:dyDescent="0.2">
      <c r="A1988" s="182"/>
      <c r="B1988" s="183"/>
      <c r="C1988" s="184"/>
      <c r="D1988" s="185"/>
      <c r="E1988" s="185"/>
      <c r="F1988" s="185"/>
      <c r="G1988" s="185"/>
      <c r="H1988" s="260"/>
      <c r="I1988" s="192" t="s">
        <v>2553</v>
      </c>
      <c r="J1988" s="279" t="s">
        <v>709</v>
      </c>
      <c r="K1988" s="225">
        <f>7700*20%</f>
        <v>1540</v>
      </c>
      <c r="L1988" s="184"/>
      <c r="M1988" s="190"/>
    </row>
    <row r="1989" spans="1:13" s="141" customFormat="1" x14ac:dyDescent="0.2">
      <c r="A1989" s="182"/>
      <c r="B1989" s="183"/>
      <c r="C1989" s="184"/>
      <c r="D1989" s="185"/>
      <c r="E1989" s="185"/>
      <c r="F1989" s="185"/>
      <c r="G1989" s="185"/>
      <c r="H1989" s="260"/>
      <c r="I1989" s="192" t="s">
        <v>2549</v>
      </c>
      <c r="J1989" s="279" t="s">
        <v>709</v>
      </c>
      <c r="K1989" s="225">
        <f>7700*20%</f>
        <v>1540</v>
      </c>
      <c r="L1989" s="184"/>
      <c r="M1989" s="190"/>
    </row>
    <row r="1990" spans="1:13" s="141" customFormat="1" x14ac:dyDescent="0.2">
      <c r="A1990" s="193"/>
      <c r="B1990" s="194"/>
      <c r="C1990" s="195"/>
      <c r="D1990" s="196"/>
      <c r="E1990" s="196"/>
      <c r="F1990" s="196"/>
      <c r="G1990" s="196"/>
      <c r="H1990" s="262"/>
      <c r="I1990" s="206"/>
      <c r="J1990" s="282"/>
      <c r="K1990" s="257">
        <f>SUM(K1987:K1989)</f>
        <v>7700</v>
      </c>
      <c r="L1990" s="195"/>
      <c r="M1990" s="201"/>
    </row>
    <row r="1991" spans="1:13" s="141" customFormat="1" x14ac:dyDescent="0.2">
      <c r="A1991" s="172">
        <v>467</v>
      </c>
      <c r="B1991" s="173" t="s">
        <v>2556</v>
      </c>
      <c r="C1991" s="174"/>
      <c r="D1991" s="175" t="s">
        <v>107</v>
      </c>
      <c r="E1991" s="175"/>
      <c r="F1991" s="175"/>
      <c r="G1991" s="175"/>
      <c r="H1991" s="258" t="s">
        <v>164</v>
      </c>
      <c r="I1991" s="283" t="s">
        <v>2557</v>
      </c>
      <c r="J1991" s="284" t="s">
        <v>709</v>
      </c>
      <c r="K1991" s="285">
        <f>7700*80%</f>
        <v>6160</v>
      </c>
      <c r="L1991" s="174" t="s">
        <v>111</v>
      </c>
      <c r="M1991" s="180" t="s">
        <v>2558</v>
      </c>
    </row>
    <row r="1992" spans="1:13" s="141" customFormat="1" x14ac:dyDescent="0.2">
      <c r="A1992" s="182"/>
      <c r="B1992" s="183"/>
      <c r="C1992" s="184"/>
      <c r="D1992" s="185"/>
      <c r="E1992" s="185"/>
      <c r="F1992" s="185"/>
      <c r="G1992" s="185"/>
      <c r="H1992" s="260"/>
      <c r="I1992" s="192" t="s">
        <v>2559</v>
      </c>
      <c r="J1992" s="279" t="s">
        <v>709</v>
      </c>
      <c r="K1992" s="225">
        <f>7700*20%</f>
        <v>1540</v>
      </c>
      <c r="L1992" s="184"/>
      <c r="M1992" s="190"/>
    </row>
    <row r="1993" spans="1:13" s="141" customFormat="1" x14ac:dyDescent="0.2">
      <c r="A1993" s="193"/>
      <c r="B1993" s="194"/>
      <c r="C1993" s="195"/>
      <c r="D1993" s="196"/>
      <c r="E1993" s="196"/>
      <c r="F1993" s="196"/>
      <c r="G1993" s="196"/>
      <c r="H1993" s="262"/>
      <c r="I1993" s="186"/>
      <c r="J1993" s="304"/>
      <c r="K1993" s="261">
        <f>SUM(K1991:K1992)</f>
        <v>7700</v>
      </c>
      <c r="L1993" s="195"/>
      <c r="M1993" s="201"/>
    </row>
    <row r="1994" spans="1:13" s="141" customFormat="1" x14ac:dyDescent="0.2">
      <c r="A1994" s="172">
        <v>468</v>
      </c>
      <c r="B1994" s="173" t="s">
        <v>2560</v>
      </c>
      <c r="C1994" s="174"/>
      <c r="D1994" s="175" t="s">
        <v>107</v>
      </c>
      <c r="E1994" s="175"/>
      <c r="F1994" s="175"/>
      <c r="G1994" s="175"/>
      <c r="H1994" s="258" t="s">
        <v>164</v>
      </c>
      <c r="I1994" s="228" t="s">
        <v>2561</v>
      </c>
      <c r="J1994" s="275" t="s">
        <v>709</v>
      </c>
      <c r="K1994" s="276">
        <f>7700*70%</f>
        <v>5390</v>
      </c>
      <c r="L1994" s="174" t="s">
        <v>111</v>
      </c>
      <c r="M1994" s="180" t="s">
        <v>2562</v>
      </c>
    </row>
    <row r="1995" spans="1:13" s="141" customFormat="1" x14ac:dyDescent="0.2">
      <c r="A1995" s="182"/>
      <c r="B1995" s="183"/>
      <c r="C1995" s="184"/>
      <c r="D1995" s="185"/>
      <c r="E1995" s="185"/>
      <c r="F1995" s="185"/>
      <c r="G1995" s="185"/>
      <c r="H1995" s="260"/>
      <c r="I1995" s="192" t="s">
        <v>2563</v>
      </c>
      <c r="J1995" s="279" t="s">
        <v>709</v>
      </c>
      <c r="K1995" s="225">
        <f>7700*30%</f>
        <v>2310</v>
      </c>
      <c r="L1995" s="184"/>
      <c r="M1995" s="190"/>
    </row>
    <row r="1996" spans="1:13" s="141" customFormat="1" x14ac:dyDescent="0.2">
      <c r="A1996" s="193"/>
      <c r="B1996" s="194"/>
      <c r="C1996" s="195"/>
      <c r="D1996" s="196"/>
      <c r="E1996" s="196"/>
      <c r="F1996" s="196"/>
      <c r="G1996" s="196"/>
      <c r="H1996" s="262"/>
      <c r="I1996" s="206"/>
      <c r="J1996" s="282"/>
      <c r="K1996" s="257">
        <f>SUM(K1994:K1995)</f>
        <v>7700</v>
      </c>
      <c r="L1996" s="195"/>
      <c r="M1996" s="201"/>
    </row>
    <row r="1997" spans="1:13" s="141" customFormat="1" x14ac:dyDescent="0.2">
      <c r="A1997" s="172">
        <v>469</v>
      </c>
      <c r="B1997" s="173" t="s">
        <v>2564</v>
      </c>
      <c r="C1997" s="174"/>
      <c r="D1997" s="175" t="s">
        <v>25</v>
      </c>
      <c r="E1997" s="482"/>
      <c r="F1997" s="175" t="s">
        <v>1312</v>
      </c>
      <c r="G1997" s="175" t="s">
        <v>2565</v>
      </c>
      <c r="H1997" s="258" t="s">
        <v>361</v>
      </c>
      <c r="I1997" s="228" t="s">
        <v>2566</v>
      </c>
      <c r="J1997" s="397" t="s">
        <v>709</v>
      </c>
      <c r="K1997" s="393">
        <f>7140100*20%</f>
        <v>1428020</v>
      </c>
      <c r="L1997" s="180" t="s">
        <v>2565</v>
      </c>
      <c r="M1997" s="180" t="s">
        <v>2567</v>
      </c>
    </row>
    <row r="1998" spans="1:13" s="141" customFormat="1" x14ac:dyDescent="0.2">
      <c r="A1998" s="182"/>
      <c r="B1998" s="183"/>
      <c r="C1998" s="184"/>
      <c r="D1998" s="185"/>
      <c r="E1998" s="185"/>
      <c r="F1998" s="185"/>
      <c r="G1998" s="185"/>
      <c r="H1998" s="260"/>
      <c r="I1998" s="192" t="s">
        <v>2568</v>
      </c>
      <c r="J1998" s="187" t="s">
        <v>196</v>
      </c>
      <c r="K1998" s="261">
        <f t="shared" ref="K1998:K2013" si="50">7140100*5%</f>
        <v>357005</v>
      </c>
      <c r="L1998" s="190"/>
      <c r="M1998" s="190"/>
    </row>
    <row r="1999" spans="1:13" s="141" customFormat="1" x14ac:dyDescent="0.2">
      <c r="A1999" s="182"/>
      <c r="B1999" s="183"/>
      <c r="C1999" s="184"/>
      <c r="D1999" s="185"/>
      <c r="E1999" s="185"/>
      <c r="F1999" s="185"/>
      <c r="G1999" s="185"/>
      <c r="H1999" s="260"/>
      <c r="I1999" s="176" t="s">
        <v>2569</v>
      </c>
      <c r="J1999" s="187" t="s">
        <v>709</v>
      </c>
      <c r="K1999" s="261">
        <f t="shared" si="50"/>
        <v>357005</v>
      </c>
      <c r="L1999" s="190"/>
      <c r="M1999" s="190"/>
    </row>
    <row r="2000" spans="1:13" s="141" customFormat="1" x14ac:dyDescent="0.2">
      <c r="A2000" s="182"/>
      <c r="B2000" s="183"/>
      <c r="C2000" s="184"/>
      <c r="D2000" s="185"/>
      <c r="E2000" s="185"/>
      <c r="F2000" s="185"/>
      <c r="G2000" s="185"/>
      <c r="H2000" s="260"/>
      <c r="I2000" s="186" t="s">
        <v>2570</v>
      </c>
      <c r="J2000" s="187" t="s">
        <v>709</v>
      </c>
      <c r="K2000" s="261">
        <f t="shared" si="50"/>
        <v>357005</v>
      </c>
      <c r="L2000" s="190"/>
      <c r="M2000" s="190"/>
    </row>
    <row r="2001" spans="1:14" s="141" customFormat="1" x14ac:dyDescent="0.2">
      <c r="A2001" s="182"/>
      <c r="B2001" s="183"/>
      <c r="C2001" s="184"/>
      <c r="D2001" s="185"/>
      <c r="E2001" s="185"/>
      <c r="F2001" s="185"/>
      <c r="G2001" s="185"/>
      <c r="H2001" s="260"/>
      <c r="I2001" s="186" t="s">
        <v>2571</v>
      </c>
      <c r="J2001" s="147" t="s">
        <v>373</v>
      </c>
      <c r="K2001" s="261">
        <f t="shared" si="50"/>
        <v>357005</v>
      </c>
      <c r="L2001" s="190"/>
      <c r="M2001" s="190"/>
    </row>
    <row r="2002" spans="1:14" s="141" customFormat="1" x14ac:dyDescent="0.2">
      <c r="A2002" s="182"/>
      <c r="B2002" s="183"/>
      <c r="C2002" s="184"/>
      <c r="D2002" s="185"/>
      <c r="E2002" s="185"/>
      <c r="F2002" s="185"/>
      <c r="G2002" s="185"/>
      <c r="H2002" s="260"/>
      <c r="I2002" s="186" t="s">
        <v>2572</v>
      </c>
      <c r="J2002" s="191" t="s">
        <v>367</v>
      </c>
      <c r="K2002" s="261">
        <f t="shared" si="50"/>
        <v>357005</v>
      </c>
      <c r="L2002" s="190"/>
      <c r="M2002" s="190"/>
    </row>
    <row r="2003" spans="1:14" s="141" customFormat="1" x14ac:dyDescent="0.2">
      <c r="A2003" s="182"/>
      <c r="B2003" s="183"/>
      <c r="C2003" s="184"/>
      <c r="D2003" s="185"/>
      <c r="E2003" s="185"/>
      <c r="F2003" s="185"/>
      <c r="G2003" s="185"/>
      <c r="H2003" s="260"/>
      <c r="I2003" s="192" t="s">
        <v>2573</v>
      </c>
      <c r="J2003" s="187" t="s">
        <v>709</v>
      </c>
      <c r="K2003" s="225">
        <f t="shared" si="50"/>
        <v>357005</v>
      </c>
      <c r="L2003" s="190"/>
      <c r="M2003" s="190"/>
    </row>
    <row r="2004" spans="1:14" s="141" customFormat="1" x14ac:dyDescent="0.2">
      <c r="A2004" s="182"/>
      <c r="B2004" s="183"/>
      <c r="C2004" s="184"/>
      <c r="D2004" s="185"/>
      <c r="E2004" s="185"/>
      <c r="F2004" s="185"/>
      <c r="G2004" s="185"/>
      <c r="H2004" s="260"/>
      <c r="I2004" s="186" t="s">
        <v>1504</v>
      </c>
      <c r="J2004" s="187" t="s">
        <v>709</v>
      </c>
      <c r="K2004" s="225">
        <f t="shared" si="50"/>
        <v>357005</v>
      </c>
      <c r="L2004" s="190"/>
      <c r="M2004" s="190"/>
    </row>
    <row r="2005" spans="1:14" s="141" customFormat="1" x14ac:dyDescent="0.2">
      <c r="A2005" s="182"/>
      <c r="B2005" s="183"/>
      <c r="C2005" s="184"/>
      <c r="D2005" s="185"/>
      <c r="E2005" s="185"/>
      <c r="F2005" s="185"/>
      <c r="G2005" s="185"/>
      <c r="H2005" s="260"/>
      <c r="I2005" s="186" t="s">
        <v>2574</v>
      </c>
      <c r="J2005" s="147" t="s">
        <v>709</v>
      </c>
      <c r="K2005" s="225">
        <f t="shared" si="50"/>
        <v>357005</v>
      </c>
      <c r="L2005" s="190"/>
      <c r="M2005" s="190"/>
    </row>
    <row r="2006" spans="1:14" s="141" customFormat="1" x14ac:dyDescent="0.2">
      <c r="A2006" s="182"/>
      <c r="B2006" s="183"/>
      <c r="C2006" s="184"/>
      <c r="D2006" s="185"/>
      <c r="E2006" s="185"/>
      <c r="F2006" s="185"/>
      <c r="G2006" s="185"/>
      <c r="H2006" s="260"/>
      <c r="I2006" s="186" t="s">
        <v>2575</v>
      </c>
      <c r="J2006" s="187" t="s">
        <v>709</v>
      </c>
      <c r="K2006" s="393">
        <f t="shared" si="50"/>
        <v>357005</v>
      </c>
      <c r="L2006" s="190"/>
      <c r="M2006" s="190"/>
    </row>
    <row r="2007" spans="1:14" s="141" customFormat="1" x14ac:dyDescent="0.2">
      <c r="A2007" s="182"/>
      <c r="B2007" s="183"/>
      <c r="C2007" s="184"/>
      <c r="D2007" s="185"/>
      <c r="E2007" s="185"/>
      <c r="F2007" s="185"/>
      <c r="G2007" s="185"/>
      <c r="H2007" s="260"/>
      <c r="I2007" s="186" t="s">
        <v>2576</v>
      </c>
      <c r="J2007" s="187" t="s">
        <v>709</v>
      </c>
      <c r="K2007" s="261">
        <f t="shared" si="50"/>
        <v>357005</v>
      </c>
      <c r="L2007" s="190"/>
      <c r="M2007" s="190"/>
    </row>
    <row r="2008" spans="1:14" s="141" customFormat="1" x14ac:dyDescent="0.2">
      <c r="A2008" s="182"/>
      <c r="B2008" s="183"/>
      <c r="C2008" s="184"/>
      <c r="D2008" s="185"/>
      <c r="E2008" s="185"/>
      <c r="F2008" s="185"/>
      <c r="G2008" s="185"/>
      <c r="H2008" s="260"/>
      <c r="I2008" s="483" t="s">
        <v>2577</v>
      </c>
      <c r="J2008" s="187" t="s">
        <v>709</v>
      </c>
      <c r="K2008" s="261">
        <f t="shared" si="50"/>
        <v>357005</v>
      </c>
      <c r="L2008" s="190"/>
      <c r="M2008" s="190"/>
    </row>
    <row r="2009" spans="1:14" s="141" customFormat="1" x14ac:dyDescent="0.2">
      <c r="A2009" s="182"/>
      <c r="B2009" s="183"/>
      <c r="C2009" s="184"/>
      <c r="D2009" s="185"/>
      <c r="E2009" s="185"/>
      <c r="F2009" s="185"/>
      <c r="G2009" s="185"/>
      <c r="H2009" s="260"/>
      <c r="I2009" s="484" t="s">
        <v>723</v>
      </c>
      <c r="J2009" s="187" t="s">
        <v>709</v>
      </c>
      <c r="K2009" s="225">
        <f t="shared" si="50"/>
        <v>357005</v>
      </c>
      <c r="L2009" s="190"/>
      <c r="M2009" s="190"/>
    </row>
    <row r="2010" spans="1:14" s="141" customFormat="1" x14ac:dyDescent="0.2">
      <c r="A2010" s="182"/>
      <c r="B2010" s="183"/>
      <c r="C2010" s="184"/>
      <c r="D2010" s="185"/>
      <c r="E2010" s="185"/>
      <c r="F2010" s="185"/>
      <c r="G2010" s="185"/>
      <c r="H2010" s="260"/>
      <c r="I2010" s="483" t="s">
        <v>2578</v>
      </c>
      <c r="J2010" s="191" t="s">
        <v>709</v>
      </c>
      <c r="K2010" s="261">
        <f t="shared" si="50"/>
        <v>357005</v>
      </c>
      <c r="L2010" s="190"/>
      <c r="M2010" s="190"/>
    </row>
    <row r="2011" spans="1:14" s="141" customFormat="1" x14ac:dyDescent="0.2">
      <c r="A2011" s="182"/>
      <c r="B2011" s="183"/>
      <c r="C2011" s="184"/>
      <c r="D2011" s="185"/>
      <c r="E2011" s="185"/>
      <c r="F2011" s="185"/>
      <c r="G2011" s="185"/>
      <c r="H2011" s="260"/>
      <c r="I2011" s="483" t="s">
        <v>2579</v>
      </c>
      <c r="J2011" s="191" t="s">
        <v>709</v>
      </c>
      <c r="K2011" s="261">
        <f t="shared" si="50"/>
        <v>357005</v>
      </c>
      <c r="L2011" s="190"/>
      <c r="M2011" s="190"/>
    </row>
    <row r="2012" spans="1:14" s="141" customFormat="1" x14ac:dyDescent="0.2">
      <c r="A2012" s="182"/>
      <c r="B2012" s="183"/>
      <c r="C2012" s="184"/>
      <c r="D2012" s="185"/>
      <c r="E2012" s="185"/>
      <c r="F2012" s="185"/>
      <c r="G2012" s="185"/>
      <c r="H2012" s="260"/>
      <c r="I2012" s="483" t="s">
        <v>2580</v>
      </c>
      <c r="J2012" s="191" t="s">
        <v>365</v>
      </c>
      <c r="K2012" s="261">
        <f t="shared" si="50"/>
        <v>357005</v>
      </c>
      <c r="L2012" s="190"/>
      <c r="M2012" s="190"/>
    </row>
    <row r="2013" spans="1:14" s="141" customFormat="1" x14ac:dyDescent="0.2">
      <c r="A2013" s="182"/>
      <c r="B2013" s="183"/>
      <c r="C2013" s="184"/>
      <c r="D2013" s="185"/>
      <c r="E2013" s="185"/>
      <c r="F2013" s="185"/>
      <c r="G2013" s="185"/>
      <c r="H2013" s="260"/>
      <c r="I2013" s="483" t="s">
        <v>189</v>
      </c>
      <c r="J2013" s="191" t="s">
        <v>190</v>
      </c>
      <c r="K2013" s="261">
        <f t="shared" si="50"/>
        <v>357005</v>
      </c>
      <c r="L2013" s="190"/>
      <c r="M2013" s="190"/>
      <c r="N2013" s="181"/>
    </row>
    <row r="2014" spans="1:14" s="141" customFormat="1" x14ac:dyDescent="0.2">
      <c r="A2014" s="193"/>
      <c r="B2014" s="194"/>
      <c r="C2014" s="195"/>
      <c r="D2014" s="196"/>
      <c r="E2014" s="196"/>
      <c r="F2014" s="196"/>
      <c r="G2014" s="196"/>
      <c r="H2014" s="262"/>
      <c r="I2014" s="206"/>
      <c r="J2014" s="198"/>
      <c r="K2014" s="261">
        <f>SUM(K1997:K2013)</f>
        <v>7140100</v>
      </c>
      <c r="L2014" s="201"/>
      <c r="M2014" s="201"/>
    </row>
    <row r="2015" spans="1:14" s="141" customFormat="1" x14ac:dyDescent="0.2">
      <c r="A2015" s="172">
        <v>470</v>
      </c>
      <c r="B2015" s="173" t="s">
        <v>2581</v>
      </c>
      <c r="C2015" s="174"/>
      <c r="D2015" s="263" t="s">
        <v>107</v>
      </c>
      <c r="E2015" s="175"/>
      <c r="F2015" s="175"/>
      <c r="G2015" s="175"/>
      <c r="H2015" s="175"/>
      <c r="I2015" s="176" t="s">
        <v>2582</v>
      </c>
      <c r="J2015" s="177" t="s">
        <v>709</v>
      </c>
      <c r="K2015" s="216">
        <f>18000*10%</f>
        <v>1800</v>
      </c>
      <c r="L2015" s="179" t="s">
        <v>111</v>
      </c>
      <c r="M2015" s="180" t="s">
        <v>2583</v>
      </c>
    </row>
    <row r="2016" spans="1:14" s="141" customFormat="1" x14ac:dyDescent="0.2">
      <c r="A2016" s="182"/>
      <c r="B2016" s="183"/>
      <c r="C2016" s="184"/>
      <c r="D2016" s="255"/>
      <c r="E2016" s="185"/>
      <c r="F2016" s="185"/>
      <c r="G2016" s="185"/>
      <c r="H2016" s="185"/>
      <c r="I2016" s="192" t="s">
        <v>2584</v>
      </c>
      <c r="J2016" s="212" t="s">
        <v>709</v>
      </c>
      <c r="K2016" s="213">
        <f>18000*6%</f>
        <v>1080</v>
      </c>
      <c r="L2016" s="189"/>
      <c r="M2016" s="190"/>
    </row>
    <row r="2017" spans="1:13" s="141" customFormat="1" x14ac:dyDescent="0.2">
      <c r="A2017" s="182"/>
      <c r="B2017" s="183"/>
      <c r="C2017" s="184"/>
      <c r="D2017" s="255"/>
      <c r="E2017" s="185"/>
      <c r="F2017" s="185"/>
      <c r="G2017" s="185"/>
      <c r="H2017" s="185"/>
      <c r="I2017" s="192" t="s">
        <v>1713</v>
      </c>
      <c r="J2017" s="223" t="s">
        <v>709</v>
      </c>
      <c r="K2017" s="210">
        <f>18000*10%</f>
        <v>1800</v>
      </c>
      <c r="L2017" s="189"/>
      <c r="M2017" s="190"/>
    </row>
    <row r="2018" spans="1:13" s="141" customFormat="1" x14ac:dyDescent="0.2">
      <c r="A2018" s="182"/>
      <c r="B2018" s="183"/>
      <c r="C2018" s="184"/>
      <c r="D2018" s="255"/>
      <c r="E2018" s="185"/>
      <c r="F2018" s="185"/>
      <c r="G2018" s="185"/>
      <c r="H2018" s="185"/>
      <c r="I2018" s="176" t="s">
        <v>2585</v>
      </c>
      <c r="J2018" s="223" t="s">
        <v>709</v>
      </c>
      <c r="K2018" s="213">
        <f>18000*6%</f>
        <v>1080</v>
      </c>
      <c r="L2018" s="189"/>
      <c r="M2018" s="190"/>
    </row>
    <row r="2019" spans="1:13" s="141" customFormat="1" x14ac:dyDescent="0.2">
      <c r="A2019" s="182"/>
      <c r="B2019" s="183"/>
      <c r="C2019" s="184"/>
      <c r="D2019" s="255"/>
      <c r="E2019" s="185"/>
      <c r="F2019" s="185"/>
      <c r="G2019" s="185"/>
      <c r="H2019" s="185"/>
      <c r="I2019" s="186" t="s">
        <v>2586</v>
      </c>
      <c r="J2019" s="223" t="s">
        <v>709</v>
      </c>
      <c r="K2019" s="240">
        <f>18000*6%</f>
        <v>1080</v>
      </c>
      <c r="L2019" s="189"/>
      <c r="M2019" s="190"/>
    </row>
    <row r="2020" spans="1:13" s="141" customFormat="1" x14ac:dyDescent="0.2">
      <c r="A2020" s="182"/>
      <c r="B2020" s="183"/>
      <c r="C2020" s="184"/>
      <c r="D2020" s="255"/>
      <c r="E2020" s="185"/>
      <c r="F2020" s="185"/>
      <c r="G2020" s="185"/>
      <c r="H2020" s="185"/>
      <c r="I2020" s="186" t="s">
        <v>2587</v>
      </c>
      <c r="J2020" s="223" t="s">
        <v>709</v>
      </c>
      <c r="K2020" s="213">
        <f>18000*30%</f>
        <v>5400</v>
      </c>
      <c r="L2020" s="189"/>
      <c r="M2020" s="190"/>
    </row>
    <row r="2021" spans="1:13" s="141" customFormat="1" x14ac:dyDescent="0.2">
      <c r="A2021" s="182"/>
      <c r="B2021" s="183"/>
      <c r="C2021" s="184"/>
      <c r="D2021" s="255"/>
      <c r="E2021" s="185"/>
      <c r="F2021" s="185"/>
      <c r="G2021" s="185"/>
      <c r="H2021" s="185"/>
      <c r="I2021" s="192" t="s">
        <v>2588</v>
      </c>
      <c r="J2021" s="177" t="s">
        <v>365</v>
      </c>
      <c r="K2021" s="210">
        <f>18000*32%</f>
        <v>5760</v>
      </c>
      <c r="L2021" s="189"/>
      <c r="M2021" s="190"/>
    </row>
    <row r="2022" spans="1:13" s="141" customFormat="1" x14ac:dyDescent="0.2">
      <c r="A2022" s="193"/>
      <c r="B2022" s="194"/>
      <c r="C2022" s="195"/>
      <c r="D2022" s="256"/>
      <c r="E2022" s="196"/>
      <c r="F2022" s="196"/>
      <c r="G2022" s="196"/>
      <c r="H2022" s="196"/>
      <c r="I2022" s="197"/>
      <c r="J2022" s="214"/>
      <c r="K2022" s="218">
        <f>SUM(K2015:K2021)</f>
        <v>18000</v>
      </c>
      <c r="L2022" s="200"/>
      <c r="M2022" s="201"/>
    </row>
    <row r="2023" spans="1:13" s="141" customFormat="1" x14ac:dyDescent="0.2">
      <c r="A2023" s="242">
        <v>471</v>
      </c>
      <c r="B2023" s="266" t="s">
        <v>2589</v>
      </c>
      <c r="C2023" s="267" t="s">
        <v>2589</v>
      </c>
      <c r="D2023" s="268" t="s">
        <v>107</v>
      </c>
      <c r="E2023" s="269"/>
      <c r="F2023" s="269"/>
      <c r="G2023" s="269"/>
      <c r="H2023" s="270"/>
      <c r="I2023" s="197" t="s">
        <v>2590</v>
      </c>
      <c r="J2023" s="226" t="s">
        <v>709</v>
      </c>
      <c r="K2023" s="271">
        <v>7700</v>
      </c>
      <c r="L2023" s="272" t="s">
        <v>111</v>
      </c>
      <c r="M2023" s="226" t="s">
        <v>2591</v>
      </c>
    </row>
    <row r="2024" spans="1:13" s="141" customFormat="1" ht="78.75" customHeight="1" x14ac:dyDescent="0.2">
      <c r="A2024" s="316">
        <v>472</v>
      </c>
      <c r="B2024" s="324" t="s">
        <v>2592</v>
      </c>
      <c r="C2024" s="325"/>
      <c r="D2024" s="321" t="s">
        <v>107</v>
      </c>
      <c r="E2024" s="321"/>
      <c r="F2024" s="321"/>
      <c r="G2024" s="321"/>
      <c r="H2024" s="321"/>
      <c r="I2024" s="289" t="s">
        <v>2593</v>
      </c>
      <c r="J2024" s="290" t="s">
        <v>709</v>
      </c>
      <c r="K2024" s="291">
        <v>10000</v>
      </c>
      <c r="L2024" s="319" t="s">
        <v>111</v>
      </c>
      <c r="M2024" s="272" t="s">
        <v>2594</v>
      </c>
    </row>
    <row r="2025" spans="1:13" s="141" customFormat="1" ht="58.5" customHeight="1" x14ac:dyDescent="0.2">
      <c r="A2025" s="316">
        <v>473</v>
      </c>
      <c r="B2025" s="324" t="s">
        <v>2595</v>
      </c>
      <c r="C2025" s="325"/>
      <c r="D2025" s="321" t="s">
        <v>107</v>
      </c>
      <c r="E2025" s="321"/>
      <c r="F2025" s="321"/>
      <c r="G2025" s="321"/>
      <c r="H2025" s="321"/>
      <c r="I2025" s="289" t="s">
        <v>2596</v>
      </c>
      <c r="J2025" s="290" t="s">
        <v>709</v>
      </c>
      <c r="K2025" s="291">
        <v>7700</v>
      </c>
      <c r="L2025" s="319" t="s">
        <v>111</v>
      </c>
      <c r="M2025" s="272" t="s">
        <v>2597</v>
      </c>
    </row>
    <row r="2026" spans="1:13" s="141" customFormat="1" ht="21" customHeight="1" x14ac:dyDescent="0.2">
      <c r="A2026" s="172">
        <v>474</v>
      </c>
      <c r="B2026" s="299" t="s">
        <v>2598</v>
      </c>
      <c r="C2026" s="300"/>
      <c r="D2026" s="175" t="s">
        <v>107</v>
      </c>
      <c r="E2026" s="175"/>
      <c r="F2026" s="175"/>
      <c r="G2026" s="175"/>
      <c r="H2026" s="175"/>
      <c r="I2026" s="283" t="s">
        <v>2599</v>
      </c>
      <c r="J2026" s="284" t="s">
        <v>709</v>
      </c>
      <c r="K2026" s="285">
        <f>6300*50%</f>
        <v>3150</v>
      </c>
      <c r="L2026" s="180" t="s">
        <v>111</v>
      </c>
      <c r="M2026" s="180" t="s">
        <v>2600</v>
      </c>
    </row>
    <row r="2027" spans="1:13" s="141" customFormat="1" ht="21" customHeight="1" x14ac:dyDescent="0.2">
      <c r="A2027" s="182"/>
      <c r="B2027" s="294"/>
      <c r="C2027" s="295"/>
      <c r="D2027" s="185"/>
      <c r="E2027" s="185"/>
      <c r="F2027" s="185"/>
      <c r="G2027" s="185"/>
      <c r="H2027" s="185"/>
      <c r="I2027" s="192" t="s">
        <v>2601</v>
      </c>
      <c r="J2027" s="279" t="s">
        <v>274</v>
      </c>
      <c r="K2027" s="225">
        <f>6300*20%</f>
        <v>1260</v>
      </c>
      <c r="L2027" s="190"/>
      <c r="M2027" s="190"/>
    </row>
    <row r="2028" spans="1:13" s="141" customFormat="1" ht="21" customHeight="1" x14ac:dyDescent="0.2">
      <c r="A2028" s="182"/>
      <c r="B2028" s="294"/>
      <c r="C2028" s="295"/>
      <c r="D2028" s="185"/>
      <c r="E2028" s="185"/>
      <c r="F2028" s="185"/>
      <c r="G2028" s="185"/>
      <c r="H2028" s="185"/>
      <c r="I2028" s="192" t="s">
        <v>2602</v>
      </c>
      <c r="J2028" s="279" t="s">
        <v>709</v>
      </c>
      <c r="K2028" s="225">
        <f>6300*20%</f>
        <v>1260</v>
      </c>
      <c r="L2028" s="190"/>
      <c r="M2028" s="190"/>
    </row>
    <row r="2029" spans="1:13" s="141" customFormat="1" ht="21" customHeight="1" x14ac:dyDescent="0.2">
      <c r="A2029" s="182"/>
      <c r="B2029" s="294"/>
      <c r="C2029" s="295"/>
      <c r="D2029" s="185"/>
      <c r="E2029" s="185"/>
      <c r="F2029" s="185"/>
      <c r="G2029" s="185"/>
      <c r="H2029" s="185"/>
      <c r="I2029" s="192" t="s">
        <v>2603</v>
      </c>
      <c r="J2029" s="279" t="s">
        <v>709</v>
      </c>
      <c r="K2029" s="225">
        <f>6300*10%</f>
        <v>630</v>
      </c>
      <c r="L2029" s="190"/>
      <c r="M2029" s="190"/>
    </row>
    <row r="2030" spans="1:13" s="141" customFormat="1" ht="21" customHeight="1" x14ac:dyDescent="0.2">
      <c r="A2030" s="193"/>
      <c r="B2030" s="327"/>
      <c r="C2030" s="328"/>
      <c r="D2030" s="196"/>
      <c r="E2030" s="196"/>
      <c r="F2030" s="196"/>
      <c r="G2030" s="196"/>
      <c r="H2030" s="196"/>
      <c r="I2030" s="186"/>
      <c r="J2030" s="304"/>
      <c r="K2030" s="261">
        <f>SUM(K2026:K2029)</f>
        <v>6300</v>
      </c>
      <c r="L2030" s="201"/>
      <c r="M2030" s="201"/>
    </row>
    <row r="2031" spans="1:13" s="141" customFormat="1" ht="21" customHeight="1" x14ac:dyDescent="0.2">
      <c r="A2031" s="172">
        <v>475</v>
      </c>
      <c r="B2031" s="299" t="s">
        <v>2604</v>
      </c>
      <c r="C2031" s="300"/>
      <c r="D2031" s="175" t="s">
        <v>107</v>
      </c>
      <c r="E2031" s="175"/>
      <c r="F2031" s="175"/>
      <c r="G2031" s="175"/>
      <c r="H2031" s="175"/>
      <c r="I2031" s="228" t="s">
        <v>2605</v>
      </c>
      <c r="J2031" s="275" t="s">
        <v>709</v>
      </c>
      <c r="K2031" s="276">
        <f>7700*60%</f>
        <v>4620</v>
      </c>
      <c r="L2031" s="180" t="s">
        <v>111</v>
      </c>
      <c r="M2031" s="180" t="s">
        <v>2606</v>
      </c>
    </row>
    <row r="2032" spans="1:13" s="141" customFormat="1" ht="21" customHeight="1" x14ac:dyDescent="0.2">
      <c r="A2032" s="182"/>
      <c r="B2032" s="294"/>
      <c r="C2032" s="295"/>
      <c r="D2032" s="185"/>
      <c r="E2032" s="185"/>
      <c r="F2032" s="185"/>
      <c r="G2032" s="185"/>
      <c r="H2032" s="185"/>
      <c r="I2032" s="192" t="s">
        <v>2607</v>
      </c>
      <c r="J2032" s="279" t="s">
        <v>709</v>
      </c>
      <c r="K2032" s="225">
        <f>7700*40%</f>
        <v>3080</v>
      </c>
      <c r="L2032" s="190"/>
      <c r="M2032" s="190"/>
    </row>
    <row r="2033" spans="1:13" s="141" customFormat="1" ht="21" customHeight="1" x14ac:dyDescent="0.2">
      <c r="A2033" s="182"/>
      <c r="B2033" s="294"/>
      <c r="C2033" s="295"/>
      <c r="D2033" s="185"/>
      <c r="E2033" s="185"/>
      <c r="F2033" s="185"/>
      <c r="G2033" s="185"/>
      <c r="H2033" s="185"/>
      <c r="I2033" s="186"/>
      <c r="J2033" s="304"/>
      <c r="K2033" s="261">
        <f>SUM(K2031:K2032)</f>
        <v>7700</v>
      </c>
      <c r="L2033" s="190"/>
      <c r="M2033" s="190"/>
    </row>
    <row r="2034" spans="1:13" s="141" customFormat="1" ht="21" customHeight="1" x14ac:dyDescent="0.2">
      <c r="A2034" s="172">
        <v>476</v>
      </c>
      <c r="B2034" s="299" t="s">
        <v>2608</v>
      </c>
      <c r="C2034" s="300"/>
      <c r="D2034" s="175" t="s">
        <v>107</v>
      </c>
      <c r="E2034" s="175"/>
      <c r="F2034" s="175"/>
      <c r="G2034" s="175"/>
      <c r="H2034" s="258"/>
      <c r="I2034" s="228" t="s">
        <v>2609</v>
      </c>
      <c r="J2034" s="275" t="s">
        <v>709</v>
      </c>
      <c r="K2034" s="346">
        <f>7700*60%</f>
        <v>4620</v>
      </c>
      <c r="L2034" s="174" t="s">
        <v>111</v>
      </c>
      <c r="M2034" s="180" t="s">
        <v>2610</v>
      </c>
    </row>
    <row r="2035" spans="1:13" s="141" customFormat="1" ht="21" customHeight="1" x14ac:dyDescent="0.2">
      <c r="A2035" s="182"/>
      <c r="B2035" s="294"/>
      <c r="C2035" s="295"/>
      <c r="D2035" s="185"/>
      <c r="E2035" s="185"/>
      <c r="F2035" s="185"/>
      <c r="G2035" s="185"/>
      <c r="H2035" s="260"/>
      <c r="I2035" s="192" t="s">
        <v>2611</v>
      </c>
      <c r="J2035" s="279" t="s">
        <v>709</v>
      </c>
      <c r="K2035" s="302">
        <f>7700*40%</f>
        <v>3080</v>
      </c>
      <c r="L2035" s="184"/>
      <c r="M2035" s="190"/>
    </row>
    <row r="2036" spans="1:13" s="141" customFormat="1" ht="21" customHeight="1" x14ac:dyDescent="0.2">
      <c r="A2036" s="193"/>
      <c r="B2036" s="327"/>
      <c r="C2036" s="328"/>
      <c r="D2036" s="196"/>
      <c r="E2036" s="196"/>
      <c r="F2036" s="196"/>
      <c r="G2036" s="196"/>
      <c r="H2036" s="262"/>
      <c r="I2036" s="206"/>
      <c r="J2036" s="282"/>
      <c r="K2036" s="485">
        <f>SUM(K2034:K2035)</f>
        <v>7700</v>
      </c>
      <c r="L2036" s="195"/>
      <c r="M2036" s="201"/>
    </row>
    <row r="2037" spans="1:13" s="141" customFormat="1" x14ac:dyDescent="0.2">
      <c r="A2037" s="182">
        <v>477</v>
      </c>
      <c r="B2037" s="183" t="s">
        <v>2612</v>
      </c>
      <c r="C2037" s="184"/>
      <c r="D2037" s="185" t="s">
        <v>163</v>
      </c>
      <c r="E2037" s="185"/>
      <c r="F2037" s="185"/>
      <c r="G2037" s="185"/>
      <c r="H2037" s="260"/>
      <c r="I2037" s="283" t="s">
        <v>2613</v>
      </c>
      <c r="J2037" s="284" t="s">
        <v>303</v>
      </c>
      <c r="K2037" s="285">
        <f>100500*70%</f>
        <v>70350</v>
      </c>
      <c r="L2037" s="184" t="s">
        <v>166</v>
      </c>
      <c r="M2037" s="190" t="s">
        <v>2614</v>
      </c>
    </row>
    <row r="2038" spans="1:13" s="141" customFormat="1" x14ac:dyDescent="0.2">
      <c r="A2038" s="182"/>
      <c r="B2038" s="183"/>
      <c r="C2038" s="184"/>
      <c r="D2038" s="185"/>
      <c r="E2038" s="185"/>
      <c r="F2038" s="185"/>
      <c r="G2038" s="185"/>
      <c r="H2038" s="260"/>
      <c r="I2038" s="192" t="s">
        <v>2615</v>
      </c>
      <c r="J2038" s="279" t="s">
        <v>303</v>
      </c>
      <c r="K2038" s="225">
        <f t="shared" ref="K2038:K2043" si="51">100500*5%</f>
        <v>5025</v>
      </c>
      <c r="L2038" s="184"/>
      <c r="M2038" s="190"/>
    </row>
    <row r="2039" spans="1:13" s="141" customFormat="1" x14ac:dyDescent="0.2">
      <c r="A2039" s="182"/>
      <c r="B2039" s="183"/>
      <c r="C2039" s="184"/>
      <c r="D2039" s="185"/>
      <c r="E2039" s="185"/>
      <c r="F2039" s="185"/>
      <c r="G2039" s="185"/>
      <c r="H2039" s="260"/>
      <c r="I2039" s="192" t="s">
        <v>2616</v>
      </c>
      <c r="J2039" s="279" t="s">
        <v>303</v>
      </c>
      <c r="K2039" s="225">
        <f t="shared" si="51"/>
        <v>5025</v>
      </c>
      <c r="L2039" s="184"/>
      <c r="M2039" s="190"/>
    </row>
    <row r="2040" spans="1:13" s="141" customFormat="1" x14ac:dyDescent="0.2">
      <c r="A2040" s="182"/>
      <c r="B2040" s="183"/>
      <c r="C2040" s="184"/>
      <c r="D2040" s="185"/>
      <c r="E2040" s="185"/>
      <c r="F2040" s="185"/>
      <c r="G2040" s="185"/>
      <c r="H2040" s="260"/>
      <c r="I2040" s="192" t="s">
        <v>2617</v>
      </c>
      <c r="J2040" s="279" t="s">
        <v>303</v>
      </c>
      <c r="K2040" s="225">
        <f t="shared" si="51"/>
        <v>5025</v>
      </c>
      <c r="L2040" s="184"/>
      <c r="M2040" s="190"/>
    </row>
    <row r="2041" spans="1:13" s="141" customFormat="1" x14ac:dyDescent="0.2">
      <c r="A2041" s="182"/>
      <c r="B2041" s="183"/>
      <c r="C2041" s="184"/>
      <c r="D2041" s="185"/>
      <c r="E2041" s="185"/>
      <c r="F2041" s="185"/>
      <c r="G2041" s="185"/>
      <c r="H2041" s="260"/>
      <c r="I2041" s="192" t="s">
        <v>2618</v>
      </c>
      <c r="J2041" s="279" t="s">
        <v>303</v>
      </c>
      <c r="K2041" s="225">
        <f t="shared" si="51"/>
        <v>5025</v>
      </c>
      <c r="L2041" s="184"/>
      <c r="M2041" s="190"/>
    </row>
    <row r="2042" spans="1:13" s="141" customFormat="1" x14ac:dyDescent="0.2">
      <c r="A2042" s="182"/>
      <c r="B2042" s="183"/>
      <c r="C2042" s="184"/>
      <c r="D2042" s="185"/>
      <c r="E2042" s="185"/>
      <c r="F2042" s="185"/>
      <c r="G2042" s="185"/>
      <c r="H2042" s="260"/>
      <c r="I2042" s="192" t="s">
        <v>2619</v>
      </c>
      <c r="J2042" s="279" t="s">
        <v>303</v>
      </c>
      <c r="K2042" s="225">
        <f t="shared" si="51"/>
        <v>5025</v>
      </c>
      <c r="L2042" s="184"/>
      <c r="M2042" s="190"/>
    </row>
    <row r="2043" spans="1:13" s="141" customFormat="1" x14ac:dyDescent="0.2">
      <c r="A2043" s="182"/>
      <c r="B2043" s="183"/>
      <c r="C2043" s="184"/>
      <c r="D2043" s="185"/>
      <c r="E2043" s="185"/>
      <c r="F2043" s="185"/>
      <c r="G2043" s="185"/>
      <c r="H2043" s="260"/>
      <c r="I2043" s="192" t="s">
        <v>2620</v>
      </c>
      <c r="J2043" s="279" t="s">
        <v>303</v>
      </c>
      <c r="K2043" s="225">
        <f t="shared" si="51"/>
        <v>5025</v>
      </c>
      <c r="L2043" s="184"/>
      <c r="M2043" s="190"/>
    </row>
    <row r="2044" spans="1:13" s="141" customFormat="1" x14ac:dyDescent="0.2">
      <c r="A2044" s="193"/>
      <c r="B2044" s="194"/>
      <c r="C2044" s="195"/>
      <c r="D2044" s="196"/>
      <c r="E2044" s="196"/>
      <c r="F2044" s="196"/>
      <c r="G2044" s="196"/>
      <c r="H2044" s="262"/>
      <c r="I2044" s="186"/>
      <c r="J2044" s="198"/>
      <c r="K2044" s="261">
        <f>SUM(K2037:K2043)</f>
        <v>100500</v>
      </c>
      <c r="L2044" s="195"/>
      <c r="M2044" s="201"/>
    </row>
    <row r="2045" spans="1:13" s="141" customFormat="1" x14ac:dyDescent="0.2">
      <c r="A2045" s="172">
        <v>478</v>
      </c>
      <c r="B2045" s="173" t="s">
        <v>2621</v>
      </c>
      <c r="C2045" s="174"/>
      <c r="D2045" s="175" t="s">
        <v>25</v>
      </c>
      <c r="E2045" s="175"/>
      <c r="F2045" s="175"/>
      <c r="G2045" s="175"/>
      <c r="H2045" s="258"/>
      <c r="I2045" s="228" t="s">
        <v>2622</v>
      </c>
      <c r="J2045" s="284" t="s">
        <v>303</v>
      </c>
      <c r="K2045" s="486">
        <f t="shared" ref="K2045:K2049" si="52">2800000*20%</f>
        <v>560000</v>
      </c>
      <c r="L2045" s="174" t="s">
        <v>360</v>
      </c>
      <c r="M2045" s="180" t="s">
        <v>2623</v>
      </c>
    </row>
    <row r="2046" spans="1:13" s="141" customFormat="1" x14ac:dyDescent="0.2">
      <c r="A2046" s="182"/>
      <c r="B2046" s="183"/>
      <c r="C2046" s="184"/>
      <c r="D2046" s="185"/>
      <c r="E2046" s="185"/>
      <c r="F2046" s="185"/>
      <c r="G2046" s="185"/>
      <c r="H2046" s="260"/>
      <c r="I2046" s="192" t="s">
        <v>2624</v>
      </c>
      <c r="J2046" s="279" t="s">
        <v>303</v>
      </c>
      <c r="K2046" s="487">
        <f t="shared" si="52"/>
        <v>560000</v>
      </c>
      <c r="L2046" s="184"/>
      <c r="M2046" s="190"/>
    </row>
    <row r="2047" spans="1:13" s="141" customFormat="1" x14ac:dyDescent="0.2">
      <c r="A2047" s="182"/>
      <c r="B2047" s="183"/>
      <c r="C2047" s="184"/>
      <c r="D2047" s="185"/>
      <c r="E2047" s="185"/>
      <c r="F2047" s="185"/>
      <c r="G2047" s="185"/>
      <c r="H2047" s="260"/>
      <c r="I2047" s="192" t="s">
        <v>2625</v>
      </c>
      <c r="J2047" s="279" t="s">
        <v>303</v>
      </c>
      <c r="K2047" s="487">
        <f t="shared" si="52"/>
        <v>560000</v>
      </c>
      <c r="L2047" s="184"/>
      <c r="M2047" s="190"/>
    </row>
    <row r="2048" spans="1:13" s="141" customFormat="1" x14ac:dyDescent="0.2">
      <c r="A2048" s="182"/>
      <c r="B2048" s="183"/>
      <c r="C2048" s="184"/>
      <c r="D2048" s="185"/>
      <c r="E2048" s="185"/>
      <c r="F2048" s="185"/>
      <c r="G2048" s="185"/>
      <c r="H2048" s="260"/>
      <c r="I2048" s="192" t="s">
        <v>2626</v>
      </c>
      <c r="J2048" s="279" t="s">
        <v>303</v>
      </c>
      <c r="K2048" s="487">
        <f t="shared" si="52"/>
        <v>560000</v>
      </c>
      <c r="L2048" s="184"/>
      <c r="M2048" s="190"/>
    </row>
    <row r="2049" spans="1:14" s="141" customFormat="1" x14ac:dyDescent="0.2">
      <c r="A2049" s="182"/>
      <c r="B2049" s="183"/>
      <c r="C2049" s="184"/>
      <c r="D2049" s="185"/>
      <c r="E2049" s="185"/>
      <c r="F2049" s="185"/>
      <c r="G2049" s="185"/>
      <c r="H2049" s="260"/>
      <c r="I2049" s="192" t="s">
        <v>2627</v>
      </c>
      <c r="J2049" s="279" t="s">
        <v>303</v>
      </c>
      <c r="K2049" s="487">
        <f t="shared" si="52"/>
        <v>560000</v>
      </c>
      <c r="L2049" s="184"/>
      <c r="M2049" s="190"/>
    </row>
    <row r="2050" spans="1:14" s="141" customFormat="1" x14ac:dyDescent="0.2">
      <c r="A2050" s="193"/>
      <c r="B2050" s="194"/>
      <c r="C2050" s="195"/>
      <c r="D2050" s="196"/>
      <c r="E2050" s="196"/>
      <c r="F2050" s="196"/>
      <c r="G2050" s="196"/>
      <c r="H2050" s="262"/>
      <c r="I2050" s="206"/>
      <c r="J2050" s="304"/>
      <c r="K2050" s="261">
        <f>SUM(K2045:K2049)</f>
        <v>2800000</v>
      </c>
      <c r="L2050" s="195"/>
      <c r="M2050" s="201"/>
    </row>
    <row r="2051" spans="1:14" s="141" customFormat="1" ht="69.75" customHeight="1" x14ac:dyDescent="0.2">
      <c r="A2051" s="242">
        <v>479</v>
      </c>
      <c r="B2051" s="266" t="s">
        <v>2628</v>
      </c>
      <c r="C2051" s="267" t="s">
        <v>2628</v>
      </c>
      <c r="D2051" s="268" t="s">
        <v>107</v>
      </c>
      <c r="E2051" s="269"/>
      <c r="F2051" s="269"/>
      <c r="G2051" s="269"/>
      <c r="H2051" s="270"/>
      <c r="I2051" s="197" t="s">
        <v>2629</v>
      </c>
      <c r="J2051" s="312" t="s">
        <v>303</v>
      </c>
      <c r="K2051" s="271">
        <v>11000</v>
      </c>
      <c r="L2051" s="272" t="s">
        <v>111</v>
      </c>
      <c r="M2051" s="226" t="s">
        <v>2630</v>
      </c>
    </row>
    <row r="2052" spans="1:14" s="141" customFormat="1" ht="24.75" customHeight="1" x14ac:dyDescent="0.2">
      <c r="A2052" s="172">
        <v>480</v>
      </c>
      <c r="B2052" s="173" t="s">
        <v>2631</v>
      </c>
      <c r="C2052" s="174"/>
      <c r="D2052" s="175" t="s">
        <v>107</v>
      </c>
      <c r="E2052" s="175"/>
      <c r="F2052" s="175"/>
      <c r="G2052" s="175"/>
      <c r="H2052" s="258" t="s">
        <v>108</v>
      </c>
      <c r="I2052" s="228" t="s">
        <v>2632</v>
      </c>
      <c r="J2052" s="275" t="s">
        <v>1444</v>
      </c>
      <c r="K2052" s="276">
        <f>11500*40%</f>
        <v>4600</v>
      </c>
      <c r="L2052" s="174" t="s">
        <v>111</v>
      </c>
      <c r="M2052" s="180" t="s">
        <v>2633</v>
      </c>
      <c r="N2052" s="181"/>
    </row>
    <row r="2053" spans="1:14" s="141" customFormat="1" ht="24.75" customHeight="1" x14ac:dyDescent="0.2">
      <c r="A2053" s="182"/>
      <c r="B2053" s="183"/>
      <c r="C2053" s="184"/>
      <c r="D2053" s="185"/>
      <c r="E2053" s="185"/>
      <c r="F2053" s="185"/>
      <c r="G2053" s="185"/>
      <c r="H2053" s="260"/>
      <c r="I2053" s="192" t="s">
        <v>2634</v>
      </c>
      <c r="J2053" s="279" t="s">
        <v>1444</v>
      </c>
      <c r="K2053" s="225">
        <f>11500*30%</f>
        <v>3450</v>
      </c>
      <c r="L2053" s="184"/>
      <c r="M2053" s="190"/>
    </row>
    <row r="2054" spans="1:14" s="141" customFormat="1" ht="24.75" customHeight="1" x14ac:dyDescent="0.2">
      <c r="A2054" s="182"/>
      <c r="B2054" s="183"/>
      <c r="C2054" s="184"/>
      <c r="D2054" s="185"/>
      <c r="E2054" s="185"/>
      <c r="F2054" s="185"/>
      <c r="G2054" s="185"/>
      <c r="H2054" s="260"/>
      <c r="I2054" s="192" t="s">
        <v>2635</v>
      </c>
      <c r="J2054" s="279" t="s">
        <v>1444</v>
      </c>
      <c r="K2054" s="225">
        <f>11500*20%</f>
        <v>2300</v>
      </c>
      <c r="L2054" s="184"/>
      <c r="M2054" s="190"/>
    </row>
    <row r="2055" spans="1:14" s="141" customFormat="1" ht="24.75" customHeight="1" x14ac:dyDescent="0.2">
      <c r="A2055" s="182"/>
      <c r="B2055" s="183"/>
      <c r="C2055" s="184"/>
      <c r="D2055" s="185"/>
      <c r="E2055" s="185"/>
      <c r="F2055" s="185"/>
      <c r="G2055" s="185"/>
      <c r="H2055" s="260"/>
      <c r="I2055" s="192" t="s">
        <v>2636</v>
      </c>
      <c r="J2055" s="279" t="s">
        <v>1444</v>
      </c>
      <c r="K2055" s="225">
        <f>11500*10%</f>
        <v>1150</v>
      </c>
      <c r="L2055" s="184"/>
      <c r="M2055" s="190"/>
    </row>
    <row r="2056" spans="1:14" s="141" customFormat="1" ht="24.75" customHeight="1" x14ac:dyDescent="0.2">
      <c r="A2056" s="193"/>
      <c r="B2056" s="194"/>
      <c r="C2056" s="195"/>
      <c r="D2056" s="196"/>
      <c r="E2056" s="196"/>
      <c r="F2056" s="196"/>
      <c r="G2056" s="196"/>
      <c r="H2056" s="262"/>
      <c r="I2056" s="206"/>
      <c r="J2056" s="282"/>
      <c r="K2056" s="257">
        <f>SUM(K2052:K2055)</f>
        <v>11500</v>
      </c>
      <c r="L2056" s="195"/>
      <c r="M2056" s="201"/>
    </row>
    <row r="2057" spans="1:14" s="141" customFormat="1" ht="48" x14ac:dyDescent="0.2">
      <c r="A2057" s="172">
        <v>481</v>
      </c>
      <c r="B2057" s="173" t="s">
        <v>2637</v>
      </c>
      <c r="C2057" s="174"/>
      <c r="D2057" s="175" t="s">
        <v>107</v>
      </c>
      <c r="E2057" s="175"/>
      <c r="F2057" s="175"/>
      <c r="G2057" s="175"/>
      <c r="H2057" s="258"/>
      <c r="I2057" s="283" t="s">
        <v>2638</v>
      </c>
      <c r="J2057" s="284" t="s">
        <v>1444</v>
      </c>
      <c r="K2057" s="285">
        <f>5800*50%</f>
        <v>2900</v>
      </c>
      <c r="L2057" s="174" t="s">
        <v>111</v>
      </c>
      <c r="M2057" s="180" t="s">
        <v>2639</v>
      </c>
    </row>
    <row r="2058" spans="1:14" s="141" customFormat="1" ht="48" x14ac:dyDescent="0.2">
      <c r="A2058" s="182"/>
      <c r="B2058" s="183"/>
      <c r="C2058" s="184"/>
      <c r="D2058" s="185"/>
      <c r="E2058" s="185"/>
      <c r="F2058" s="185"/>
      <c r="G2058" s="185"/>
      <c r="H2058" s="260"/>
      <c r="I2058" s="192" t="s">
        <v>2634</v>
      </c>
      <c r="J2058" s="279" t="s">
        <v>1444</v>
      </c>
      <c r="K2058" s="225">
        <f>5800*30%</f>
        <v>1740</v>
      </c>
      <c r="L2058" s="184"/>
      <c r="M2058" s="190"/>
    </row>
    <row r="2059" spans="1:14" s="141" customFormat="1" ht="48" x14ac:dyDescent="0.2">
      <c r="A2059" s="182"/>
      <c r="B2059" s="183"/>
      <c r="C2059" s="184"/>
      <c r="D2059" s="185"/>
      <c r="E2059" s="185"/>
      <c r="F2059" s="185"/>
      <c r="G2059" s="185"/>
      <c r="H2059" s="260"/>
      <c r="I2059" s="192" t="s">
        <v>2635</v>
      </c>
      <c r="J2059" s="279" t="s">
        <v>1444</v>
      </c>
      <c r="K2059" s="225">
        <f>5800*20%</f>
        <v>1160</v>
      </c>
      <c r="L2059" s="184"/>
      <c r="M2059" s="190"/>
    </row>
    <row r="2060" spans="1:14" s="141" customFormat="1" x14ac:dyDescent="0.2">
      <c r="A2060" s="193"/>
      <c r="B2060" s="194"/>
      <c r="C2060" s="195"/>
      <c r="D2060" s="196"/>
      <c r="E2060" s="196"/>
      <c r="F2060" s="196"/>
      <c r="G2060" s="196"/>
      <c r="H2060" s="262"/>
      <c r="I2060" s="186"/>
      <c r="J2060" s="304"/>
      <c r="K2060" s="261">
        <f>SUM(K2057:K2059)</f>
        <v>5800</v>
      </c>
      <c r="L2060" s="195"/>
      <c r="M2060" s="201"/>
    </row>
    <row r="2061" spans="1:14" s="141" customFormat="1" ht="48" x14ac:dyDescent="0.2">
      <c r="A2061" s="172">
        <v>482</v>
      </c>
      <c r="B2061" s="173" t="s">
        <v>2640</v>
      </c>
      <c r="C2061" s="174"/>
      <c r="D2061" s="175" t="s">
        <v>107</v>
      </c>
      <c r="E2061" s="175"/>
      <c r="F2061" s="175"/>
      <c r="G2061" s="175"/>
      <c r="H2061" s="258"/>
      <c r="I2061" s="228" t="s">
        <v>2641</v>
      </c>
      <c r="J2061" s="275" t="s">
        <v>1444</v>
      </c>
      <c r="K2061" s="276">
        <f>5800*50%</f>
        <v>2900</v>
      </c>
      <c r="L2061" s="174" t="s">
        <v>111</v>
      </c>
      <c r="M2061" s="180" t="s">
        <v>2642</v>
      </c>
    </row>
    <row r="2062" spans="1:14" s="141" customFormat="1" ht="48" x14ac:dyDescent="0.2">
      <c r="A2062" s="182"/>
      <c r="B2062" s="183"/>
      <c r="C2062" s="184"/>
      <c r="D2062" s="185"/>
      <c r="E2062" s="185"/>
      <c r="F2062" s="185"/>
      <c r="G2062" s="185"/>
      <c r="H2062" s="260"/>
      <c r="I2062" s="192" t="s">
        <v>2634</v>
      </c>
      <c r="J2062" s="279" t="s">
        <v>1444</v>
      </c>
      <c r="K2062" s="225">
        <f>5800*30%</f>
        <v>1740</v>
      </c>
      <c r="L2062" s="184"/>
      <c r="M2062" s="190"/>
    </row>
    <row r="2063" spans="1:14" s="141" customFormat="1" ht="48" x14ac:dyDescent="0.2">
      <c r="A2063" s="182"/>
      <c r="B2063" s="183"/>
      <c r="C2063" s="184"/>
      <c r="D2063" s="185"/>
      <c r="E2063" s="185"/>
      <c r="F2063" s="185"/>
      <c r="G2063" s="185"/>
      <c r="H2063" s="260"/>
      <c r="I2063" s="192" t="s">
        <v>2643</v>
      </c>
      <c r="J2063" s="279" t="s">
        <v>1444</v>
      </c>
      <c r="K2063" s="225">
        <f>5800*5%</f>
        <v>290</v>
      </c>
      <c r="L2063" s="184"/>
      <c r="M2063" s="190"/>
    </row>
    <row r="2064" spans="1:14" s="141" customFormat="1" ht="48" x14ac:dyDescent="0.2">
      <c r="A2064" s="182"/>
      <c r="B2064" s="183"/>
      <c r="C2064" s="184"/>
      <c r="D2064" s="185"/>
      <c r="E2064" s="185"/>
      <c r="F2064" s="185"/>
      <c r="G2064" s="185"/>
      <c r="H2064" s="260"/>
      <c r="I2064" s="192" t="s">
        <v>2644</v>
      </c>
      <c r="J2064" s="279" t="s">
        <v>1444</v>
      </c>
      <c r="K2064" s="225">
        <f>5800*15%</f>
        <v>870</v>
      </c>
      <c r="L2064" s="184"/>
      <c r="M2064" s="190"/>
    </row>
    <row r="2065" spans="1:13" s="141" customFormat="1" x14ac:dyDescent="0.2">
      <c r="A2065" s="193"/>
      <c r="B2065" s="194"/>
      <c r="C2065" s="195"/>
      <c r="D2065" s="196"/>
      <c r="E2065" s="196"/>
      <c r="F2065" s="196"/>
      <c r="G2065" s="196"/>
      <c r="H2065" s="262"/>
      <c r="I2065" s="206"/>
      <c r="J2065" s="282"/>
      <c r="K2065" s="257">
        <f>SUM(K2061:K2064)</f>
        <v>5800</v>
      </c>
      <c r="L2065" s="195"/>
      <c r="M2065" s="201"/>
    </row>
    <row r="2066" spans="1:13" s="141" customFormat="1" x14ac:dyDescent="0.2">
      <c r="A2066" s="172">
        <v>483</v>
      </c>
      <c r="B2066" s="173" t="s">
        <v>2645</v>
      </c>
      <c r="C2066" s="174"/>
      <c r="D2066" s="175" t="s">
        <v>107</v>
      </c>
      <c r="E2066" s="175"/>
      <c r="F2066" s="175"/>
      <c r="G2066" s="175"/>
      <c r="H2066" s="258"/>
      <c r="I2066" s="283" t="s">
        <v>2646</v>
      </c>
      <c r="J2066" s="284" t="s">
        <v>2647</v>
      </c>
      <c r="K2066" s="285">
        <f>3000*80%</f>
        <v>2400</v>
      </c>
      <c r="L2066" s="174" t="s">
        <v>111</v>
      </c>
      <c r="M2066" s="180" t="s">
        <v>2648</v>
      </c>
    </row>
    <row r="2067" spans="1:13" s="141" customFormat="1" x14ac:dyDescent="0.2">
      <c r="A2067" s="182"/>
      <c r="B2067" s="183"/>
      <c r="C2067" s="184"/>
      <c r="D2067" s="185"/>
      <c r="E2067" s="185"/>
      <c r="F2067" s="185"/>
      <c r="G2067" s="185"/>
      <c r="H2067" s="260"/>
      <c r="I2067" s="192" t="s">
        <v>2649</v>
      </c>
      <c r="J2067" s="279" t="s">
        <v>2647</v>
      </c>
      <c r="K2067" s="225">
        <f>3000*5%</f>
        <v>150</v>
      </c>
      <c r="L2067" s="184"/>
      <c r="M2067" s="190"/>
    </row>
    <row r="2068" spans="1:13" s="141" customFormat="1" x14ac:dyDescent="0.2">
      <c r="A2068" s="182"/>
      <c r="B2068" s="183"/>
      <c r="C2068" s="184"/>
      <c r="D2068" s="185"/>
      <c r="E2068" s="185"/>
      <c r="F2068" s="185"/>
      <c r="G2068" s="185"/>
      <c r="H2068" s="260"/>
      <c r="I2068" s="192" t="s">
        <v>2650</v>
      </c>
      <c r="J2068" s="279" t="s">
        <v>2647</v>
      </c>
      <c r="K2068" s="225">
        <f>3000*5%</f>
        <v>150</v>
      </c>
      <c r="L2068" s="184"/>
      <c r="M2068" s="190"/>
    </row>
    <row r="2069" spans="1:13" s="141" customFormat="1" x14ac:dyDescent="0.2">
      <c r="A2069" s="182"/>
      <c r="B2069" s="183"/>
      <c r="C2069" s="184"/>
      <c r="D2069" s="185"/>
      <c r="E2069" s="185"/>
      <c r="F2069" s="185"/>
      <c r="G2069" s="185"/>
      <c r="H2069" s="260"/>
      <c r="I2069" s="192" t="s">
        <v>2651</v>
      </c>
      <c r="J2069" s="279" t="s">
        <v>2647</v>
      </c>
      <c r="K2069" s="225">
        <f>3000*5%</f>
        <v>150</v>
      </c>
      <c r="L2069" s="184"/>
      <c r="M2069" s="190"/>
    </row>
    <row r="2070" spans="1:13" s="141" customFormat="1" x14ac:dyDescent="0.2">
      <c r="A2070" s="182"/>
      <c r="B2070" s="183"/>
      <c r="C2070" s="184"/>
      <c r="D2070" s="185"/>
      <c r="E2070" s="185"/>
      <c r="F2070" s="185"/>
      <c r="G2070" s="185"/>
      <c r="H2070" s="260"/>
      <c r="I2070" s="192" t="s">
        <v>2652</v>
      </c>
      <c r="J2070" s="279" t="s">
        <v>2647</v>
      </c>
      <c r="K2070" s="225">
        <f>3000*5%</f>
        <v>150</v>
      </c>
      <c r="L2070" s="184"/>
      <c r="M2070" s="190"/>
    </row>
    <row r="2071" spans="1:13" s="141" customFormat="1" x14ac:dyDescent="0.2">
      <c r="A2071" s="193"/>
      <c r="B2071" s="194"/>
      <c r="C2071" s="195"/>
      <c r="D2071" s="196"/>
      <c r="E2071" s="196"/>
      <c r="F2071" s="196"/>
      <c r="G2071" s="196"/>
      <c r="H2071" s="262"/>
      <c r="I2071" s="186"/>
      <c r="J2071" s="304"/>
      <c r="K2071" s="261">
        <f>SUM(K2066:K2070)</f>
        <v>3000</v>
      </c>
      <c r="L2071" s="195"/>
      <c r="M2071" s="201"/>
    </row>
    <row r="2072" spans="1:13" s="141" customFormat="1" x14ac:dyDescent="0.2">
      <c r="A2072" s="172">
        <v>484</v>
      </c>
      <c r="B2072" s="173" t="s">
        <v>2653</v>
      </c>
      <c r="C2072" s="174"/>
      <c r="D2072" s="175" t="s">
        <v>107</v>
      </c>
      <c r="E2072" s="175"/>
      <c r="F2072" s="175"/>
      <c r="G2072" s="175"/>
      <c r="H2072" s="258" t="s">
        <v>1011</v>
      </c>
      <c r="I2072" s="228" t="s">
        <v>2654</v>
      </c>
      <c r="J2072" s="275" t="s">
        <v>2022</v>
      </c>
      <c r="K2072" s="276">
        <f>5000*80%</f>
        <v>4000</v>
      </c>
      <c r="L2072" s="174" t="s">
        <v>111</v>
      </c>
      <c r="M2072" s="180" t="s">
        <v>2655</v>
      </c>
    </row>
    <row r="2073" spans="1:13" s="141" customFormat="1" x14ac:dyDescent="0.2">
      <c r="A2073" s="182"/>
      <c r="B2073" s="183"/>
      <c r="C2073" s="184"/>
      <c r="D2073" s="185"/>
      <c r="E2073" s="185"/>
      <c r="F2073" s="185"/>
      <c r="G2073" s="185"/>
      <c r="H2073" s="260"/>
      <c r="I2073" s="192" t="s">
        <v>2656</v>
      </c>
      <c r="J2073" s="279" t="s">
        <v>2022</v>
      </c>
      <c r="K2073" s="225">
        <f>5000*5%</f>
        <v>250</v>
      </c>
      <c r="L2073" s="184"/>
      <c r="M2073" s="190"/>
    </row>
    <row r="2074" spans="1:13" s="141" customFormat="1" x14ac:dyDescent="0.2">
      <c r="A2074" s="182"/>
      <c r="B2074" s="183"/>
      <c r="C2074" s="184"/>
      <c r="D2074" s="185"/>
      <c r="E2074" s="185"/>
      <c r="F2074" s="185"/>
      <c r="G2074" s="185"/>
      <c r="H2074" s="260"/>
      <c r="I2074" s="192" t="s">
        <v>2657</v>
      </c>
      <c r="J2074" s="279" t="s">
        <v>2022</v>
      </c>
      <c r="K2074" s="225">
        <f>5000*5%</f>
        <v>250</v>
      </c>
      <c r="L2074" s="184"/>
      <c r="M2074" s="190"/>
    </row>
    <row r="2075" spans="1:13" s="141" customFormat="1" x14ac:dyDescent="0.2">
      <c r="A2075" s="182"/>
      <c r="B2075" s="183"/>
      <c r="C2075" s="184"/>
      <c r="D2075" s="185"/>
      <c r="E2075" s="185"/>
      <c r="F2075" s="185"/>
      <c r="G2075" s="185"/>
      <c r="H2075" s="260"/>
      <c r="I2075" s="192" t="s">
        <v>2658</v>
      </c>
      <c r="J2075" s="279" t="s">
        <v>2022</v>
      </c>
      <c r="K2075" s="225">
        <f>5000*5%</f>
        <v>250</v>
      </c>
      <c r="L2075" s="184"/>
      <c r="M2075" s="190"/>
    </row>
    <row r="2076" spans="1:13" s="141" customFormat="1" x14ac:dyDescent="0.2">
      <c r="A2076" s="182"/>
      <c r="B2076" s="183"/>
      <c r="C2076" s="184"/>
      <c r="D2076" s="185"/>
      <c r="E2076" s="185"/>
      <c r="F2076" s="185"/>
      <c r="G2076" s="185"/>
      <c r="H2076" s="260"/>
      <c r="I2076" s="192" t="s">
        <v>2021</v>
      </c>
      <c r="J2076" s="279" t="s">
        <v>2022</v>
      </c>
      <c r="K2076" s="225">
        <f>5000*5%</f>
        <v>250</v>
      </c>
      <c r="L2076" s="184"/>
      <c r="M2076" s="190"/>
    </row>
    <row r="2077" spans="1:13" s="141" customFormat="1" x14ac:dyDescent="0.2">
      <c r="A2077" s="193"/>
      <c r="B2077" s="194"/>
      <c r="C2077" s="195"/>
      <c r="D2077" s="196"/>
      <c r="E2077" s="196"/>
      <c r="F2077" s="196"/>
      <c r="G2077" s="196"/>
      <c r="H2077" s="262"/>
      <c r="I2077" s="206"/>
      <c r="J2077" s="282"/>
      <c r="K2077" s="257">
        <f>SUM(K2072:K2076)</f>
        <v>5000</v>
      </c>
      <c r="L2077" s="195"/>
      <c r="M2077" s="201"/>
    </row>
    <row r="2078" spans="1:13" s="141" customFormat="1" x14ac:dyDescent="0.2">
      <c r="A2078" s="172">
        <v>485</v>
      </c>
      <c r="B2078" s="173" t="s">
        <v>2659</v>
      </c>
      <c r="C2078" s="174"/>
      <c r="D2078" s="175" t="s">
        <v>107</v>
      </c>
      <c r="E2078" s="175"/>
      <c r="F2078" s="175"/>
      <c r="G2078" s="175"/>
      <c r="H2078" s="258"/>
      <c r="I2078" s="283" t="s">
        <v>2660</v>
      </c>
      <c r="J2078" s="284" t="s">
        <v>2022</v>
      </c>
      <c r="K2078" s="285">
        <f>5000*65%</f>
        <v>3250</v>
      </c>
      <c r="L2078" s="174" t="s">
        <v>111</v>
      </c>
      <c r="M2078" s="180" t="s">
        <v>2661</v>
      </c>
    </row>
    <row r="2079" spans="1:13" s="141" customFormat="1" x14ac:dyDescent="0.2">
      <c r="A2079" s="182"/>
      <c r="B2079" s="183"/>
      <c r="C2079" s="184"/>
      <c r="D2079" s="185"/>
      <c r="E2079" s="185"/>
      <c r="F2079" s="185"/>
      <c r="G2079" s="185"/>
      <c r="H2079" s="260"/>
      <c r="I2079" s="192" t="s">
        <v>2662</v>
      </c>
      <c r="J2079" s="279" t="s">
        <v>2022</v>
      </c>
      <c r="K2079" s="225">
        <f>5000*20%</f>
        <v>1000</v>
      </c>
      <c r="L2079" s="184"/>
      <c r="M2079" s="190"/>
    </row>
    <row r="2080" spans="1:13" s="141" customFormat="1" x14ac:dyDescent="0.2">
      <c r="A2080" s="182"/>
      <c r="B2080" s="183"/>
      <c r="C2080" s="184"/>
      <c r="D2080" s="185"/>
      <c r="E2080" s="185"/>
      <c r="F2080" s="185"/>
      <c r="G2080" s="185"/>
      <c r="H2080" s="260"/>
      <c r="I2080" s="192" t="s">
        <v>2021</v>
      </c>
      <c r="J2080" s="279" t="s">
        <v>2022</v>
      </c>
      <c r="K2080" s="225">
        <f>5000*5%</f>
        <v>250</v>
      </c>
      <c r="L2080" s="184"/>
      <c r="M2080" s="190"/>
    </row>
    <row r="2081" spans="1:13" s="141" customFormat="1" x14ac:dyDescent="0.2">
      <c r="A2081" s="182"/>
      <c r="B2081" s="183"/>
      <c r="C2081" s="184"/>
      <c r="D2081" s="185"/>
      <c r="E2081" s="185"/>
      <c r="F2081" s="185"/>
      <c r="G2081" s="185"/>
      <c r="H2081" s="260"/>
      <c r="I2081" s="192" t="s">
        <v>2656</v>
      </c>
      <c r="J2081" s="279" t="s">
        <v>2022</v>
      </c>
      <c r="K2081" s="225">
        <f>5000*5%</f>
        <v>250</v>
      </c>
      <c r="L2081" s="184"/>
      <c r="M2081" s="190"/>
    </row>
    <row r="2082" spans="1:13" s="141" customFormat="1" x14ac:dyDescent="0.2">
      <c r="A2082" s="182"/>
      <c r="B2082" s="183"/>
      <c r="C2082" s="184"/>
      <c r="D2082" s="185"/>
      <c r="E2082" s="185"/>
      <c r="F2082" s="185"/>
      <c r="G2082" s="185"/>
      <c r="H2082" s="260"/>
      <c r="I2082" s="192" t="s">
        <v>2658</v>
      </c>
      <c r="J2082" s="279" t="s">
        <v>2022</v>
      </c>
      <c r="K2082" s="225">
        <f>5000*5%</f>
        <v>250</v>
      </c>
      <c r="L2082" s="184"/>
      <c r="M2082" s="190"/>
    </row>
    <row r="2083" spans="1:13" s="141" customFormat="1" x14ac:dyDescent="0.2">
      <c r="A2083" s="193"/>
      <c r="B2083" s="194"/>
      <c r="C2083" s="195"/>
      <c r="D2083" s="196"/>
      <c r="E2083" s="196"/>
      <c r="F2083" s="196"/>
      <c r="G2083" s="196"/>
      <c r="H2083" s="262"/>
      <c r="I2083" s="186"/>
      <c r="J2083" s="304"/>
      <c r="K2083" s="261">
        <f>SUM(K2078:K2082)</f>
        <v>5000</v>
      </c>
      <c r="L2083" s="195"/>
      <c r="M2083" s="201"/>
    </row>
    <row r="2084" spans="1:13" s="141" customFormat="1" x14ac:dyDescent="0.2">
      <c r="A2084" s="172">
        <v>486</v>
      </c>
      <c r="B2084" s="173" t="s">
        <v>2663</v>
      </c>
      <c r="C2084" s="174"/>
      <c r="D2084" s="175" t="s">
        <v>107</v>
      </c>
      <c r="E2084" s="175"/>
      <c r="F2084" s="175"/>
      <c r="G2084" s="175"/>
      <c r="H2084" s="258" t="s">
        <v>137</v>
      </c>
      <c r="I2084" s="228" t="s">
        <v>2664</v>
      </c>
      <c r="J2084" s="275" t="s">
        <v>1436</v>
      </c>
      <c r="K2084" s="276">
        <f>8000*30%</f>
        <v>2400</v>
      </c>
      <c r="L2084" s="174" t="s">
        <v>111</v>
      </c>
      <c r="M2084" s="180" t="s">
        <v>2665</v>
      </c>
    </row>
    <row r="2085" spans="1:13" s="141" customFormat="1" ht="48" x14ac:dyDescent="0.2">
      <c r="A2085" s="182"/>
      <c r="B2085" s="183"/>
      <c r="C2085" s="184"/>
      <c r="D2085" s="185"/>
      <c r="E2085" s="185"/>
      <c r="F2085" s="185"/>
      <c r="G2085" s="185"/>
      <c r="H2085" s="260"/>
      <c r="I2085" s="192" t="s">
        <v>2634</v>
      </c>
      <c r="J2085" s="279" t="s">
        <v>1444</v>
      </c>
      <c r="K2085" s="225">
        <f>8000*30%</f>
        <v>2400</v>
      </c>
      <c r="L2085" s="184"/>
      <c r="M2085" s="190"/>
    </row>
    <row r="2086" spans="1:13" s="141" customFormat="1" ht="48" x14ac:dyDescent="0.2">
      <c r="A2086" s="182"/>
      <c r="B2086" s="183"/>
      <c r="C2086" s="184"/>
      <c r="D2086" s="185"/>
      <c r="E2086" s="185"/>
      <c r="F2086" s="185"/>
      <c r="G2086" s="185"/>
      <c r="H2086" s="260"/>
      <c r="I2086" s="192" t="s">
        <v>2666</v>
      </c>
      <c r="J2086" s="279" t="s">
        <v>1444</v>
      </c>
      <c r="K2086" s="225">
        <f>8000*40%</f>
        <v>3200</v>
      </c>
      <c r="L2086" s="184"/>
      <c r="M2086" s="190"/>
    </row>
    <row r="2087" spans="1:13" s="141" customFormat="1" x14ac:dyDescent="0.2">
      <c r="A2087" s="193"/>
      <c r="B2087" s="194"/>
      <c r="C2087" s="195"/>
      <c r="D2087" s="196"/>
      <c r="E2087" s="196"/>
      <c r="F2087" s="196"/>
      <c r="G2087" s="196"/>
      <c r="H2087" s="262"/>
      <c r="I2087" s="206"/>
      <c r="J2087" s="282"/>
      <c r="K2087" s="257">
        <f>SUM(K2084:K2086)</f>
        <v>8000</v>
      </c>
      <c r="L2087" s="195"/>
      <c r="M2087" s="201"/>
    </row>
    <row r="2088" spans="1:13" s="141" customFormat="1" ht="48" x14ac:dyDescent="0.2">
      <c r="A2088" s="172">
        <v>487</v>
      </c>
      <c r="B2088" s="173" t="s">
        <v>2667</v>
      </c>
      <c r="C2088" s="174"/>
      <c r="D2088" s="175" t="s">
        <v>107</v>
      </c>
      <c r="E2088" s="175"/>
      <c r="F2088" s="175"/>
      <c r="G2088" s="175"/>
      <c r="H2088" s="258" t="s">
        <v>1011</v>
      </c>
      <c r="I2088" s="283" t="s">
        <v>2668</v>
      </c>
      <c r="J2088" s="284" t="s">
        <v>1444</v>
      </c>
      <c r="K2088" s="285">
        <f>7500*50%</f>
        <v>3750</v>
      </c>
      <c r="L2088" s="174" t="s">
        <v>111</v>
      </c>
      <c r="M2088" s="180" t="s">
        <v>2669</v>
      </c>
    </row>
    <row r="2089" spans="1:13" s="141" customFormat="1" x14ac:dyDescent="0.2">
      <c r="A2089" s="182"/>
      <c r="B2089" s="183"/>
      <c r="C2089" s="184"/>
      <c r="D2089" s="185"/>
      <c r="E2089" s="185"/>
      <c r="F2089" s="185"/>
      <c r="G2089" s="185"/>
      <c r="H2089" s="260"/>
      <c r="I2089" s="192" t="s">
        <v>2670</v>
      </c>
      <c r="J2089" s="279" t="s">
        <v>1436</v>
      </c>
      <c r="K2089" s="225">
        <f>7500*10%</f>
        <v>750</v>
      </c>
      <c r="L2089" s="184"/>
      <c r="M2089" s="190"/>
    </row>
    <row r="2090" spans="1:13" s="141" customFormat="1" ht="48" x14ac:dyDescent="0.2">
      <c r="A2090" s="182"/>
      <c r="B2090" s="183"/>
      <c r="C2090" s="184"/>
      <c r="D2090" s="185"/>
      <c r="E2090" s="185"/>
      <c r="F2090" s="185"/>
      <c r="G2090" s="185"/>
      <c r="H2090" s="260"/>
      <c r="I2090" s="192" t="s">
        <v>2671</v>
      </c>
      <c r="J2090" s="279" t="s">
        <v>1444</v>
      </c>
      <c r="K2090" s="225">
        <f>7500*20%</f>
        <v>1500</v>
      </c>
      <c r="L2090" s="184"/>
      <c r="M2090" s="190"/>
    </row>
    <row r="2091" spans="1:13" s="141" customFormat="1" ht="20.25" customHeight="1" x14ac:dyDescent="0.2">
      <c r="A2091" s="182"/>
      <c r="B2091" s="183"/>
      <c r="C2091" s="184"/>
      <c r="D2091" s="185"/>
      <c r="E2091" s="185"/>
      <c r="F2091" s="185"/>
      <c r="G2091" s="185"/>
      <c r="H2091" s="260"/>
      <c r="I2091" s="192" t="s">
        <v>2672</v>
      </c>
      <c r="J2091" s="279" t="s">
        <v>2673</v>
      </c>
      <c r="K2091" s="225">
        <f>7500*10%</f>
        <v>750</v>
      </c>
      <c r="L2091" s="184"/>
      <c r="M2091" s="190"/>
    </row>
    <row r="2092" spans="1:13" s="141" customFormat="1" x14ac:dyDescent="0.2">
      <c r="A2092" s="182"/>
      <c r="B2092" s="183"/>
      <c r="C2092" s="184"/>
      <c r="D2092" s="185"/>
      <c r="E2092" s="185"/>
      <c r="F2092" s="185"/>
      <c r="G2092" s="185"/>
      <c r="H2092" s="260"/>
      <c r="I2092" s="192" t="s">
        <v>2674</v>
      </c>
      <c r="J2092" s="279" t="s">
        <v>1436</v>
      </c>
      <c r="K2092" s="225">
        <f>7500*10%</f>
        <v>750</v>
      </c>
      <c r="L2092" s="184"/>
      <c r="M2092" s="190"/>
    </row>
    <row r="2093" spans="1:13" s="141" customFormat="1" x14ac:dyDescent="0.2">
      <c r="A2093" s="193"/>
      <c r="B2093" s="194"/>
      <c r="C2093" s="195"/>
      <c r="D2093" s="196"/>
      <c r="E2093" s="196"/>
      <c r="F2093" s="196"/>
      <c r="G2093" s="196"/>
      <c r="H2093" s="262"/>
      <c r="I2093" s="186"/>
      <c r="J2093" s="304"/>
      <c r="K2093" s="261">
        <f>SUM(K2088:K2092)</f>
        <v>7500</v>
      </c>
      <c r="L2093" s="195"/>
      <c r="M2093" s="201"/>
    </row>
    <row r="2094" spans="1:13" s="141" customFormat="1" x14ac:dyDescent="0.2">
      <c r="A2094" s="172">
        <v>488</v>
      </c>
      <c r="B2094" s="173" t="s">
        <v>2675</v>
      </c>
      <c r="C2094" s="174"/>
      <c r="D2094" s="175" t="s">
        <v>107</v>
      </c>
      <c r="E2094" s="175"/>
      <c r="F2094" s="175"/>
      <c r="G2094" s="175"/>
      <c r="H2094" s="258"/>
      <c r="I2094" s="228" t="s">
        <v>2676</v>
      </c>
      <c r="J2094" s="275" t="s">
        <v>1436</v>
      </c>
      <c r="K2094" s="276">
        <f>7500*40%</f>
        <v>3000</v>
      </c>
      <c r="L2094" s="174" t="s">
        <v>111</v>
      </c>
      <c r="M2094" s="180" t="s">
        <v>2677</v>
      </c>
    </row>
    <row r="2095" spans="1:13" s="141" customFormat="1" x14ac:dyDescent="0.2">
      <c r="A2095" s="182"/>
      <c r="B2095" s="183"/>
      <c r="C2095" s="184"/>
      <c r="D2095" s="185"/>
      <c r="E2095" s="185"/>
      <c r="F2095" s="185"/>
      <c r="G2095" s="185"/>
      <c r="H2095" s="260"/>
      <c r="I2095" s="192" t="s">
        <v>2678</v>
      </c>
      <c r="J2095" s="279" t="s">
        <v>1436</v>
      </c>
      <c r="K2095" s="225">
        <f>7500*20%</f>
        <v>1500</v>
      </c>
      <c r="L2095" s="184"/>
      <c r="M2095" s="190"/>
    </row>
    <row r="2096" spans="1:13" s="141" customFormat="1" ht="48" x14ac:dyDescent="0.2">
      <c r="A2096" s="182"/>
      <c r="B2096" s="183"/>
      <c r="C2096" s="184"/>
      <c r="D2096" s="185"/>
      <c r="E2096" s="185"/>
      <c r="F2096" s="185"/>
      <c r="G2096" s="185"/>
      <c r="H2096" s="260"/>
      <c r="I2096" s="192" t="s">
        <v>2671</v>
      </c>
      <c r="J2096" s="279" t="s">
        <v>1444</v>
      </c>
      <c r="K2096" s="225">
        <f>7500*20%</f>
        <v>1500</v>
      </c>
      <c r="L2096" s="184"/>
      <c r="M2096" s="190"/>
    </row>
    <row r="2097" spans="1:13" s="141" customFormat="1" ht="48" x14ac:dyDescent="0.2">
      <c r="A2097" s="182"/>
      <c r="B2097" s="183"/>
      <c r="C2097" s="184"/>
      <c r="D2097" s="185"/>
      <c r="E2097" s="185"/>
      <c r="F2097" s="185"/>
      <c r="G2097" s="185"/>
      <c r="H2097" s="260"/>
      <c r="I2097" s="192" t="s">
        <v>2635</v>
      </c>
      <c r="J2097" s="279" t="s">
        <v>1444</v>
      </c>
      <c r="K2097" s="225">
        <f>7500*20%</f>
        <v>1500</v>
      </c>
      <c r="L2097" s="184"/>
      <c r="M2097" s="190"/>
    </row>
    <row r="2098" spans="1:13" s="141" customFormat="1" x14ac:dyDescent="0.2">
      <c r="A2098" s="193"/>
      <c r="B2098" s="194"/>
      <c r="C2098" s="195"/>
      <c r="D2098" s="196"/>
      <c r="E2098" s="196"/>
      <c r="F2098" s="196"/>
      <c r="G2098" s="196"/>
      <c r="H2098" s="262"/>
      <c r="I2098" s="206"/>
      <c r="J2098" s="282"/>
      <c r="K2098" s="257">
        <f>SUM(K2094:K2097)</f>
        <v>7500</v>
      </c>
      <c r="L2098" s="195"/>
      <c r="M2098" s="201"/>
    </row>
    <row r="2099" spans="1:13" s="141" customFormat="1" ht="48" x14ac:dyDescent="0.2">
      <c r="A2099" s="172">
        <v>489</v>
      </c>
      <c r="B2099" s="173" t="s">
        <v>2679</v>
      </c>
      <c r="C2099" s="174"/>
      <c r="D2099" s="175" t="s">
        <v>107</v>
      </c>
      <c r="E2099" s="175"/>
      <c r="F2099" s="175"/>
      <c r="G2099" s="175"/>
      <c r="H2099" s="258" t="s">
        <v>164</v>
      </c>
      <c r="I2099" s="283" t="s">
        <v>2680</v>
      </c>
      <c r="J2099" s="284" t="s">
        <v>1444</v>
      </c>
      <c r="K2099" s="285">
        <f>8000*50%</f>
        <v>4000</v>
      </c>
      <c r="L2099" s="174" t="s">
        <v>111</v>
      </c>
      <c r="M2099" s="180" t="s">
        <v>2681</v>
      </c>
    </row>
    <row r="2100" spans="1:13" s="141" customFormat="1" ht="48" x14ac:dyDescent="0.2">
      <c r="A2100" s="182"/>
      <c r="B2100" s="183"/>
      <c r="C2100" s="184"/>
      <c r="D2100" s="185"/>
      <c r="E2100" s="185"/>
      <c r="F2100" s="185"/>
      <c r="G2100" s="185"/>
      <c r="H2100" s="260"/>
      <c r="I2100" s="192" t="s">
        <v>2682</v>
      </c>
      <c r="J2100" s="279" t="s">
        <v>1444</v>
      </c>
      <c r="K2100" s="225">
        <f>8000*50%</f>
        <v>4000</v>
      </c>
      <c r="L2100" s="184"/>
      <c r="M2100" s="190"/>
    </row>
    <row r="2101" spans="1:13" s="141" customFormat="1" x14ac:dyDescent="0.2">
      <c r="A2101" s="193"/>
      <c r="B2101" s="194"/>
      <c r="C2101" s="195"/>
      <c r="D2101" s="196"/>
      <c r="E2101" s="196"/>
      <c r="F2101" s="196"/>
      <c r="G2101" s="196"/>
      <c r="H2101" s="262"/>
      <c r="I2101" s="186"/>
      <c r="J2101" s="304"/>
      <c r="K2101" s="261">
        <f>SUM(K2099:K2100)</f>
        <v>8000</v>
      </c>
      <c r="L2101" s="195"/>
      <c r="M2101" s="201"/>
    </row>
    <row r="2102" spans="1:13" s="141" customFormat="1" x14ac:dyDescent="0.2">
      <c r="A2102" s="172">
        <v>490</v>
      </c>
      <c r="B2102" s="173" t="s">
        <v>2683</v>
      </c>
      <c r="C2102" s="174"/>
      <c r="D2102" s="175" t="s">
        <v>107</v>
      </c>
      <c r="E2102" s="175"/>
      <c r="F2102" s="175"/>
      <c r="G2102" s="175"/>
      <c r="H2102" s="258" t="s">
        <v>164</v>
      </c>
      <c r="I2102" s="228" t="s">
        <v>2684</v>
      </c>
      <c r="J2102" s="275" t="s">
        <v>1436</v>
      </c>
      <c r="K2102" s="276">
        <f>8000*60%</f>
        <v>4800</v>
      </c>
      <c r="L2102" s="174" t="s">
        <v>111</v>
      </c>
      <c r="M2102" s="180" t="s">
        <v>2685</v>
      </c>
    </row>
    <row r="2103" spans="1:13" s="141" customFormat="1" ht="48" x14ac:dyDescent="0.2">
      <c r="A2103" s="182"/>
      <c r="B2103" s="183"/>
      <c r="C2103" s="184"/>
      <c r="D2103" s="185"/>
      <c r="E2103" s="185"/>
      <c r="F2103" s="185"/>
      <c r="G2103" s="185"/>
      <c r="H2103" s="260"/>
      <c r="I2103" s="192" t="s">
        <v>2686</v>
      </c>
      <c r="J2103" s="279" t="s">
        <v>1444</v>
      </c>
      <c r="K2103" s="225">
        <f>8000*40%</f>
        <v>3200</v>
      </c>
      <c r="L2103" s="184"/>
      <c r="M2103" s="190"/>
    </row>
    <row r="2104" spans="1:13" s="141" customFormat="1" x14ac:dyDescent="0.2">
      <c r="A2104" s="193"/>
      <c r="B2104" s="194"/>
      <c r="C2104" s="195"/>
      <c r="D2104" s="196"/>
      <c r="E2104" s="196"/>
      <c r="F2104" s="196"/>
      <c r="G2104" s="196"/>
      <c r="H2104" s="262"/>
      <c r="I2104" s="206"/>
      <c r="J2104" s="282"/>
      <c r="K2104" s="257">
        <f>SUM(K2102:K2103)</f>
        <v>8000</v>
      </c>
      <c r="L2104" s="195"/>
      <c r="M2104" s="201"/>
    </row>
    <row r="2105" spans="1:13" s="141" customFormat="1" ht="22.5" customHeight="1" x14ac:dyDescent="0.2">
      <c r="A2105" s="172">
        <v>491</v>
      </c>
      <c r="B2105" s="173" t="s">
        <v>2687</v>
      </c>
      <c r="C2105" s="174"/>
      <c r="D2105" s="175" t="s">
        <v>107</v>
      </c>
      <c r="E2105" s="175"/>
      <c r="F2105" s="175"/>
      <c r="G2105" s="175"/>
      <c r="H2105" s="175"/>
      <c r="I2105" s="283" t="s">
        <v>2668</v>
      </c>
      <c r="J2105" s="284" t="s">
        <v>2688</v>
      </c>
      <c r="K2105" s="285">
        <f>8000*50%</f>
        <v>4000</v>
      </c>
      <c r="L2105" s="180" t="s">
        <v>111</v>
      </c>
      <c r="M2105" s="180" t="s">
        <v>2689</v>
      </c>
    </row>
    <row r="2106" spans="1:13" s="141" customFormat="1" ht="48" x14ac:dyDescent="0.2">
      <c r="A2106" s="182"/>
      <c r="B2106" s="183"/>
      <c r="C2106" s="184"/>
      <c r="D2106" s="185"/>
      <c r="E2106" s="185"/>
      <c r="F2106" s="185"/>
      <c r="G2106" s="185"/>
      <c r="H2106" s="185"/>
      <c r="I2106" s="192" t="s">
        <v>2682</v>
      </c>
      <c r="J2106" s="279" t="s">
        <v>1444</v>
      </c>
      <c r="K2106" s="225">
        <f>8000*50%</f>
        <v>4000</v>
      </c>
      <c r="L2106" s="190"/>
      <c r="M2106" s="190"/>
    </row>
    <row r="2107" spans="1:13" s="141" customFormat="1" x14ac:dyDescent="0.2">
      <c r="A2107" s="182"/>
      <c r="B2107" s="183"/>
      <c r="C2107" s="184"/>
      <c r="D2107" s="196"/>
      <c r="E2107" s="196"/>
      <c r="F2107" s="185"/>
      <c r="G2107" s="185"/>
      <c r="H2107" s="196"/>
      <c r="I2107" s="206"/>
      <c r="J2107" s="488"/>
      <c r="K2107" s="393">
        <f>SUM(K2105:K2106)</f>
        <v>8000</v>
      </c>
      <c r="L2107" s="201"/>
      <c r="M2107" s="190"/>
    </row>
    <row r="2108" spans="1:13" s="141" customFormat="1" ht="21" customHeight="1" x14ac:dyDescent="0.2">
      <c r="A2108" s="172">
        <v>492</v>
      </c>
      <c r="B2108" s="173" t="s">
        <v>2690</v>
      </c>
      <c r="C2108" s="174"/>
      <c r="D2108" s="263" t="s">
        <v>107</v>
      </c>
      <c r="E2108" s="175"/>
      <c r="F2108" s="175"/>
      <c r="G2108" s="175"/>
      <c r="H2108" s="175"/>
      <c r="I2108" s="283" t="s">
        <v>2691</v>
      </c>
      <c r="J2108" s="259" t="s">
        <v>2692</v>
      </c>
      <c r="K2108" s="222">
        <f>5000*5%</f>
        <v>250</v>
      </c>
      <c r="L2108" s="179" t="s">
        <v>111</v>
      </c>
      <c r="M2108" s="180" t="s">
        <v>2693</v>
      </c>
    </row>
    <row r="2109" spans="1:13" s="141" customFormat="1" x14ac:dyDescent="0.2">
      <c r="A2109" s="182"/>
      <c r="B2109" s="183"/>
      <c r="C2109" s="184"/>
      <c r="D2109" s="255"/>
      <c r="E2109" s="185"/>
      <c r="F2109" s="185"/>
      <c r="G2109" s="185"/>
      <c r="H2109" s="185"/>
      <c r="I2109" s="192" t="s">
        <v>2656</v>
      </c>
      <c r="J2109" s="187" t="s">
        <v>2022</v>
      </c>
      <c r="K2109" s="240">
        <f t="shared" ref="K2109:K2111" si="53">5000*5%</f>
        <v>250</v>
      </c>
      <c r="L2109" s="189"/>
      <c r="M2109" s="190"/>
    </row>
    <row r="2110" spans="1:13" s="141" customFormat="1" x14ac:dyDescent="0.2">
      <c r="A2110" s="182"/>
      <c r="B2110" s="183"/>
      <c r="C2110" s="184"/>
      <c r="D2110" s="255"/>
      <c r="E2110" s="185"/>
      <c r="F2110" s="185"/>
      <c r="G2110" s="185"/>
      <c r="H2110" s="185"/>
      <c r="I2110" s="192" t="s">
        <v>2657</v>
      </c>
      <c r="J2110" s="187" t="s">
        <v>2022</v>
      </c>
      <c r="K2110" s="240">
        <f t="shared" si="53"/>
        <v>250</v>
      </c>
      <c r="L2110" s="189"/>
      <c r="M2110" s="190"/>
    </row>
    <row r="2111" spans="1:13" s="141" customFormat="1" x14ac:dyDescent="0.2">
      <c r="A2111" s="182"/>
      <c r="B2111" s="183"/>
      <c r="C2111" s="184"/>
      <c r="D2111" s="255"/>
      <c r="E2111" s="185"/>
      <c r="F2111" s="185"/>
      <c r="G2111" s="185"/>
      <c r="H2111" s="185"/>
      <c r="I2111" s="192" t="s">
        <v>2658</v>
      </c>
      <c r="J2111" s="187" t="s">
        <v>2022</v>
      </c>
      <c r="K2111" s="240">
        <f t="shared" si="53"/>
        <v>250</v>
      </c>
      <c r="L2111" s="189"/>
      <c r="M2111" s="190"/>
    </row>
    <row r="2112" spans="1:13" s="141" customFormat="1" x14ac:dyDescent="0.2">
      <c r="A2112" s="182"/>
      <c r="B2112" s="183"/>
      <c r="C2112" s="184"/>
      <c r="D2112" s="255"/>
      <c r="E2112" s="185"/>
      <c r="F2112" s="185"/>
      <c r="G2112" s="185"/>
      <c r="H2112" s="185"/>
      <c r="I2112" s="192" t="s">
        <v>2694</v>
      </c>
      <c r="J2112" s="187" t="s">
        <v>2022</v>
      </c>
      <c r="K2112" s="240">
        <f>5000*80%</f>
        <v>4000</v>
      </c>
      <c r="L2112" s="189"/>
      <c r="M2112" s="190"/>
    </row>
    <row r="2113" spans="1:13" s="141" customFormat="1" x14ac:dyDescent="0.2">
      <c r="A2113" s="193"/>
      <c r="B2113" s="194"/>
      <c r="C2113" s="195"/>
      <c r="D2113" s="256"/>
      <c r="E2113" s="196"/>
      <c r="F2113" s="196"/>
      <c r="G2113" s="196"/>
      <c r="H2113" s="196"/>
      <c r="I2113" s="206"/>
      <c r="J2113" s="198"/>
      <c r="K2113" s="227">
        <f>SUM(K2108:K2112)</f>
        <v>5000</v>
      </c>
      <c r="L2113" s="200"/>
      <c r="M2113" s="201"/>
    </row>
    <row r="2114" spans="1:13" s="141" customFormat="1" ht="21" customHeight="1" x14ac:dyDescent="0.2">
      <c r="A2114" s="172">
        <v>493</v>
      </c>
      <c r="B2114" s="173" t="s">
        <v>2695</v>
      </c>
      <c r="C2114" s="174"/>
      <c r="D2114" s="263" t="s">
        <v>107</v>
      </c>
      <c r="E2114" s="175"/>
      <c r="F2114" s="175"/>
      <c r="G2114" s="175"/>
      <c r="H2114" s="175"/>
      <c r="I2114" s="283" t="s">
        <v>2696</v>
      </c>
      <c r="J2114" s="259" t="s">
        <v>2692</v>
      </c>
      <c r="K2114" s="209">
        <f>5000*80%</f>
        <v>4000</v>
      </c>
      <c r="L2114" s="179" t="s">
        <v>111</v>
      </c>
      <c r="M2114" s="180" t="s">
        <v>2697</v>
      </c>
    </row>
    <row r="2115" spans="1:13" s="141" customFormat="1" x14ac:dyDescent="0.2">
      <c r="A2115" s="182"/>
      <c r="B2115" s="183"/>
      <c r="C2115" s="184"/>
      <c r="D2115" s="255"/>
      <c r="E2115" s="185"/>
      <c r="F2115" s="185"/>
      <c r="G2115" s="185"/>
      <c r="H2115" s="185"/>
      <c r="I2115" s="192" t="s">
        <v>2021</v>
      </c>
      <c r="J2115" s="187" t="s">
        <v>2022</v>
      </c>
      <c r="K2115" s="213">
        <f>5000*5%</f>
        <v>250</v>
      </c>
      <c r="L2115" s="189"/>
      <c r="M2115" s="190"/>
    </row>
    <row r="2116" spans="1:13" s="141" customFormat="1" x14ac:dyDescent="0.2">
      <c r="A2116" s="182"/>
      <c r="B2116" s="183"/>
      <c r="C2116" s="184"/>
      <c r="D2116" s="255"/>
      <c r="E2116" s="185"/>
      <c r="F2116" s="185"/>
      <c r="G2116" s="185"/>
      <c r="H2116" s="185"/>
      <c r="I2116" s="192" t="s">
        <v>2658</v>
      </c>
      <c r="J2116" s="187" t="s">
        <v>2022</v>
      </c>
      <c r="K2116" s="213">
        <f t="shared" ref="K2116:K2118" si="54">5000*5%</f>
        <v>250</v>
      </c>
      <c r="L2116" s="189"/>
      <c r="M2116" s="190"/>
    </row>
    <row r="2117" spans="1:13" s="141" customFormat="1" x14ac:dyDescent="0.2">
      <c r="A2117" s="182"/>
      <c r="B2117" s="183"/>
      <c r="C2117" s="184"/>
      <c r="D2117" s="255"/>
      <c r="E2117" s="185"/>
      <c r="F2117" s="185"/>
      <c r="G2117" s="185"/>
      <c r="H2117" s="185"/>
      <c r="I2117" s="192" t="s">
        <v>2698</v>
      </c>
      <c r="J2117" s="187" t="s">
        <v>2022</v>
      </c>
      <c r="K2117" s="213">
        <f t="shared" si="54"/>
        <v>250</v>
      </c>
      <c r="L2117" s="189"/>
      <c r="M2117" s="190"/>
    </row>
    <row r="2118" spans="1:13" s="141" customFormat="1" x14ac:dyDescent="0.2">
      <c r="A2118" s="182"/>
      <c r="B2118" s="183"/>
      <c r="C2118" s="184"/>
      <c r="D2118" s="255"/>
      <c r="E2118" s="185"/>
      <c r="F2118" s="185"/>
      <c r="G2118" s="185"/>
      <c r="H2118" s="185"/>
      <c r="I2118" s="192" t="s">
        <v>2656</v>
      </c>
      <c r="J2118" s="187" t="s">
        <v>2022</v>
      </c>
      <c r="K2118" s="213">
        <f t="shared" si="54"/>
        <v>250</v>
      </c>
      <c r="L2118" s="189"/>
      <c r="M2118" s="190"/>
    </row>
    <row r="2119" spans="1:13" s="141" customFormat="1" x14ac:dyDescent="0.2">
      <c r="A2119" s="193"/>
      <c r="B2119" s="194"/>
      <c r="C2119" s="195"/>
      <c r="D2119" s="256"/>
      <c r="E2119" s="196"/>
      <c r="F2119" s="196"/>
      <c r="G2119" s="196"/>
      <c r="H2119" s="196"/>
      <c r="I2119" s="206"/>
      <c r="J2119" s="198"/>
      <c r="K2119" s="218">
        <f>SUM(K2114:K2118)</f>
        <v>5000</v>
      </c>
      <c r="L2119" s="200"/>
      <c r="M2119" s="201"/>
    </row>
    <row r="2120" spans="1:13" s="141" customFormat="1" ht="21" customHeight="1" x14ac:dyDescent="0.2">
      <c r="A2120" s="172">
        <v>494</v>
      </c>
      <c r="B2120" s="173" t="s">
        <v>2699</v>
      </c>
      <c r="C2120" s="174"/>
      <c r="D2120" s="263" t="s">
        <v>107</v>
      </c>
      <c r="E2120" s="175"/>
      <c r="F2120" s="175"/>
      <c r="G2120" s="175"/>
      <c r="H2120" s="175"/>
      <c r="I2120" s="283" t="s">
        <v>2700</v>
      </c>
      <c r="J2120" s="259" t="s">
        <v>2692</v>
      </c>
      <c r="K2120" s="209">
        <f>5000*5%</f>
        <v>250</v>
      </c>
      <c r="L2120" s="179" t="s">
        <v>111</v>
      </c>
      <c r="M2120" s="180" t="s">
        <v>2701</v>
      </c>
    </row>
    <row r="2121" spans="1:13" s="141" customFormat="1" x14ac:dyDescent="0.2">
      <c r="A2121" s="182"/>
      <c r="B2121" s="183"/>
      <c r="C2121" s="184"/>
      <c r="D2121" s="255"/>
      <c r="E2121" s="185"/>
      <c r="F2121" s="185"/>
      <c r="G2121" s="185"/>
      <c r="H2121" s="185"/>
      <c r="I2121" s="192" t="s">
        <v>2657</v>
      </c>
      <c r="J2121" s="187" t="s">
        <v>2022</v>
      </c>
      <c r="K2121" s="213">
        <f t="shared" ref="K2121:K2124" si="55">5000*5%</f>
        <v>250</v>
      </c>
      <c r="L2121" s="189"/>
      <c r="M2121" s="190"/>
    </row>
    <row r="2122" spans="1:13" s="141" customFormat="1" x14ac:dyDescent="0.2">
      <c r="A2122" s="182"/>
      <c r="B2122" s="183"/>
      <c r="C2122" s="184"/>
      <c r="D2122" s="255"/>
      <c r="E2122" s="185"/>
      <c r="F2122" s="185"/>
      <c r="G2122" s="185"/>
      <c r="H2122" s="185"/>
      <c r="I2122" s="192" t="s">
        <v>2702</v>
      </c>
      <c r="J2122" s="187" t="s">
        <v>2022</v>
      </c>
      <c r="K2122" s="213">
        <f>5000*80%</f>
        <v>4000</v>
      </c>
      <c r="L2122" s="189"/>
      <c r="M2122" s="190"/>
    </row>
    <row r="2123" spans="1:13" s="141" customFormat="1" x14ac:dyDescent="0.2">
      <c r="A2123" s="182"/>
      <c r="B2123" s="183"/>
      <c r="C2123" s="184"/>
      <c r="D2123" s="255"/>
      <c r="E2123" s="185"/>
      <c r="F2123" s="185"/>
      <c r="G2123" s="185"/>
      <c r="H2123" s="185"/>
      <c r="I2123" s="192" t="s">
        <v>2698</v>
      </c>
      <c r="J2123" s="187" t="s">
        <v>2022</v>
      </c>
      <c r="K2123" s="213">
        <f t="shared" si="55"/>
        <v>250</v>
      </c>
      <c r="L2123" s="189"/>
      <c r="M2123" s="190"/>
    </row>
    <row r="2124" spans="1:13" s="141" customFormat="1" x14ac:dyDescent="0.2">
      <c r="A2124" s="182"/>
      <c r="B2124" s="183"/>
      <c r="C2124" s="184"/>
      <c r="D2124" s="255"/>
      <c r="E2124" s="185"/>
      <c r="F2124" s="185"/>
      <c r="G2124" s="185"/>
      <c r="H2124" s="185"/>
      <c r="I2124" s="192" t="s">
        <v>2021</v>
      </c>
      <c r="J2124" s="187" t="s">
        <v>2022</v>
      </c>
      <c r="K2124" s="213">
        <f t="shared" si="55"/>
        <v>250</v>
      </c>
      <c r="L2124" s="189"/>
      <c r="M2124" s="190"/>
    </row>
    <row r="2125" spans="1:13" s="141" customFormat="1" x14ac:dyDescent="0.2">
      <c r="A2125" s="193"/>
      <c r="B2125" s="194"/>
      <c r="C2125" s="195"/>
      <c r="D2125" s="256"/>
      <c r="E2125" s="196"/>
      <c r="F2125" s="196"/>
      <c r="G2125" s="196"/>
      <c r="H2125" s="196"/>
      <c r="I2125" s="206"/>
      <c r="J2125" s="198"/>
      <c r="K2125" s="218">
        <f>SUM(K2120:K2124)</f>
        <v>5000</v>
      </c>
      <c r="L2125" s="200"/>
      <c r="M2125" s="201"/>
    </row>
    <row r="2126" spans="1:13" s="141" customFormat="1" ht="21" customHeight="1" x14ac:dyDescent="0.2">
      <c r="A2126" s="172">
        <v>495</v>
      </c>
      <c r="B2126" s="173" t="s">
        <v>2703</v>
      </c>
      <c r="C2126" s="174"/>
      <c r="D2126" s="263" t="s">
        <v>107</v>
      </c>
      <c r="E2126" s="175"/>
      <c r="F2126" s="175"/>
      <c r="G2126" s="175"/>
      <c r="H2126" s="175"/>
      <c r="I2126" s="283" t="s">
        <v>2704</v>
      </c>
      <c r="J2126" s="259" t="s">
        <v>2705</v>
      </c>
      <c r="K2126" s="209">
        <f>5700*80%</f>
        <v>4560</v>
      </c>
      <c r="L2126" s="179" t="s">
        <v>111</v>
      </c>
      <c r="M2126" s="180" t="s">
        <v>2706</v>
      </c>
    </row>
    <row r="2127" spans="1:13" s="141" customFormat="1" x14ac:dyDescent="0.2">
      <c r="A2127" s="182"/>
      <c r="B2127" s="183"/>
      <c r="C2127" s="184"/>
      <c r="D2127" s="255"/>
      <c r="E2127" s="185"/>
      <c r="F2127" s="185"/>
      <c r="G2127" s="185"/>
      <c r="H2127" s="185"/>
      <c r="I2127" s="192" t="s">
        <v>2707</v>
      </c>
      <c r="J2127" s="187" t="s">
        <v>2647</v>
      </c>
      <c r="K2127" s="213">
        <f>5700*5%</f>
        <v>285</v>
      </c>
      <c r="L2127" s="189"/>
      <c r="M2127" s="190"/>
    </row>
    <row r="2128" spans="1:13" s="141" customFormat="1" x14ac:dyDescent="0.2">
      <c r="A2128" s="182"/>
      <c r="B2128" s="183"/>
      <c r="C2128" s="184"/>
      <c r="D2128" s="255"/>
      <c r="E2128" s="185"/>
      <c r="F2128" s="185"/>
      <c r="G2128" s="185"/>
      <c r="H2128" s="185"/>
      <c r="I2128" s="192" t="s">
        <v>2708</v>
      </c>
      <c r="J2128" s="187" t="s">
        <v>2647</v>
      </c>
      <c r="K2128" s="213">
        <f t="shared" ref="K2128:K2130" si="56">5700*5%</f>
        <v>285</v>
      </c>
      <c r="L2128" s="189"/>
      <c r="M2128" s="190"/>
    </row>
    <row r="2129" spans="1:13" s="141" customFormat="1" x14ac:dyDescent="0.2">
      <c r="A2129" s="182"/>
      <c r="B2129" s="183"/>
      <c r="C2129" s="184"/>
      <c r="D2129" s="255"/>
      <c r="E2129" s="185"/>
      <c r="F2129" s="185"/>
      <c r="G2129" s="185"/>
      <c r="H2129" s="185"/>
      <c r="I2129" s="192" t="s">
        <v>2709</v>
      </c>
      <c r="J2129" s="187" t="s">
        <v>2647</v>
      </c>
      <c r="K2129" s="213">
        <f t="shared" si="56"/>
        <v>285</v>
      </c>
      <c r="L2129" s="189"/>
      <c r="M2129" s="190"/>
    </row>
    <row r="2130" spans="1:13" s="141" customFormat="1" x14ac:dyDescent="0.2">
      <c r="A2130" s="182"/>
      <c r="B2130" s="183"/>
      <c r="C2130" s="184"/>
      <c r="D2130" s="255"/>
      <c r="E2130" s="185"/>
      <c r="F2130" s="185"/>
      <c r="G2130" s="185"/>
      <c r="H2130" s="185"/>
      <c r="I2130" s="192" t="s">
        <v>2710</v>
      </c>
      <c r="J2130" s="187" t="s">
        <v>2647</v>
      </c>
      <c r="K2130" s="213">
        <f t="shared" si="56"/>
        <v>285</v>
      </c>
      <c r="L2130" s="189"/>
      <c r="M2130" s="190"/>
    </row>
    <row r="2131" spans="1:13" s="141" customFormat="1" x14ac:dyDescent="0.2">
      <c r="A2131" s="193"/>
      <c r="B2131" s="194"/>
      <c r="C2131" s="195"/>
      <c r="D2131" s="256"/>
      <c r="E2131" s="196"/>
      <c r="F2131" s="196"/>
      <c r="G2131" s="196"/>
      <c r="H2131" s="196"/>
      <c r="I2131" s="206"/>
      <c r="J2131" s="198"/>
      <c r="K2131" s="218">
        <f>SUM(K2126:K2130)</f>
        <v>5700</v>
      </c>
      <c r="L2131" s="200"/>
      <c r="M2131" s="201"/>
    </row>
    <row r="2132" spans="1:13" s="141" customFormat="1" ht="21" customHeight="1" x14ac:dyDescent="0.2">
      <c r="A2132" s="172">
        <v>496</v>
      </c>
      <c r="B2132" s="173" t="s">
        <v>2711</v>
      </c>
      <c r="C2132" s="174"/>
      <c r="D2132" s="263" t="s">
        <v>107</v>
      </c>
      <c r="E2132" s="175"/>
      <c r="F2132" s="175"/>
      <c r="G2132" s="175"/>
      <c r="H2132" s="175"/>
      <c r="I2132" s="283" t="s">
        <v>2712</v>
      </c>
      <c r="J2132" s="259" t="s">
        <v>2705</v>
      </c>
      <c r="K2132" s="209">
        <f>2900*80%</f>
        <v>2320</v>
      </c>
      <c r="L2132" s="179" t="s">
        <v>111</v>
      </c>
      <c r="M2132" s="180" t="s">
        <v>2713</v>
      </c>
    </row>
    <row r="2133" spans="1:13" s="141" customFormat="1" x14ac:dyDescent="0.2">
      <c r="A2133" s="182"/>
      <c r="B2133" s="183"/>
      <c r="C2133" s="184"/>
      <c r="D2133" s="255"/>
      <c r="E2133" s="185"/>
      <c r="F2133" s="185"/>
      <c r="G2133" s="185"/>
      <c r="H2133" s="185"/>
      <c r="I2133" s="192" t="s">
        <v>2652</v>
      </c>
      <c r="J2133" s="187" t="s">
        <v>2647</v>
      </c>
      <c r="K2133" s="213">
        <f>2900*5%</f>
        <v>145</v>
      </c>
      <c r="L2133" s="189"/>
      <c r="M2133" s="190"/>
    </row>
    <row r="2134" spans="1:13" s="141" customFormat="1" x14ac:dyDescent="0.2">
      <c r="A2134" s="182"/>
      <c r="B2134" s="183"/>
      <c r="C2134" s="184"/>
      <c r="D2134" s="255"/>
      <c r="E2134" s="185"/>
      <c r="F2134" s="185"/>
      <c r="G2134" s="185"/>
      <c r="H2134" s="185"/>
      <c r="I2134" s="192" t="s">
        <v>2649</v>
      </c>
      <c r="J2134" s="187" t="s">
        <v>2647</v>
      </c>
      <c r="K2134" s="213">
        <f t="shared" ref="K2134:K2136" si="57">2900*5%</f>
        <v>145</v>
      </c>
      <c r="L2134" s="189"/>
      <c r="M2134" s="190"/>
    </row>
    <row r="2135" spans="1:13" s="141" customFormat="1" x14ac:dyDescent="0.2">
      <c r="A2135" s="182"/>
      <c r="B2135" s="183"/>
      <c r="C2135" s="184"/>
      <c r="D2135" s="255"/>
      <c r="E2135" s="185"/>
      <c r="F2135" s="185"/>
      <c r="G2135" s="185"/>
      <c r="H2135" s="185"/>
      <c r="I2135" s="192" t="s">
        <v>2650</v>
      </c>
      <c r="J2135" s="187" t="s">
        <v>2647</v>
      </c>
      <c r="K2135" s="213">
        <f t="shared" si="57"/>
        <v>145</v>
      </c>
      <c r="L2135" s="189"/>
      <c r="M2135" s="190"/>
    </row>
    <row r="2136" spans="1:13" s="141" customFormat="1" x14ac:dyDescent="0.2">
      <c r="A2136" s="182"/>
      <c r="B2136" s="183"/>
      <c r="C2136" s="184"/>
      <c r="D2136" s="255"/>
      <c r="E2136" s="185"/>
      <c r="F2136" s="185"/>
      <c r="G2136" s="185"/>
      <c r="H2136" s="185"/>
      <c r="I2136" s="192" t="s">
        <v>2651</v>
      </c>
      <c r="J2136" s="187" t="s">
        <v>2647</v>
      </c>
      <c r="K2136" s="213">
        <f t="shared" si="57"/>
        <v>145</v>
      </c>
      <c r="L2136" s="189"/>
      <c r="M2136" s="190"/>
    </row>
    <row r="2137" spans="1:13" s="141" customFormat="1" x14ac:dyDescent="0.2">
      <c r="A2137" s="193"/>
      <c r="B2137" s="194"/>
      <c r="C2137" s="195"/>
      <c r="D2137" s="256"/>
      <c r="E2137" s="196"/>
      <c r="F2137" s="196"/>
      <c r="G2137" s="196"/>
      <c r="H2137" s="196"/>
      <c r="I2137" s="206"/>
      <c r="J2137" s="198"/>
      <c r="K2137" s="218">
        <f>SUM(K2132:K2136)</f>
        <v>2900</v>
      </c>
      <c r="L2137" s="200"/>
      <c r="M2137" s="201"/>
    </row>
    <row r="2138" spans="1:13" s="141" customFormat="1" ht="21" customHeight="1" x14ac:dyDescent="0.2">
      <c r="A2138" s="172">
        <v>497</v>
      </c>
      <c r="B2138" s="173" t="s">
        <v>2714</v>
      </c>
      <c r="C2138" s="174"/>
      <c r="D2138" s="263" t="s">
        <v>107</v>
      </c>
      <c r="E2138" s="175"/>
      <c r="F2138" s="175"/>
      <c r="G2138" s="175"/>
      <c r="H2138" s="175"/>
      <c r="I2138" s="283" t="s">
        <v>2715</v>
      </c>
      <c r="J2138" s="259" t="s">
        <v>2705</v>
      </c>
      <c r="K2138" s="209">
        <f>5700*80%</f>
        <v>4560</v>
      </c>
      <c r="L2138" s="179" t="s">
        <v>111</v>
      </c>
      <c r="M2138" s="180" t="s">
        <v>2716</v>
      </c>
    </row>
    <row r="2139" spans="1:13" s="141" customFormat="1" x14ac:dyDescent="0.2">
      <c r="A2139" s="182"/>
      <c r="B2139" s="183"/>
      <c r="C2139" s="184"/>
      <c r="D2139" s="255"/>
      <c r="E2139" s="185"/>
      <c r="F2139" s="185"/>
      <c r="G2139" s="185"/>
      <c r="H2139" s="185"/>
      <c r="I2139" s="192" t="s">
        <v>2650</v>
      </c>
      <c r="J2139" s="187" t="s">
        <v>2647</v>
      </c>
      <c r="K2139" s="213">
        <f>5700*5%</f>
        <v>285</v>
      </c>
      <c r="L2139" s="189"/>
      <c r="M2139" s="190"/>
    </row>
    <row r="2140" spans="1:13" s="141" customFormat="1" x14ac:dyDescent="0.2">
      <c r="A2140" s="182"/>
      <c r="B2140" s="183"/>
      <c r="C2140" s="184"/>
      <c r="D2140" s="255"/>
      <c r="E2140" s="185"/>
      <c r="F2140" s="185"/>
      <c r="G2140" s="185"/>
      <c r="H2140" s="185"/>
      <c r="I2140" s="192" t="s">
        <v>2649</v>
      </c>
      <c r="J2140" s="187" t="s">
        <v>2647</v>
      </c>
      <c r="K2140" s="213">
        <f t="shared" ref="K2140:K2142" si="58">5700*5%</f>
        <v>285</v>
      </c>
      <c r="L2140" s="189"/>
      <c r="M2140" s="190"/>
    </row>
    <row r="2141" spans="1:13" s="141" customFormat="1" x14ac:dyDescent="0.2">
      <c r="A2141" s="182"/>
      <c r="B2141" s="183"/>
      <c r="C2141" s="184"/>
      <c r="D2141" s="255"/>
      <c r="E2141" s="185"/>
      <c r="F2141" s="185"/>
      <c r="G2141" s="185"/>
      <c r="H2141" s="185"/>
      <c r="I2141" s="192" t="s">
        <v>2717</v>
      </c>
      <c r="J2141" s="187" t="s">
        <v>2647</v>
      </c>
      <c r="K2141" s="213">
        <f t="shared" si="58"/>
        <v>285</v>
      </c>
      <c r="L2141" s="189"/>
      <c r="M2141" s="190"/>
    </row>
    <row r="2142" spans="1:13" s="141" customFormat="1" x14ac:dyDescent="0.2">
      <c r="A2142" s="182"/>
      <c r="B2142" s="183"/>
      <c r="C2142" s="184"/>
      <c r="D2142" s="255"/>
      <c r="E2142" s="185"/>
      <c r="F2142" s="185"/>
      <c r="G2142" s="185"/>
      <c r="H2142" s="185"/>
      <c r="I2142" s="192" t="s">
        <v>2652</v>
      </c>
      <c r="J2142" s="187" t="s">
        <v>2647</v>
      </c>
      <c r="K2142" s="213">
        <f t="shared" si="58"/>
        <v>285</v>
      </c>
      <c r="L2142" s="189"/>
      <c r="M2142" s="190"/>
    </row>
    <row r="2143" spans="1:13" s="141" customFormat="1" x14ac:dyDescent="0.2">
      <c r="A2143" s="193"/>
      <c r="B2143" s="194"/>
      <c r="C2143" s="195"/>
      <c r="D2143" s="256"/>
      <c r="E2143" s="196"/>
      <c r="F2143" s="196"/>
      <c r="G2143" s="196"/>
      <c r="H2143" s="196"/>
      <c r="I2143" s="206"/>
      <c r="J2143" s="198"/>
      <c r="K2143" s="218">
        <f>SUM(K2138:K2142)</f>
        <v>5700</v>
      </c>
      <c r="L2143" s="200"/>
      <c r="M2143" s="201"/>
    </row>
    <row r="2144" spans="1:13" s="141" customFormat="1" ht="21" customHeight="1" x14ac:dyDescent="0.2">
      <c r="A2144" s="172">
        <v>498</v>
      </c>
      <c r="B2144" s="173" t="s">
        <v>2718</v>
      </c>
      <c r="C2144" s="174"/>
      <c r="D2144" s="263" t="s">
        <v>107</v>
      </c>
      <c r="E2144" s="175"/>
      <c r="F2144" s="175"/>
      <c r="G2144" s="175"/>
      <c r="H2144" s="175"/>
      <c r="I2144" s="283" t="s">
        <v>2719</v>
      </c>
      <c r="J2144" s="259" t="s">
        <v>2705</v>
      </c>
      <c r="K2144" s="209">
        <f>5700*80%</f>
        <v>4560</v>
      </c>
      <c r="L2144" s="179" t="s">
        <v>111</v>
      </c>
      <c r="M2144" s="180" t="s">
        <v>2720</v>
      </c>
    </row>
    <row r="2145" spans="1:13" s="141" customFormat="1" x14ac:dyDescent="0.2">
      <c r="A2145" s="182"/>
      <c r="B2145" s="183"/>
      <c r="C2145" s="184"/>
      <c r="D2145" s="255"/>
      <c r="E2145" s="185"/>
      <c r="F2145" s="185"/>
      <c r="G2145" s="185"/>
      <c r="H2145" s="185"/>
      <c r="I2145" s="192" t="s">
        <v>2649</v>
      </c>
      <c r="J2145" s="187" t="s">
        <v>2647</v>
      </c>
      <c r="K2145" s="213">
        <f>5700*5%</f>
        <v>285</v>
      </c>
      <c r="L2145" s="189"/>
      <c r="M2145" s="190"/>
    </row>
    <row r="2146" spans="1:13" s="141" customFormat="1" x14ac:dyDescent="0.2">
      <c r="A2146" s="182"/>
      <c r="B2146" s="183"/>
      <c r="C2146" s="184"/>
      <c r="D2146" s="255"/>
      <c r="E2146" s="185"/>
      <c r="F2146" s="185"/>
      <c r="G2146" s="185"/>
      <c r="H2146" s="185"/>
      <c r="I2146" s="192" t="s">
        <v>2717</v>
      </c>
      <c r="J2146" s="187" t="s">
        <v>2647</v>
      </c>
      <c r="K2146" s="213">
        <f t="shared" ref="K2146:K2148" si="59">5700*5%</f>
        <v>285</v>
      </c>
      <c r="L2146" s="189"/>
      <c r="M2146" s="190"/>
    </row>
    <row r="2147" spans="1:13" s="141" customFormat="1" x14ac:dyDescent="0.2">
      <c r="A2147" s="182"/>
      <c r="B2147" s="183"/>
      <c r="C2147" s="184"/>
      <c r="D2147" s="255"/>
      <c r="E2147" s="185"/>
      <c r="F2147" s="185"/>
      <c r="G2147" s="185"/>
      <c r="H2147" s="185"/>
      <c r="I2147" s="192" t="s">
        <v>2651</v>
      </c>
      <c r="J2147" s="187" t="s">
        <v>2647</v>
      </c>
      <c r="K2147" s="213">
        <f t="shared" si="59"/>
        <v>285</v>
      </c>
      <c r="L2147" s="189"/>
      <c r="M2147" s="190"/>
    </row>
    <row r="2148" spans="1:13" s="141" customFormat="1" x14ac:dyDescent="0.2">
      <c r="A2148" s="182"/>
      <c r="B2148" s="183"/>
      <c r="C2148" s="184"/>
      <c r="D2148" s="255"/>
      <c r="E2148" s="185"/>
      <c r="F2148" s="185"/>
      <c r="G2148" s="185"/>
      <c r="H2148" s="185"/>
      <c r="I2148" s="192" t="s">
        <v>2652</v>
      </c>
      <c r="J2148" s="187" t="s">
        <v>2647</v>
      </c>
      <c r="K2148" s="213">
        <f t="shared" si="59"/>
        <v>285</v>
      </c>
      <c r="L2148" s="189"/>
      <c r="M2148" s="190"/>
    </row>
    <row r="2149" spans="1:13" s="141" customFormat="1" x14ac:dyDescent="0.2">
      <c r="A2149" s="193"/>
      <c r="B2149" s="194"/>
      <c r="C2149" s="195"/>
      <c r="D2149" s="256"/>
      <c r="E2149" s="196"/>
      <c r="F2149" s="196"/>
      <c r="G2149" s="196"/>
      <c r="H2149" s="196"/>
      <c r="I2149" s="206"/>
      <c r="J2149" s="198"/>
      <c r="K2149" s="218">
        <f>SUM(K2144:K2148)</f>
        <v>5700</v>
      </c>
      <c r="L2149" s="200"/>
      <c r="M2149" s="201"/>
    </row>
    <row r="2150" spans="1:13" s="141" customFormat="1" ht="21" customHeight="1" x14ac:dyDescent="0.2">
      <c r="A2150" s="172">
        <v>499</v>
      </c>
      <c r="B2150" s="173" t="s">
        <v>2721</v>
      </c>
      <c r="C2150" s="174"/>
      <c r="D2150" s="263" t="s">
        <v>107</v>
      </c>
      <c r="E2150" s="175"/>
      <c r="F2150" s="175"/>
      <c r="G2150" s="175"/>
      <c r="H2150" s="175"/>
      <c r="I2150" s="283" t="s">
        <v>2722</v>
      </c>
      <c r="J2150" s="259" t="s">
        <v>2692</v>
      </c>
      <c r="K2150" s="209">
        <f>5000*65%</f>
        <v>3250</v>
      </c>
      <c r="L2150" s="179" t="s">
        <v>111</v>
      </c>
      <c r="M2150" s="180" t="s">
        <v>2723</v>
      </c>
    </row>
    <row r="2151" spans="1:13" s="141" customFormat="1" x14ac:dyDescent="0.2">
      <c r="A2151" s="182"/>
      <c r="B2151" s="183"/>
      <c r="C2151" s="184"/>
      <c r="D2151" s="255"/>
      <c r="E2151" s="185"/>
      <c r="F2151" s="185"/>
      <c r="G2151" s="185"/>
      <c r="H2151" s="185"/>
      <c r="I2151" s="192" t="s">
        <v>2662</v>
      </c>
      <c r="J2151" s="187" t="s">
        <v>2022</v>
      </c>
      <c r="K2151" s="213">
        <f>5000*20%</f>
        <v>1000</v>
      </c>
      <c r="L2151" s="189"/>
      <c r="M2151" s="190"/>
    </row>
    <row r="2152" spans="1:13" s="141" customFormat="1" x14ac:dyDescent="0.2">
      <c r="A2152" s="182"/>
      <c r="B2152" s="183"/>
      <c r="C2152" s="184"/>
      <c r="D2152" s="255"/>
      <c r="E2152" s="185"/>
      <c r="F2152" s="185"/>
      <c r="G2152" s="185"/>
      <c r="H2152" s="185"/>
      <c r="I2152" s="192" t="s">
        <v>2657</v>
      </c>
      <c r="J2152" s="187" t="s">
        <v>2022</v>
      </c>
      <c r="K2152" s="213">
        <f>5000*5%</f>
        <v>250</v>
      </c>
      <c r="L2152" s="189"/>
      <c r="M2152" s="190"/>
    </row>
    <row r="2153" spans="1:13" s="141" customFormat="1" x14ac:dyDescent="0.2">
      <c r="A2153" s="182"/>
      <c r="B2153" s="183"/>
      <c r="C2153" s="184"/>
      <c r="D2153" s="255"/>
      <c r="E2153" s="185"/>
      <c r="F2153" s="185"/>
      <c r="G2153" s="185"/>
      <c r="H2153" s="185"/>
      <c r="I2153" s="192" t="s">
        <v>2656</v>
      </c>
      <c r="J2153" s="187" t="s">
        <v>2022</v>
      </c>
      <c r="K2153" s="213">
        <f t="shared" ref="K2153:K2154" si="60">5000*5%</f>
        <v>250</v>
      </c>
      <c r="L2153" s="189"/>
      <c r="M2153" s="190"/>
    </row>
    <row r="2154" spans="1:13" s="141" customFormat="1" x14ac:dyDescent="0.2">
      <c r="A2154" s="182"/>
      <c r="B2154" s="183"/>
      <c r="C2154" s="184"/>
      <c r="D2154" s="255"/>
      <c r="E2154" s="185"/>
      <c r="F2154" s="185"/>
      <c r="G2154" s="185"/>
      <c r="H2154" s="185"/>
      <c r="I2154" s="192" t="s">
        <v>2658</v>
      </c>
      <c r="J2154" s="187" t="s">
        <v>2022</v>
      </c>
      <c r="K2154" s="213">
        <f t="shared" si="60"/>
        <v>250</v>
      </c>
      <c r="L2154" s="189"/>
      <c r="M2154" s="190"/>
    </row>
    <row r="2155" spans="1:13" s="141" customFormat="1" x14ac:dyDescent="0.2">
      <c r="A2155" s="193"/>
      <c r="B2155" s="194"/>
      <c r="C2155" s="195"/>
      <c r="D2155" s="256"/>
      <c r="E2155" s="196"/>
      <c r="F2155" s="196"/>
      <c r="G2155" s="196"/>
      <c r="H2155" s="196"/>
      <c r="I2155" s="206"/>
      <c r="J2155" s="198"/>
      <c r="K2155" s="218">
        <f>SUM(K2150:K2154)</f>
        <v>5000</v>
      </c>
      <c r="L2155" s="200"/>
      <c r="M2155" s="201"/>
    </row>
    <row r="2156" spans="1:13" s="141" customFormat="1" ht="65.25" customHeight="1" x14ac:dyDescent="0.2">
      <c r="A2156" s="242">
        <v>500</v>
      </c>
      <c r="B2156" s="266" t="s">
        <v>2724</v>
      </c>
      <c r="C2156" s="267" t="s">
        <v>2724</v>
      </c>
      <c r="D2156" s="268" t="s">
        <v>107</v>
      </c>
      <c r="E2156" s="269"/>
      <c r="F2156" s="269"/>
      <c r="G2156" s="269"/>
      <c r="H2156" s="270"/>
      <c r="I2156" s="197" t="s">
        <v>2725</v>
      </c>
      <c r="J2156" s="226" t="s">
        <v>2726</v>
      </c>
      <c r="K2156" s="271">
        <v>18000</v>
      </c>
      <c r="L2156" s="272" t="s">
        <v>111</v>
      </c>
      <c r="M2156" s="226" t="s">
        <v>2727</v>
      </c>
    </row>
    <row r="2157" spans="1:13" s="141" customFormat="1" ht="90" customHeight="1" x14ac:dyDescent="0.2">
      <c r="A2157" s="242">
        <v>501</v>
      </c>
      <c r="B2157" s="266" t="s">
        <v>2728</v>
      </c>
      <c r="C2157" s="267" t="s">
        <v>2728</v>
      </c>
      <c r="D2157" s="268" t="s">
        <v>107</v>
      </c>
      <c r="E2157" s="269"/>
      <c r="F2157" s="269"/>
      <c r="G2157" s="269" t="s">
        <v>2729</v>
      </c>
      <c r="H2157" s="270"/>
      <c r="I2157" s="197" t="s">
        <v>2730</v>
      </c>
      <c r="J2157" s="226" t="s">
        <v>1444</v>
      </c>
      <c r="K2157" s="271">
        <v>18000</v>
      </c>
      <c r="L2157" s="272" t="s">
        <v>111</v>
      </c>
      <c r="M2157" s="226" t="s">
        <v>2731</v>
      </c>
    </row>
    <row r="2158" spans="1:13" s="141" customFormat="1" ht="69.75" customHeight="1" x14ac:dyDescent="0.2">
      <c r="A2158" s="242">
        <v>502</v>
      </c>
      <c r="B2158" s="266" t="s">
        <v>2732</v>
      </c>
      <c r="C2158" s="267" t="s">
        <v>2732</v>
      </c>
      <c r="D2158" s="268" t="s">
        <v>107</v>
      </c>
      <c r="E2158" s="269"/>
      <c r="F2158" s="269"/>
      <c r="G2158" s="269"/>
      <c r="H2158" s="270"/>
      <c r="I2158" s="197" t="s">
        <v>2733</v>
      </c>
      <c r="J2158" s="226" t="s">
        <v>2734</v>
      </c>
      <c r="K2158" s="271">
        <v>18000</v>
      </c>
      <c r="L2158" s="272" t="s">
        <v>111</v>
      </c>
      <c r="M2158" s="226" t="s">
        <v>2735</v>
      </c>
    </row>
    <row r="2159" spans="1:13" s="141" customFormat="1" ht="21" customHeight="1" x14ac:dyDescent="0.2">
      <c r="A2159" s="263">
        <v>503</v>
      </c>
      <c r="B2159" s="359" t="s">
        <v>2736</v>
      </c>
      <c r="C2159" s="360"/>
      <c r="D2159" s="175" t="s">
        <v>25</v>
      </c>
      <c r="E2159" s="175"/>
      <c r="F2159" s="175"/>
      <c r="G2159" s="175" t="s">
        <v>2737</v>
      </c>
      <c r="H2159" s="175" t="s">
        <v>361</v>
      </c>
      <c r="I2159" s="489" t="s">
        <v>2738</v>
      </c>
      <c r="J2159" s="489" t="s">
        <v>365</v>
      </c>
      <c r="K2159" s="285">
        <f>47740*40%</f>
        <v>19096</v>
      </c>
      <c r="L2159" s="180" t="s">
        <v>2737</v>
      </c>
      <c r="M2159" s="180" t="s">
        <v>2739</v>
      </c>
    </row>
    <row r="2160" spans="1:13" s="141" customFormat="1" ht="19.5" customHeight="1" x14ac:dyDescent="0.2">
      <c r="A2160" s="255"/>
      <c r="B2160" s="362"/>
      <c r="C2160" s="363"/>
      <c r="D2160" s="185"/>
      <c r="E2160" s="185"/>
      <c r="F2160" s="185"/>
      <c r="G2160" s="185"/>
      <c r="H2160" s="185"/>
      <c r="I2160" s="489" t="s">
        <v>2740</v>
      </c>
      <c r="J2160" s="489" t="s">
        <v>2734</v>
      </c>
      <c r="K2160" s="285">
        <f>47740*20%</f>
        <v>9548</v>
      </c>
      <c r="L2160" s="190"/>
      <c r="M2160" s="190"/>
    </row>
    <row r="2161" spans="1:13" s="141" customFormat="1" ht="20.25" customHeight="1" x14ac:dyDescent="0.2">
      <c r="A2161" s="255"/>
      <c r="B2161" s="362"/>
      <c r="C2161" s="363"/>
      <c r="D2161" s="185"/>
      <c r="E2161" s="185"/>
      <c r="F2161" s="185"/>
      <c r="G2161" s="185"/>
      <c r="H2161" s="185"/>
      <c r="I2161" s="489" t="s">
        <v>2741</v>
      </c>
      <c r="J2161" s="489" t="s">
        <v>2673</v>
      </c>
      <c r="K2161" s="285">
        <f>47740*20%</f>
        <v>9548</v>
      </c>
      <c r="L2161" s="190"/>
      <c r="M2161" s="190"/>
    </row>
    <row r="2162" spans="1:13" s="141" customFormat="1" x14ac:dyDescent="0.2">
      <c r="A2162" s="255"/>
      <c r="B2162" s="362"/>
      <c r="C2162" s="363"/>
      <c r="D2162" s="185"/>
      <c r="E2162" s="185"/>
      <c r="F2162" s="185"/>
      <c r="G2162" s="185"/>
      <c r="H2162" s="185"/>
      <c r="I2162" s="489" t="s">
        <v>2742</v>
      </c>
      <c r="J2162" s="489" t="s">
        <v>2647</v>
      </c>
      <c r="K2162" s="285">
        <f>47740*20%</f>
        <v>9548</v>
      </c>
      <c r="L2162" s="190"/>
      <c r="M2162" s="190"/>
    </row>
    <row r="2163" spans="1:13" s="141" customFormat="1" x14ac:dyDescent="0.2">
      <c r="A2163" s="256"/>
      <c r="B2163" s="490"/>
      <c r="C2163" s="491"/>
      <c r="D2163" s="196"/>
      <c r="E2163" s="196"/>
      <c r="F2163" s="196"/>
      <c r="G2163" s="196"/>
      <c r="H2163" s="196"/>
      <c r="I2163" s="357"/>
      <c r="J2163" s="357"/>
      <c r="K2163" s="257">
        <f>SUM(K2159:K2162)</f>
        <v>47740</v>
      </c>
      <c r="L2163" s="201"/>
      <c r="M2163" s="201"/>
    </row>
    <row r="2164" spans="1:13" s="141" customFormat="1" x14ac:dyDescent="0.2">
      <c r="H2164" s="147"/>
      <c r="J2164" s="492"/>
      <c r="K2164" s="493"/>
      <c r="L2164" s="492"/>
      <c r="M2164" s="147"/>
    </row>
    <row r="2165" spans="1:13" s="141" customFormat="1" x14ac:dyDescent="0.2">
      <c r="H2165" s="147"/>
      <c r="J2165" s="492"/>
      <c r="K2165" s="493"/>
      <c r="L2165" s="493"/>
      <c r="M2165" s="147"/>
    </row>
    <row r="2166" spans="1:13" s="141" customFormat="1" x14ac:dyDescent="0.2">
      <c r="H2166" s="147"/>
      <c r="J2166" s="492"/>
      <c r="K2166" s="493"/>
      <c r="L2166" s="493"/>
      <c r="M2166" s="147"/>
    </row>
    <row r="2167" spans="1:13" s="141" customFormat="1" x14ac:dyDescent="0.2">
      <c r="H2167" s="147"/>
      <c r="J2167" s="492"/>
      <c r="K2167" s="493"/>
      <c r="L2167" s="254"/>
      <c r="M2167" s="147"/>
    </row>
    <row r="2168" spans="1:13" s="141" customFormat="1" x14ac:dyDescent="0.2">
      <c r="H2168" s="147"/>
      <c r="J2168" s="494"/>
      <c r="K2168" s="495"/>
      <c r="M2168" s="147"/>
    </row>
    <row r="2169" spans="1:13" s="141" customFormat="1" x14ac:dyDescent="0.2">
      <c r="H2169" s="147"/>
      <c r="J2169" s="493"/>
      <c r="K2169" s="496"/>
      <c r="M2169" s="147"/>
    </row>
    <row r="2170" spans="1:13" s="141" customFormat="1" x14ac:dyDescent="0.2">
      <c r="H2170" s="147"/>
      <c r="J2170" s="497"/>
      <c r="K2170" s="493"/>
      <c r="L2170" s="492"/>
      <c r="M2170" s="147"/>
    </row>
    <row r="2171" spans="1:13" s="141" customFormat="1" x14ac:dyDescent="0.2">
      <c r="H2171" s="147"/>
      <c r="J2171" s="497"/>
      <c r="K2171" s="493"/>
      <c r="L2171" s="492"/>
      <c r="M2171" s="147"/>
    </row>
    <row r="2172" spans="1:13" s="141" customFormat="1" x14ac:dyDescent="0.2">
      <c r="H2172" s="147"/>
      <c r="J2172" s="492"/>
      <c r="K2172" s="493"/>
      <c r="L2172" s="492"/>
      <c r="M2172" s="147"/>
    </row>
    <row r="2173" spans="1:13" s="141" customFormat="1" x14ac:dyDescent="0.2">
      <c r="H2173" s="147"/>
      <c r="J2173" s="492"/>
      <c r="K2173" s="496"/>
      <c r="L2173" s="492"/>
      <c r="M2173" s="147"/>
    </row>
    <row r="2174" spans="1:13" s="141" customFormat="1" x14ac:dyDescent="0.2">
      <c r="H2174" s="147"/>
      <c r="J2174" s="492"/>
      <c r="K2174" s="498"/>
      <c r="L2174" s="492"/>
      <c r="M2174" s="147"/>
    </row>
    <row r="2175" spans="1:13" s="141" customFormat="1" x14ac:dyDescent="0.2">
      <c r="H2175" s="147"/>
      <c r="J2175" s="492"/>
      <c r="K2175" s="493"/>
      <c r="L2175" s="492"/>
      <c r="M2175" s="147"/>
    </row>
    <row r="2176" spans="1:13" s="141" customFormat="1" x14ac:dyDescent="0.2">
      <c r="H2176" s="147"/>
      <c r="J2176" s="492"/>
      <c r="K2176" s="496"/>
      <c r="L2176" s="492"/>
      <c r="M2176" s="147"/>
    </row>
    <row r="2177" spans="8:13" s="141" customFormat="1" x14ac:dyDescent="0.2">
      <c r="H2177" s="147"/>
      <c r="J2177" s="492"/>
      <c r="K2177" s="496"/>
      <c r="L2177" s="492"/>
      <c r="M2177" s="147"/>
    </row>
    <row r="2178" spans="8:13" s="141" customFormat="1" x14ac:dyDescent="0.2">
      <c r="H2178" s="147"/>
      <c r="M2178" s="147"/>
    </row>
    <row r="2179" spans="8:13" s="141" customFormat="1" x14ac:dyDescent="0.2">
      <c r="H2179" s="147"/>
      <c r="M2179" s="147"/>
    </row>
    <row r="2180" spans="8:13" s="141" customFormat="1" x14ac:dyDescent="0.2">
      <c r="H2180" s="147"/>
      <c r="M2180" s="147"/>
    </row>
    <row r="2181" spans="8:13" s="141" customFormat="1" x14ac:dyDescent="0.2">
      <c r="H2181" s="147"/>
      <c r="M2181" s="147"/>
    </row>
    <row r="2182" spans="8:13" s="141" customFormat="1" x14ac:dyDescent="0.2">
      <c r="H2182" s="147"/>
      <c r="M2182" s="147"/>
    </row>
    <row r="2183" spans="8:13" s="141" customFormat="1" x14ac:dyDescent="0.2">
      <c r="H2183" s="147"/>
      <c r="M2183" s="147"/>
    </row>
    <row r="2184" spans="8:13" s="141" customFormat="1" x14ac:dyDescent="0.2">
      <c r="H2184" s="147"/>
      <c r="M2184" s="147"/>
    </row>
    <row r="2185" spans="8:13" s="141" customFormat="1" x14ac:dyDescent="0.2">
      <c r="H2185" s="147"/>
      <c r="M2185" s="147"/>
    </row>
    <row r="2186" spans="8:13" s="141" customFormat="1" x14ac:dyDescent="0.2">
      <c r="H2186" s="147"/>
      <c r="M2186" s="147"/>
    </row>
    <row r="2187" spans="8:13" s="141" customFormat="1" x14ac:dyDescent="0.2">
      <c r="H2187" s="147"/>
      <c r="M2187" s="147"/>
    </row>
    <row r="2188" spans="8:13" s="141" customFormat="1" x14ac:dyDescent="0.2">
      <c r="H2188" s="147"/>
      <c r="M2188" s="147"/>
    </row>
    <row r="2189" spans="8:13" s="141" customFormat="1" x14ac:dyDescent="0.2">
      <c r="H2189" s="147"/>
      <c r="M2189" s="147"/>
    </row>
    <row r="2190" spans="8:13" s="141" customFormat="1" x14ac:dyDescent="0.2">
      <c r="H2190" s="147"/>
      <c r="M2190" s="147"/>
    </row>
    <row r="2191" spans="8:13" s="141" customFormat="1" x14ac:dyDescent="0.2">
      <c r="H2191" s="147"/>
      <c r="M2191" s="147"/>
    </row>
    <row r="2192" spans="8:13" s="141" customFormat="1" x14ac:dyDescent="0.2">
      <c r="H2192" s="147"/>
      <c r="M2192" s="147"/>
    </row>
    <row r="2193" spans="8:13" s="141" customFormat="1" x14ac:dyDescent="0.2">
      <c r="H2193" s="147"/>
      <c r="M2193" s="147"/>
    </row>
    <row r="2194" spans="8:13" s="141" customFormat="1" x14ac:dyDescent="0.2">
      <c r="H2194" s="147"/>
      <c r="M2194" s="147"/>
    </row>
    <row r="2195" spans="8:13" s="141" customFormat="1" x14ac:dyDescent="0.2">
      <c r="H2195" s="147"/>
      <c r="M2195" s="147"/>
    </row>
    <row r="2196" spans="8:13" s="141" customFormat="1" x14ac:dyDescent="0.2">
      <c r="H2196" s="147"/>
      <c r="M2196" s="147"/>
    </row>
    <row r="2197" spans="8:13" s="141" customFormat="1" x14ac:dyDescent="0.2">
      <c r="H2197" s="147"/>
      <c r="M2197" s="147"/>
    </row>
    <row r="2198" spans="8:13" s="141" customFormat="1" x14ac:dyDescent="0.2">
      <c r="H2198" s="147"/>
      <c r="M2198" s="147"/>
    </row>
    <row r="2199" spans="8:13" s="141" customFormat="1" x14ac:dyDescent="0.2">
      <c r="H2199" s="147"/>
      <c r="M2199" s="147"/>
    </row>
    <row r="2200" spans="8:13" s="141" customFormat="1" x14ac:dyDescent="0.2">
      <c r="H2200" s="147"/>
      <c r="M2200" s="147"/>
    </row>
    <row r="2201" spans="8:13" s="141" customFormat="1" x14ac:dyDescent="0.2">
      <c r="H2201" s="147"/>
      <c r="M2201" s="147"/>
    </row>
    <row r="2202" spans="8:13" s="141" customFormat="1" x14ac:dyDescent="0.2">
      <c r="H2202" s="147"/>
      <c r="M2202" s="147"/>
    </row>
    <row r="2203" spans="8:13" s="141" customFormat="1" x14ac:dyDescent="0.2">
      <c r="H2203" s="147"/>
      <c r="M2203" s="147"/>
    </row>
    <row r="2204" spans="8:13" s="141" customFormat="1" x14ac:dyDescent="0.2">
      <c r="H2204" s="147"/>
      <c r="M2204" s="147"/>
    </row>
    <row r="2205" spans="8:13" s="141" customFormat="1" x14ac:dyDescent="0.2">
      <c r="H2205" s="147"/>
      <c r="M2205" s="147"/>
    </row>
    <row r="2206" spans="8:13" s="141" customFormat="1" x14ac:dyDescent="0.2">
      <c r="H2206" s="147"/>
      <c r="M2206" s="147"/>
    </row>
    <row r="2207" spans="8:13" s="141" customFormat="1" x14ac:dyDescent="0.2">
      <c r="H2207" s="147"/>
      <c r="M2207" s="147"/>
    </row>
    <row r="2208" spans="8:13" s="141" customFormat="1" x14ac:dyDescent="0.2">
      <c r="H2208" s="147"/>
      <c r="M2208" s="147"/>
    </row>
    <row r="2209" spans="8:13" s="141" customFormat="1" x14ac:dyDescent="0.2">
      <c r="H2209" s="147"/>
      <c r="M2209" s="147"/>
    </row>
    <row r="2210" spans="8:13" s="141" customFormat="1" x14ac:dyDescent="0.2">
      <c r="H2210" s="147"/>
      <c r="M2210" s="147"/>
    </row>
    <row r="2211" spans="8:13" s="141" customFormat="1" x14ac:dyDescent="0.2">
      <c r="H2211" s="147"/>
      <c r="M2211" s="147"/>
    </row>
    <row r="2212" spans="8:13" s="141" customFormat="1" x14ac:dyDescent="0.2">
      <c r="H2212" s="147"/>
      <c r="M2212" s="147"/>
    </row>
    <row r="2213" spans="8:13" s="141" customFormat="1" x14ac:dyDescent="0.2">
      <c r="H2213" s="147"/>
      <c r="M2213" s="147"/>
    </row>
    <row r="2214" spans="8:13" s="141" customFormat="1" x14ac:dyDescent="0.2">
      <c r="H2214" s="147"/>
      <c r="M2214" s="147"/>
    </row>
    <row r="2215" spans="8:13" s="141" customFormat="1" x14ac:dyDescent="0.2">
      <c r="H2215" s="147"/>
      <c r="M2215" s="147"/>
    </row>
    <row r="2216" spans="8:13" s="141" customFormat="1" x14ac:dyDescent="0.2">
      <c r="H2216" s="147"/>
      <c r="M2216" s="147"/>
    </row>
    <row r="2217" spans="8:13" s="141" customFormat="1" x14ac:dyDescent="0.2">
      <c r="H2217" s="147"/>
      <c r="M2217" s="147"/>
    </row>
    <row r="2218" spans="8:13" s="141" customFormat="1" x14ac:dyDescent="0.2">
      <c r="H2218" s="147"/>
      <c r="M2218" s="147"/>
    </row>
    <row r="2219" spans="8:13" s="141" customFormat="1" x14ac:dyDescent="0.2">
      <c r="H2219" s="147"/>
      <c r="M2219" s="147"/>
    </row>
    <row r="2220" spans="8:13" s="141" customFormat="1" x14ac:dyDescent="0.2">
      <c r="H2220" s="147"/>
      <c r="M2220" s="147"/>
    </row>
    <row r="2221" spans="8:13" s="141" customFormat="1" x14ac:dyDescent="0.2">
      <c r="H2221" s="147"/>
      <c r="M2221" s="147"/>
    </row>
    <row r="2222" spans="8:13" s="141" customFormat="1" x14ac:dyDescent="0.2">
      <c r="H2222" s="147"/>
      <c r="M2222" s="147"/>
    </row>
    <row r="2223" spans="8:13" s="141" customFormat="1" x14ac:dyDescent="0.2">
      <c r="H2223" s="147"/>
      <c r="M2223" s="147"/>
    </row>
    <row r="2224" spans="8:13" s="141" customFormat="1" x14ac:dyDescent="0.2">
      <c r="H2224" s="147"/>
      <c r="M2224" s="147"/>
    </row>
    <row r="2225" spans="8:13" s="141" customFormat="1" x14ac:dyDescent="0.2">
      <c r="H2225" s="147"/>
      <c r="M2225" s="147"/>
    </row>
    <row r="2226" spans="8:13" s="141" customFormat="1" x14ac:dyDescent="0.2">
      <c r="H2226" s="147"/>
      <c r="M2226" s="147"/>
    </row>
    <row r="2227" spans="8:13" s="141" customFormat="1" x14ac:dyDescent="0.2">
      <c r="H2227" s="147"/>
      <c r="M2227" s="147"/>
    </row>
    <row r="2228" spans="8:13" s="141" customFormat="1" x14ac:dyDescent="0.2">
      <c r="H2228" s="147"/>
      <c r="M2228" s="147"/>
    </row>
    <row r="2229" spans="8:13" s="141" customFormat="1" x14ac:dyDescent="0.2">
      <c r="H2229" s="147"/>
      <c r="M2229" s="147"/>
    </row>
    <row r="2230" spans="8:13" s="141" customFormat="1" x14ac:dyDescent="0.2">
      <c r="H2230" s="147"/>
      <c r="M2230" s="147"/>
    </row>
    <row r="2231" spans="8:13" s="141" customFormat="1" x14ac:dyDescent="0.2">
      <c r="H2231" s="147"/>
      <c r="M2231" s="147"/>
    </row>
    <row r="2232" spans="8:13" s="141" customFormat="1" x14ac:dyDescent="0.2">
      <c r="H2232" s="147"/>
      <c r="M2232" s="147"/>
    </row>
    <row r="2233" spans="8:13" s="141" customFormat="1" x14ac:dyDescent="0.2">
      <c r="H2233" s="147"/>
      <c r="M2233" s="147"/>
    </row>
    <row r="2234" spans="8:13" s="141" customFormat="1" x14ac:dyDescent="0.2">
      <c r="H2234" s="147"/>
      <c r="M2234" s="147"/>
    </row>
    <row r="2235" spans="8:13" s="141" customFormat="1" x14ac:dyDescent="0.2">
      <c r="H2235" s="147"/>
      <c r="M2235" s="147"/>
    </row>
    <row r="2236" spans="8:13" s="141" customFormat="1" x14ac:dyDescent="0.2">
      <c r="H2236" s="147"/>
      <c r="M2236" s="147"/>
    </row>
    <row r="2237" spans="8:13" s="141" customFormat="1" x14ac:dyDescent="0.2">
      <c r="H2237" s="147"/>
      <c r="M2237" s="147"/>
    </row>
    <row r="2238" spans="8:13" s="141" customFormat="1" x14ac:dyDescent="0.2">
      <c r="H2238" s="147"/>
      <c r="M2238" s="147"/>
    </row>
    <row r="2239" spans="8:13" s="141" customFormat="1" x14ac:dyDescent="0.2">
      <c r="H2239" s="147"/>
      <c r="M2239" s="147"/>
    </row>
    <row r="2240" spans="8:13" s="141" customFormat="1" x14ac:dyDescent="0.2">
      <c r="H2240" s="147"/>
      <c r="M2240" s="147"/>
    </row>
    <row r="2241" spans="8:13" s="141" customFormat="1" x14ac:dyDescent="0.2">
      <c r="H2241" s="147"/>
      <c r="M2241" s="147"/>
    </row>
    <row r="2242" spans="8:13" s="141" customFormat="1" x14ac:dyDescent="0.2">
      <c r="H2242" s="147"/>
      <c r="M2242" s="147"/>
    </row>
    <row r="2243" spans="8:13" s="141" customFormat="1" x14ac:dyDescent="0.2">
      <c r="H2243" s="147"/>
      <c r="M2243" s="147"/>
    </row>
    <row r="2244" spans="8:13" s="141" customFormat="1" x14ac:dyDescent="0.2">
      <c r="H2244" s="147"/>
      <c r="M2244" s="147"/>
    </row>
    <row r="2245" spans="8:13" s="141" customFormat="1" x14ac:dyDescent="0.2">
      <c r="H2245" s="147"/>
      <c r="M2245" s="147"/>
    </row>
    <row r="2246" spans="8:13" s="141" customFormat="1" x14ac:dyDescent="0.2">
      <c r="H2246" s="147"/>
      <c r="M2246" s="147"/>
    </row>
    <row r="2247" spans="8:13" s="141" customFormat="1" x14ac:dyDescent="0.2">
      <c r="H2247" s="147"/>
      <c r="M2247" s="147"/>
    </row>
  </sheetData>
  <autoFilter ref="A1:M2068">
    <filterColumn colId="11" showButton="0"/>
  </autoFilter>
  <mergeCells count="3564">
    <mergeCell ref="H2159:H2163"/>
    <mergeCell ref="L2159:L2163"/>
    <mergeCell ref="M2159:M2163"/>
    <mergeCell ref="M2150:M2155"/>
    <mergeCell ref="B2156:C2156"/>
    <mergeCell ref="B2157:C2157"/>
    <mergeCell ref="B2158:C2158"/>
    <mergeCell ref="A2159:A2163"/>
    <mergeCell ref="B2159:C2163"/>
    <mergeCell ref="D2159:D2163"/>
    <mergeCell ref="E2159:E2163"/>
    <mergeCell ref="F2159:F2163"/>
    <mergeCell ref="G2159:G2163"/>
    <mergeCell ref="L2144:L2149"/>
    <mergeCell ref="M2144:M2149"/>
    <mergeCell ref="A2150:A2155"/>
    <mergeCell ref="B2150:C2155"/>
    <mergeCell ref="D2150:D2155"/>
    <mergeCell ref="E2150:E2155"/>
    <mergeCell ref="F2150:F2155"/>
    <mergeCell ref="G2150:G2155"/>
    <mergeCell ref="H2150:H2155"/>
    <mergeCell ref="L2150:L2155"/>
    <mergeCell ref="H2138:H2143"/>
    <mergeCell ref="L2138:L2143"/>
    <mergeCell ref="M2138:M2143"/>
    <mergeCell ref="A2144:A2149"/>
    <mergeCell ref="B2144:C2149"/>
    <mergeCell ref="D2144:D2149"/>
    <mergeCell ref="E2144:E2149"/>
    <mergeCell ref="F2144:F2149"/>
    <mergeCell ref="G2144:G2149"/>
    <mergeCell ref="H2144:H2149"/>
    <mergeCell ref="A2138:A2143"/>
    <mergeCell ref="B2138:C2143"/>
    <mergeCell ref="D2138:D2143"/>
    <mergeCell ref="E2138:E2143"/>
    <mergeCell ref="F2138:F2143"/>
    <mergeCell ref="G2138:G2143"/>
    <mergeCell ref="M2126:M2131"/>
    <mergeCell ref="A2132:A2137"/>
    <mergeCell ref="B2132:C2137"/>
    <mergeCell ref="D2132:D2137"/>
    <mergeCell ref="E2132:E2137"/>
    <mergeCell ref="F2132:F2137"/>
    <mergeCell ref="G2132:G2137"/>
    <mergeCell ref="H2132:H2137"/>
    <mergeCell ref="L2132:L2137"/>
    <mergeCell ref="M2132:M2137"/>
    <mergeCell ref="L2120:L2125"/>
    <mergeCell ref="M2120:M2125"/>
    <mergeCell ref="A2126:A2131"/>
    <mergeCell ref="B2126:C2131"/>
    <mergeCell ref="D2126:D2131"/>
    <mergeCell ref="E2126:E2131"/>
    <mergeCell ref="F2126:F2131"/>
    <mergeCell ref="G2126:G2131"/>
    <mergeCell ref="H2126:H2131"/>
    <mergeCell ref="L2126:L2131"/>
    <mergeCell ref="H2114:H2119"/>
    <mergeCell ref="L2114:L2119"/>
    <mergeCell ref="M2114:M2119"/>
    <mergeCell ref="A2120:A2125"/>
    <mergeCell ref="B2120:C2125"/>
    <mergeCell ref="D2120:D2125"/>
    <mergeCell ref="E2120:E2125"/>
    <mergeCell ref="F2120:F2125"/>
    <mergeCell ref="G2120:G2125"/>
    <mergeCell ref="H2120:H2125"/>
    <mergeCell ref="A2114:A2119"/>
    <mergeCell ref="B2114:C2119"/>
    <mergeCell ref="D2114:D2119"/>
    <mergeCell ref="E2114:E2119"/>
    <mergeCell ref="F2114:F2119"/>
    <mergeCell ref="G2114:G2119"/>
    <mergeCell ref="M2105:M2107"/>
    <mergeCell ref="A2108:A2113"/>
    <mergeCell ref="B2108:C2113"/>
    <mergeCell ref="D2108:D2113"/>
    <mergeCell ref="E2108:E2113"/>
    <mergeCell ref="F2108:F2113"/>
    <mergeCell ref="G2108:G2113"/>
    <mergeCell ref="H2108:H2113"/>
    <mergeCell ref="L2108:L2113"/>
    <mergeCell ref="M2108:M2113"/>
    <mergeCell ref="L2102:L2104"/>
    <mergeCell ref="M2102:M2104"/>
    <mergeCell ref="A2105:A2107"/>
    <mergeCell ref="B2105:C2107"/>
    <mergeCell ref="D2105:D2107"/>
    <mergeCell ref="E2105:E2107"/>
    <mergeCell ref="F2105:F2107"/>
    <mergeCell ref="G2105:G2107"/>
    <mergeCell ref="H2105:H2107"/>
    <mergeCell ref="L2105:L2107"/>
    <mergeCell ref="H2099:H2101"/>
    <mergeCell ref="L2099:L2101"/>
    <mergeCell ref="M2099:M2101"/>
    <mergeCell ref="A2102:A2104"/>
    <mergeCell ref="B2102:C2104"/>
    <mergeCell ref="D2102:D2104"/>
    <mergeCell ref="E2102:E2104"/>
    <mergeCell ref="F2102:F2104"/>
    <mergeCell ref="G2102:G2104"/>
    <mergeCell ref="H2102:H2104"/>
    <mergeCell ref="A2099:A2101"/>
    <mergeCell ref="B2099:C2101"/>
    <mergeCell ref="D2099:D2101"/>
    <mergeCell ref="E2099:E2101"/>
    <mergeCell ref="F2099:F2101"/>
    <mergeCell ref="G2099:G2101"/>
    <mergeCell ref="M2088:M2093"/>
    <mergeCell ref="A2094:A2098"/>
    <mergeCell ref="B2094:C2098"/>
    <mergeCell ref="D2094:D2098"/>
    <mergeCell ref="E2094:E2098"/>
    <mergeCell ref="F2094:F2098"/>
    <mergeCell ref="G2094:G2098"/>
    <mergeCell ref="H2094:H2098"/>
    <mergeCell ref="L2094:L2098"/>
    <mergeCell ref="M2094:M2098"/>
    <mergeCell ref="L2084:L2087"/>
    <mergeCell ref="M2084:M2087"/>
    <mergeCell ref="A2088:A2093"/>
    <mergeCell ref="B2088:C2093"/>
    <mergeCell ref="D2088:D2093"/>
    <mergeCell ref="E2088:E2093"/>
    <mergeCell ref="F2088:F2093"/>
    <mergeCell ref="G2088:G2093"/>
    <mergeCell ref="H2088:H2093"/>
    <mergeCell ref="L2088:L2093"/>
    <mergeCell ref="H2078:H2083"/>
    <mergeCell ref="L2078:L2083"/>
    <mergeCell ref="M2078:M2083"/>
    <mergeCell ref="A2084:A2087"/>
    <mergeCell ref="B2084:C2087"/>
    <mergeCell ref="D2084:D2087"/>
    <mergeCell ref="E2084:E2087"/>
    <mergeCell ref="F2084:F2087"/>
    <mergeCell ref="G2084:G2087"/>
    <mergeCell ref="H2084:H2087"/>
    <mergeCell ref="A2078:A2083"/>
    <mergeCell ref="B2078:C2083"/>
    <mergeCell ref="D2078:D2083"/>
    <mergeCell ref="E2078:E2083"/>
    <mergeCell ref="F2078:F2083"/>
    <mergeCell ref="G2078:G2083"/>
    <mergeCell ref="M2066:M2071"/>
    <mergeCell ref="A2072:A2077"/>
    <mergeCell ref="B2072:C2077"/>
    <mergeCell ref="D2072:D2077"/>
    <mergeCell ref="E2072:E2077"/>
    <mergeCell ref="F2072:F2077"/>
    <mergeCell ref="G2072:G2077"/>
    <mergeCell ref="H2072:H2077"/>
    <mergeCell ref="L2072:L2077"/>
    <mergeCell ref="M2072:M2077"/>
    <mergeCell ref="L2061:L2065"/>
    <mergeCell ref="M2061:M2065"/>
    <mergeCell ref="A2066:A2071"/>
    <mergeCell ref="B2066:C2071"/>
    <mergeCell ref="D2066:D2071"/>
    <mergeCell ref="E2066:E2071"/>
    <mergeCell ref="F2066:F2071"/>
    <mergeCell ref="G2066:G2071"/>
    <mergeCell ref="H2066:H2071"/>
    <mergeCell ref="L2066:L2071"/>
    <mergeCell ref="H2057:H2060"/>
    <mergeCell ref="L2057:L2060"/>
    <mergeCell ref="M2057:M2060"/>
    <mergeCell ref="A2061:A2065"/>
    <mergeCell ref="B2061:C2065"/>
    <mergeCell ref="D2061:D2065"/>
    <mergeCell ref="E2061:E2065"/>
    <mergeCell ref="F2061:F2065"/>
    <mergeCell ref="G2061:G2065"/>
    <mergeCell ref="H2061:H2065"/>
    <mergeCell ref="G2052:G2056"/>
    <mergeCell ref="H2052:H2056"/>
    <mergeCell ref="L2052:L2056"/>
    <mergeCell ref="M2052:M2056"/>
    <mergeCell ref="A2057:A2060"/>
    <mergeCell ref="B2057:C2060"/>
    <mergeCell ref="D2057:D2060"/>
    <mergeCell ref="E2057:E2060"/>
    <mergeCell ref="F2057:F2060"/>
    <mergeCell ref="G2057:G2060"/>
    <mergeCell ref="B2051:C2051"/>
    <mergeCell ref="A2052:A2056"/>
    <mergeCell ref="B2052:C2056"/>
    <mergeCell ref="D2052:D2056"/>
    <mergeCell ref="E2052:E2056"/>
    <mergeCell ref="F2052:F2056"/>
    <mergeCell ref="M2037:M2044"/>
    <mergeCell ref="A2045:A2050"/>
    <mergeCell ref="B2045:C2050"/>
    <mergeCell ref="D2045:D2050"/>
    <mergeCell ref="E2045:E2050"/>
    <mergeCell ref="F2045:F2050"/>
    <mergeCell ref="G2045:G2050"/>
    <mergeCell ref="H2045:H2050"/>
    <mergeCell ref="L2045:L2050"/>
    <mergeCell ref="M2045:M2050"/>
    <mergeCell ref="L2034:L2036"/>
    <mergeCell ref="M2034:M2036"/>
    <mergeCell ref="A2037:A2044"/>
    <mergeCell ref="B2037:C2044"/>
    <mergeCell ref="D2037:D2044"/>
    <mergeCell ref="E2037:E2044"/>
    <mergeCell ref="F2037:F2044"/>
    <mergeCell ref="G2037:G2044"/>
    <mergeCell ref="H2037:H2044"/>
    <mergeCell ref="L2037:L2044"/>
    <mergeCell ref="H2031:H2033"/>
    <mergeCell ref="L2031:L2033"/>
    <mergeCell ref="M2031:M2033"/>
    <mergeCell ref="A2034:A2036"/>
    <mergeCell ref="B2034:C2036"/>
    <mergeCell ref="D2034:D2036"/>
    <mergeCell ref="E2034:E2036"/>
    <mergeCell ref="F2034:F2036"/>
    <mergeCell ref="G2034:G2036"/>
    <mergeCell ref="H2034:H2036"/>
    <mergeCell ref="G2026:G2030"/>
    <mergeCell ref="H2026:H2030"/>
    <mergeCell ref="L2026:L2030"/>
    <mergeCell ref="M2026:M2030"/>
    <mergeCell ref="A2031:A2033"/>
    <mergeCell ref="B2031:C2033"/>
    <mergeCell ref="D2031:D2033"/>
    <mergeCell ref="E2031:E2033"/>
    <mergeCell ref="F2031:F2033"/>
    <mergeCell ref="G2031:G2033"/>
    <mergeCell ref="L2015:L2022"/>
    <mergeCell ref="M2015:M2022"/>
    <mergeCell ref="B2023:C2023"/>
    <mergeCell ref="B2024:C2024"/>
    <mergeCell ref="B2025:C2025"/>
    <mergeCell ref="A2026:A2030"/>
    <mergeCell ref="B2026:C2030"/>
    <mergeCell ref="D2026:D2030"/>
    <mergeCell ref="E2026:E2030"/>
    <mergeCell ref="F2026:F2030"/>
    <mergeCell ref="H1997:H2014"/>
    <mergeCell ref="L1997:L2014"/>
    <mergeCell ref="M1997:M2014"/>
    <mergeCell ref="A2015:A2022"/>
    <mergeCell ref="B2015:C2022"/>
    <mergeCell ref="D2015:D2022"/>
    <mergeCell ref="E2015:E2022"/>
    <mergeCell ref="F2015:F2022"/>
    <mergeCell ref="G2015:G2022"/>
    <mergeCell ref="H2015:H2022"/>
    <mergeCell ref="A1997:A2014"/>
    <mergeCell ref="B1997:C2014"/>
    <mergeCell ref="D1997:D2014"/>
    <mergeCell ref="E1997:E2014"/>
    <mergeCell ref="F1997:F2014"/>
    <mergeCell ref="G1997:G2014"/>
    <mergeCell ref="M1991:M1993"/>
    <mergeCell ref="A1994:A1996"/>
    <mergeCell ref="B1994:C1996"/>
    <mergeCell ref="D1994:D1996"/>
    <mergeCell ref="E1994:E1996"/>
    <mergeCell ref="F1994:F1996"/>
    <mergeCell ref="G1994:G1996"/>
    <mergeCell ref="H1994:H1996"/>
    <mergeCell ref="L1994:L1996"/>
    <mergeCell ref="M1994:M1996"/>
    <mergeCell ref="L1987:L1990"/>
    <mergeCell ref="M1987:M1990"/>
    <mergeCell ref="A1991:A1993"/>
    <mergeCell ref="B1991:C1993"/>
    <mergeCell ref="D1991:D1993"/>
    <mergeCell ref="E1991:E1993"/>
    <mergeCell ref="F1991:F1993"/>
    <mergeCell ref="G1991:G1993"/>
    <mergeCell ref="H1991:H1993"/>
    <mergeCell ref="L1991:L1993"/>
    <mergeCell ref="H1983:H1986"/>
    <mergeCell ref="L1983:L1986"/>
    <mergeCell ref="M1983:M1986"/>
    <mergeCell ref="A1987:A1990"/>
    <mergeCell ref="B1987:C1990"/>
    <mergeCell ref="D1987:D1990"/>
    <mergeCell ref="E1987:E1990"/>
    <mergeCell ref="F1987:F1990"/>
    <mergeCell ref="G1987:G1990"/>
    <mergeCell ref="H1987:H1990"/>
    <mergeCell ref="A1983:A1986"/>
    <mergeCell ref="B1983:C1986"/>
    <mergeCell ref="D1983:D1986"/>
    <mergeCell ref="E1983:E1986"/>
    <mergeCell ref="F1983:F1986"/>
    <mergeCell ref="G1983:G1986"/>
    <mergeCell ref="M1975:M1978"/>
    <mergeCell ref="A1979:A1982"/>
    <mergeCell ref="B1979:C1982"/>
    <mergeCell ref="D1979:D1982"/>
    <mergeCell ref="E1979:E1982"/>
    <mergeCell ref="F1979:F1982"/>
    <mergeCell ref="G1979:G1982"/>
    <mergeCell ref="H1979:H1982"/>
    <mergeCell ref="L1979:L1982"/>
    <mergeCell ref="M1979:M1982"/>
    <mergeCell ref="L1971:L1974"/>
    <mergeCell ref="M1971:M1974"/>
    <mergeCell ref="A1975:A1978"/>
    <mergeCell ref="B1975:C1978"/>
    <mergeCell ref="D1975:D1978"/>
    <mergeCell ref="E1975:E1978"/>
    <mergeCell ref="F1975:F1978"/>
    <mergeCell ref="G1975:G1978"/>
    <mergeCell ref="H1975:H1978"/>
    <mergeCell ref="L1975:L1978"/>
    <mergeCell ref="H1967:H1970"/>
    <mergeCell ref="L1967:L1970"/>
    <mergeCell ref="M1967:M1970"/>
    <mergeCell ref="A1971:A1974"/>
    <mergeCell ref="B1971:C1974"/>
    <mergeCell ref="D1971:D1974"/>
    <mergeCell ref="E1971:E1974"/>
    <mergeCell ref="F1971:F1974"/>
    <mergeCell ref="G1971:G1974"/>
    <mergeCell ref="H1971:H1974"/>
    <mergeCell ref="A1967:A1970"/>
    <mergeCell ref="B1967:C1970"/>
    <mergeCell ref="D1967:D1970"/>
    <mergeCell ref="E1967:E1970"/>
    <mergeCell ref="F1967:F1970"/>
    <mergeCell ref="G1967:G1970"/>
    <mergeCell ref="M1959:M1962"/>
    <mergeCell ref="A1963:A1966"/>
    <mergeCell ref="B1963:C1966"/>
    <mergeCell ref="D1963:D1966"/>
    <mergeCell ref="E1963:E1966"/>
    <mergeCell ref="F1963:F1966"/>
    <mergeCell ref="G1963:G1966"/>
    <mergeCell ref="H1963:H1966"/>
    <mergeCell ref="L1963:L1966"/>
    <mergeCell ref="M1963:M1966"/>
    <mergeCell ref="L1956:L1958"/>
    <mergeCell ref="M1956:M1958"/>
    <mergeCell ref="A1959:A1962"/>
    <mergeCell ref="B1959:C1962"/>
    <mergeCell ref="D1959:D1962"/>
    <mergeCell ref="E1959:E1962"/>
    <mergeCell ref="F1959:F1962"/>
    <mergeCell ref="G1959:G1962"/>
    <mergeCell ref="H1959:H1962"/>
    <mergeCell ref="L1959:L1962"/>
    <mergeCell ref="H1953:H1955"/>
    <mergeCell ref="L1953:L1955"/>
    <mergeCell ref="M1953:M1955"/>
    <mergeCell ref="A1956:A1958"/>
    <mergeCell ref="B1956:C1958"/>
    <mergeCell ref="D1956:D1958"/>
    <mergeCell ref="E1956:E1958"/>
    <mergeCell ref="F1956:F1958"/>
    <mergeCell ref="G1956:G1958"/>
    <mergeCell ref="H1956:H1958"/>
    <mergeCell ref="H1948:H1951"/>
    <mergeCell ref="L1948:L1951"/>
    <mergeCell ref="M1948:M1951"/>
    <mergeCell ref="B1952:C1952"/>
    <mergeCell ref="A1953:A1955"/>
    <mergeCell ref="B1953:C1955"/>
    <mergeCell ref="D1953:D1955"/>
    <mergeCell ref="E1953:E1955"/>
    <mergeCell ref="F1953:F1955"/>
    <mergeCell ref="G1953:G1955"/>
    <mergeCell ref="G1945:G1947"/>
    <mergeCell ref="H1945:H1947"/>
    <mergeCell ref="L1945:L1947"/>
    <mergeCell ref="M1945:M1947"/>
    <mergeCell ref="A1948:A1951"/>
    <mergeCell ref="B1948:C1951"/>
    <mergeCell ref="D1948:D1951"/>
    <mergeCell ref="E1948:E1951"/>
    <mergeCell ref="F1948:F1951"/>
    <mergeCell ref="G1948:G1951"/>
    <mergeCell ref="H1940:H1942"/>
    <mergeCell ref="L1940:L1942"/>
    <mergeCell ref="M1940:M1942"/>
    <mergeCell ref="B1943:C1943"/>
    <mergeCell ref="B1944:C1944"/>
    <mergeCell ref="A1945:A1947"/>
    <mergeCell ref="B1945:C1947"/>
    <mergeCell ref="D1945:D1947"/>
    <mergeCell ref="E1945:E1947"/>
    <mergeCell ref="F1945:F1947"/>
    <mergeCell ref="A1940:A1942"/>
    <mergeCell ref="B1940:C1942"/>
    <mergeCell ref="D1940:D1942"/>
    <mergeCell ref="E1940:E1942"/>
    <mergeCell ref="F1940:F1942"/>
    <mergeCell ref="G1940:G1942"/>
    <mergeCell ref="M1929:M1934"/>
    <mergeCell ref="A1935:A1939"/>
    <mergeCell ref="B1935:C1939"/>
    <mergeCell ref="D1935:D1939"/>
    <mergeCell ref="E1935:E1939"/>
    <mergeCell ref="F1935:F1939"/>
    <mergeCell ref="G1935:G1939"/>
    <mergeCell ref="H1935:H1939"/>
    <mergeCell ref="L1935:L1939"/>
    <mergeCell ref="M1935:M1939"/>
    <mergeCell ref="L1924:L1928"/>
    <mergeCell ref="M1924:M1928"/>
    <mergeCell ref="A1929:A1934"/>
    <mergeCell ref="B1929:C1934"/>
    <mergeCell ref="D1929:D1934"/>
    <mergeCell ref="E1929:E1934"/>
    <mergeCell ref="F1929:F1934"/>
    <mergeCell ref="G1929:G1934"/>
    <mergeCell ref="H1929:H1934"/>
    <mergeCell ref="L1929:L1934"/>
    <mergeCell ref="H1920:H1923"/>
    <mergeCell ref="L1920:L1923"/>
    <mergeCell ref="M1920:M1923"/>
    <mergeCell ref="A1924:A1928"/>
    <mergeCell ref="B1924:C1928"/>
    <mergeCell ref="D1924:D1928"/>
    <mergeCell ref="E1924:E1928"/>
    <mergeCell ref="F1924:F1928"/>
    <mergeCell ref="G1924:G1928"/>
    <mergeCell ref="H1924:H1928"/>
    <mergeCell ref="A1920:A1923"/>
    <mergeCell ref="B1920:C1923"/>
    <mergeCell ref="D1920:D1923"/>
    <mergeCell ref="E1920:E1923"/>
    <mergeCell ref="F1920:F1923"/>
    <mergeCell ref="G1920:G1923"/>
    <mergeCell ref="M1909:M1912"/>
    <mergeCell ref="A1913:A1919"/>
    <mergeCell ref="B1913:C1919"/>
    <mergeCell ref="D1913:D1919"/>
    <mergeCell ref="E1913:E1919"/>
    <mergeCell ref="F1913:F1919"/>
    <mergeCell ref="G1913:G1919"/>
    <mergeCell ref="H1913:H1919"/>
    <mergeCell ref="L1913:L1919"/>
    <mergeCell ref="M1913:M1919"/>
    <mergeCell ref="L1905:L1908"/>
    <mergeCell ref="M1905:M1908"/>
    <mergeCell ref="A1909:A1912"/>
    <mergeCell ref="B1909:C1912"/>
    <mergeCell ref="D1909:D1912"/>
    <mergeCell ref="E1909:E1912"/>
    <mergeCell ref="F1909:F1912"/>
    <mergeCell ref="G1909:G1912"/>
    <mergeCell ref="H1909:H1912"/>
    <mergeCell ref="L1909:L1912"/>
    <mergeCell ref="H1900:H1904"/>
    <mergeCell ref="L1900:L1904"/>
    <mergeCell ref="M1900:M1904"/>
    <mergeCell ref="A1905:A1908"/>
    <mergeCell ref="B1905:C1908"/>
    <mergeCell ref="D1905:D1908"/>
    <mergeCell ref="E1905:E1908"/>
    <mergeCell ref="F1905:F1908"/>
    <mergeCell ref="G1905:G1908"/>
    <mergeCell ref="H1905:H1908"/>
    <mergeCell ref="A1900:A1904"/>
    <mergeCell ref="B1900:C1904"/>
    <mergeCell ref="D1900:D1904"/>
    <mergeCell ref="E1900:E1904"/>
    <mergeCell ref="F1900:F1904"/>
    <mergeCell ref="G1900:G1904"/>
    <mergeCell ref="M1892:M1895"/>
    <mergeCell ref="A1896:A1899"/>
    <mergeCell ref="B1896:C1899"/>
    <mergeCell ref="D1896:D1899"/>
    <mergeCell ref="E1896:E1899"/>
    <mergeCell ref="F1896:F1899"/>
    <mergeCell ref="G1896:G1899"/>
    <mergeCell ref="H1896:H1899"/>
    <mergeCell ref="L1896:L1899"/>
    <mergeCell ref="M1896:M1899"/>
    <mergeCell ref="L1887:L1891"/>
    <mergeCell ref="M1887:M1891"/>
    <mergeCell ref="A1892:A1895"/>
    <mergeCell ref="B1892:C1895"/>
    <mergeCell ref="D1892:D1895"/>
    <mergeCell ref="E1892:E1895"/>
    <mergeCell ref="F1892:F1895"/>
    <mergeCell ref="G1892:G1895"/>
    <mergeCell ref="H1892:H1895"/>
    <mergeCell ref="L1892:L1895"/>
    <mergeCell ref="H1883:H1886"/>
    <mergeCell ref="L1883:L1886"/>
    <mergeCell ref="M1883:M1886"/>
    <mergeCell ref="A1887:A1891"/>
    <mergeCell ref="B1887:C1891"/>
    <mergeCell ref="D1887:D1891"/>
    <mergeCell ref="E1887:E1891"/>
    <mergeCell ref="F1887:F1891"/>
    <mergeCell ref="G1887:G1891"/>
    <mergeCell ref="H1887:H1891"/>
    <mergeCell ref="A1883:A1886"/>
    <mergeCell ref="B1883:C1886"/>
    <mergeCell ref="D1883:D1886"/>
    <mergeCell ref="E1883:E1886"/>
    <mergeCell ref="F1883:F1886"/>
    <mergeCell ref="G1883:G1886"/>
    <mergeCell ref="M1874:M1878"/>
    <mergeCell ref="A1879:A1882"/>
    <mergeCell ref="B1879:C1882"/>
    <mergeCell ref="D1879:D1882"/>
    <mergeCell ref="E1879:E1882"/>
    <mergeCell ref="F1879:F1882"/>
    <mergeCell ref="G1879:G1882"/>
    <mergeCell ref="H1879:H1882"/>
    <mergeCell ref="L1879:L1882"/>
    <mergeCell ref="M1879:M1882"/>
    <mergeCell ref="H1865:H1873"/>
    <mergeCell ref="L1865:L1873"/>
    <mergeCell ref="A1874:A1878"/>
    <mergeCell ref="B1874:C1878"/>
    <mergeCell ref="D1874:D1878"/>
    <mergeCell ref="E1874:E1878"/>
    <mergeCell ref="F1874:F1878"/>
    <mergeCell ref="G1874:G1878"/>
    <mergeCell ref="H1874:H1878"/>
    <mergeCell ref="L1874:L1878"/>
    <mergeCell ref="A1865:A1873"/>
    <mergeCell ref="B1865:C1873"/>
    <mergeCell ref="D1865:D1873"/>
    <mergeCell ref="E1865:E1873"/>
    <mergeCell ref="F1865:F1873"/>
    <mergeCell ref="G1865:G1873"/>
    <mergeCell ref="M1852:M1857"/>
    <mergeCell ref="A1858:A1864"/>
    <mergeCell ref="B1858:C1864"/>
    <mergeCell ref="D1858:D1864"/>
    <mergeCell ref="E1858:E1864"/>
    <mergeCell ref="F1858:F1864"/>
    <mergeCell ref="G1858:G1864"/>
    <mergeCell ref="H1858:H1864"/>
    <mergeCell ref="L1858:L1864"/>
    <mergeCell ref="M1858:M1864"/>
    <mergeCell ref="L1847:L1851"/>
    <mergeCell ref="M1847:M1851"/>
    <mergeCell ref="A1852:A1857"/>
    <mergeCell ref="B1852:C1857"/>
    <mergeCell ref="D1852:D1857"/>
    <mergeCell ref="E1852:E1857"/>
    <mergeCell ref="F1852:F1857"/>
    <mergeCell ref="G1852:G1857"/>
    <mergeCell ref="H1852:H1857"/>
    <mergeCell ref="L1852:L1857"/>
    <mergeCell ref="H1844:H1846"/>
    <mergeCell ref="L1844:L1846"/>
    <mergeCell ref="M1844:M1846"/>
    <mergeCell ref="A1847:A1851"/>
    <mergeCell ref="B1847:C1851"/>
    <mergeCell ref="D1847:D1851"/>
    <mergeCell ref="E1847:E1851"/>
    <mergeCell ref="F1847:F1851"/>
    <mergeCell ref="G1847:G1851"/>
    <mergeCell ref="H1847:H1851"/>
    <mergeCell ref="G1841:G1843"/>
    <mergeCell ref="H1841:H1843"/>
    <mergeCell ref="L1841:L1843"/>
    <mergeCell ref="M1841:M1843"/>
    <mergeCell ref="A1844:A1846"/>
    <mergeCell ref="B1844:C1846"/>
    <mergeCell ref="D1844:D1846"/>
    <mergeCell ref="E1844:E1846"/>
    <mergeCell ref="F1844:F1846"/>
    <mergeCell ref="G1844:G1846"/>
    <mergeCell ref="G1835:G1839"/>
    <mergeCell ref="H1835:H1839"/>
    <mergeCell ref="L1835:L1839"/>
    <mergeCell ref="M1835:M1839"/>
    <mergeCell ref="B1840:C1840"/>
    <mergeCell ref="A1841:A1843"/>
    <mergeCell ref="B1841:C1843"/>
    <mergeCell ref="D1841:D1843"/>
    <mergeCell ref="E1841:E1843"/>
    <mergeCell ref="F1841:F1843"/>
    <mergeCell ref="H1830:H1832"/>
    <mergeCell ref="L1830:L1832"/>
    <mergeCell ref="M1830:M1832"/>
    <mergeCell ref="B1833:C1833"/>
    <mergeCell ref="B1834:C1834"/>
    <mergeCell ref="A1835:A1839"/>
    <mergeCell ref="B1835:C1839"/>
    <mergeCell ref="D1835:D1839"/>
    <mergeCell ref="E1835:E1839"/>
    <mergeCell ref="F1835:F1839"/>
    <mergeCell ref="A1830:A1832"/>
    <mergeCell ref="B1830:C1832"/>
    <mergeCell ref="D1830:D1832"/>
    <mergeCell ref="E1830:E1832"/>
    <mergeCell ref="F1830:F1832"/>
    <mergeCell ref="G1830:G1832"/>
    <mergeCell ref="M1819:M1825"/>
    <mergeCell ref="A1826:A1829"/>
    <mergeCell ref="B1826:C1829"/>
    <mergeCell ref="D1826:D1829"/>
    <mergeCell ref="E1826:E1829"/>
    <mergeCell ref="F1826:F1829"/>
    <mergeCell ref="G1826:G1829"/>
    <mergeCell ref="H1826:H1829"/>
    <mergeCell ref="L1826:L1829"/>
    <mergeCell ref="M1826:M1829"/>
    <mergeCell ref="L1812:L1818"/>
    <mergeCell ref="M1812:M1818"/>
    <mergeCell ref="A1819:A1825"/>
    <mergeCell ref="B1819:C1825"/>
    <mergeCell ref="D1819:D1825"/>
    <mergeCell ref="E1819:E1825"/>
    <mergeCell ref="F1819:F1825"/>
    <mergeCell ref="G1819:G1825"/>
    <mergeCell ref="H1819:H1825"/>
    <mergeCell ref="L1819:L1825"/>
    <mergeCell ref="H1807:H1811"/>
    <mergeCell ref="L1807:L1811"/>
    <mergeCell ref="M1807:M1811"/>
    <mergeCell ref="A1812:A1818"/>
    <mergeCell ref="B1812:C1818"/>
    <mergeCell ref="D1812:D1818"/>
    <mergeCell ref="E1812:E1818"/>
    <mergeCell ref="F1812:F1818"/>
    <mergeCell ref="G1812:G1818"/>
    <mergeCell ref="H1812:H1818"/>
    <mergeCell ref="A1807:A1811"/>
    <mergeCell ref="B1807:C1811"/>
    <mergeCell ref="D1807:D1811"/>
    <mergeCell ref="E1807:E1811"/>
    <mergeCell ref="F1807:F1811"/>
    <mergeCell ref="G1807:G1811"/>
    <mergeCell ref="M1795:M1801"/>
    <mergeCell ref="A1802:A1806"/>
    <mergeCell ref="B1802:C1806"/>
    <mergeCell ref="D1802:D1806"/>
    <mergeCell ref="E1802:E1806"/>
    <mergeCell ref="F1802:F1806"/>
    <mergeCell ref="G1802:G1806"/>
    <mergeCell ref="H1802:H1806"/>
    <mergeCell ref="L1802:L1806"/>
    <mergeCell ref="M1802:M1806"/>
    <mergeCell ref="L1792:L1794"/>
    <mergeCell ref="M1792:M1794"/>
    <mergeCell ref="A1795:A1801"/>
    <mergeCell ref="B1795:C1801"/>
    <mergeCell ref="D1795:D1801"/>
    <mergeCell ref="E1795:E1801"/>
    <mergeCell ref="F1795:F1801"/>
    <mergeCell ref="G1795:G1801"/>
    <mergeCell ref="H1795:H1801"/>
    <mergeCell ref="L1795:L1801"/>
    <mergeCell ref="H1785:H1791"/>
    <mergeCell ref="L1785:L1791"/>
    <mergeCell ref="M1785:M1791"/>
    <mergeCell ref="A1792:A1794"/>
    <mergeCell ref="B1792:C1794"/>
    <mergeCell ref="D1792:D1794"/>
    <mergeCell ref="E1792:E1794"/>
    <mergeCell ref="F1792:F1794"/>
    <mergeCell ref="G1792:G1794"/>
    <mergeCell ref="H1792:H1794"/>
    <mergeCell ref="A1785:A1791"/>
    <mergeCell ref="B1785:C1791"/>
    <mergeCell ref="D1785:D1791"/>
    <mergeCell ref="E1785:E1791"/>
    <mergeCell ref="F1785:F1791"/>
    <mergeCell ref="G1785:G1791"/>
    <mergeCell ref="M1772:M1776"/>
    <mergeCell ref="A1777:A1784"/>
    <mergeCell ref="B1777:C1784"/>
    <mergeCell ref="D1777:D1784"/>
    <mergeCell ref="E1777:E1784"/>
    <mergeCell ref="F1777:F1784"/>
    <mergeCell ref="G1777:G1784"/>
    <mergeCell ref="H1777:H1784"/>
    <mergeCell ref="L1777:L1784"/>
    <mergeCell ref="M1777:M1784"/>
    <mergeCell ref="L1769:L1771"/>
    <mergeCell ref="M1769:M1771"/>
    <mergeCell ref="A1772:A1776"/>
    <mergeCell ref="B1772:C1776"/>
    <mergeCell ref="D1772:D1776"/>
    <mergeCell ref="E1772:E1776"/>
    <mergeCell ref="F1772:F1776"/>
    <mergeCell ref="G1772:G1776"/>
    <mergeCell ref="H1772:H1776"/>
    <mergeCell ref="L1772:L1776"/>
    <mergeCell ref="H1766:H1768"/>
    <mergeCell ref="L1766:L1768"/>
    <mergeCell ref="M1766:M1768"/>
    <mergeCell ref="A1769:A1771"/>
    <mergeCell ref="B1769:C1771"/>
    <mergeCell ref="D1769:D1771"/>
    <mergeCell ref="E1769:E1771"/>
    <mergeCell ref="F1769:F1771"/>
    <mergeCell ref="G1769:G1771"/>
    <mergeCell ref="H1769:H1771"/>
    <mergeCell ref="A1766:A1768"/>
    <mergeCell ref="B1766:C1768"/>
    <mergeCell ref="D1766:D1768"/>
    <mergeCell ref="E1766:E1768"/>
    <mergeCell ref="F1766:F1768"/>
    <mergeCell ref="G1766:G1768"/>
    <mergeCell ref="M1751:M1758"/>
    <mergeCell ref="A1759:A1765"/>
    <mergeCell ref="B1759:C1765"/>
    <mergeCell ref="D1759:D1765"/>
    <mergeCell ref="E1759:E1765"/>
    <mergeCell ref="F1759:F1765"/>
    <mergeCell ref="G1759:G1765"/>
    <mergeCell ref="H1759:H1765"/>
    <mergeCell ref="L1759:L1765"/>
    <mergeCell ref="M1759:M1765"/>
    <mergeCell ref="L1745:L1750"/>
    <mergeCell ref="M1745:M1750"/>
    <mergeCell ref="A1751:A1758"/>
    <mergeCell ref="B1751:C1758"/>
    <mergeCell ref="D1751:D1758"/>
    <mergeCell ref="E1751:E1758"/>
    <mergeCell ref="F1751:F1758"/>
    <mergeCell ref="G1751:G1758"/>
    <mergeCell ref="H1751:H1758"/>
    <mergeCell ref="L1751:L1758"/>
    <mergeCell ref="H1737:H1744"/>
    <mergeCell ref="L1737:L1744"/>
    <mergeCell ref="M1737:M1744"/>
    <mergeCell ref="A1745:A1750"/>
    <mergeCell ref="B1745:C1750"/>
    <mergeCell ref="D1745:D1750"/>
    <mergeCell ref="E1745:E1750"/>
    <mergeCell ref="F1745:F1750"/>
    <mergeCell ref="G1745:G1750"/>
    <mergeCell ref="H1745:H1750"/>
    <mergeCell ref="A1737:A1744"/>
    <mergeCell ref="B1737:C1744"/>
    <mergeCell ref="D1737:D1744"/>
    <mergeCell ref="E1737:E1744"/>
    <mergeCell ref="F1737:F1744"/>
    <mergeCell ref="G1737:G1744"/>
    <mergeCell ref="M1725:M1732"/>
    <mergeCell ref="A1733:A1736"/>
    <mergeCell ref="B1733:C1736"/>
    <mergeCell ref="D1733:D1736"/>
    <mergeCell ref="E1733:E1736"/>
    <mergeCell ref="F1733:F1736"/>
    <mergeCell ref="G1733:G1736"/>
    <mergeCell ref="H1733:H1736"/>
    <mergeCell ref="L1733:L1736"/>
    <mergeCell ref="M1733:M1736"/>
    <mergeCell ref="L1721:L1724"/>
    <mergeCell ref="M1721:M1724"/>
    <mergeCell ref="A1725:A1732"/>
    <mergeCell ref="B1725:C1732"/>
    <mergeCell ref="D1725:D1732"/>
    <mergeCell ref="E1725:E1732"/>
    <mergeCell ref="F1725:F1732"/>
    <mergeCell ref="G1725:G1732"/>
    <mergeCell ref="H1725:H1732"/>
    <mergeCell ref="L1725:L1732"/>
    <mergeCell ref="H1716:H1720"/>
    <mergeCell ref="L1716:L1720"/>
    <mergeCell ref="M1716:M1720"/>
    <mergeCell ref="A1721:A1724"/>
    <mergeCell ref="B1721:C1724"/>
    <mergeCell ref="D1721:D1724"/>
    <mergeCell ref="E1721:E1724"/>
    <mergeCell ref="F1721:F1724"/>
    <mergeCell ref="G1721:G1724"/>
    <mergeCell ref="H1721:H1724"/>
    <mergeCell ref="L1709:L1713"/>
    <mergeCell ref="M1709:M1713"/>
    <mergeCell ref="B1714:C1714"/>
    <mergeCell ref="B1715:C1715"/>
    <mergeCell ref="A1716:A1720"/>
    <mergeCell ref="B1716:C1720"/>
    <mergeCell ref="D1716:D1720"/>
    <mergeCell ref="E1716:E1720"/>
    <mergeCell ref="F1716:F1720"/>
    <mergeCell ref="G1716:G1720"/>
    <mergeCell ref="H1704:H1708"/>
    <mergeCell ref="L1704:L1708"/>
    <mergeCell ref="M1704:M1708"/>
    <mergeCell ref="A1709:A1713"/>
    <mergeCell ref="B1709:C1713"/>
    <mergeCell ref="D1709:D1713"/>
    <mergeCell ref="E1709:E1713"/>
    <mergeCell ref="F1709:F1713"/>
    <mergeCell ref="G1709:G1713"/>
    <mergeCell ref="H1709:H1713"/>
    <mergeCell ref="A1704:A1708"/>
    <mergeCell ref="B1704:C1708"/>
    <mergeCell ref="D1704:D1708"/>
    <mergeCell ref="E1704:E1708"/>
    <mergeCell ref="F1704:F1708"/>
    <mergeCell ref="G1704:G1708"/>
    <mergeCell ref="M1695:M1699"/>
    <mergeCell ref="A1700:A1703"/>
    <mergeCell ref="B1700:C1703"/>
    <mergeCell ref="D1700:D1703"/>
    <mergeCell ref="E1700:E1703"/>
    <mergeCell ref="F1700:F1703"/>
    <mergeCell ref="G1700:G1703"/>
    <mergeCell ref="H1700:H1703"/>
    <mergeCell ref="L1700:L1703"/>
    <mergeCell ref="M1700:M1703"/>
    <mergeCell ref="L1691:L1694"/>
    <mergeCell ref="M1691:M1694"/>
    <mergeCell ref="A1695:A1699"/>
    <mergeCell ref="B1695:C1699"/>
    <mergeCell ref="D1695:D1699"/>
    <mergeCell ref="E1695:E1699"/>
    <mergeCell ref="F1695:F1699"/>
    <mergeCell ref="G1695:G1699"/>
    <mergeCell ref="H1695:H1699"/>
    <mergeCell ref="L1695:L1699"/>
    <mergeCell ref="H1686:H1690"/>
    <mergeCell ref="L1686:L1690"/>
    <mergeCell ref="M1686:M1690"/>
    <mergeCell ref="A1691:A1694"/>
    <mergeCell ref="B1691:C1694"/>
    <mergeCell ref="D1691:D1694"/>
    <mergeCell ref="E1691:E1694"/>
    <mergeCell ref="F1691:F1694"/>
    <mergeCell ref="G1691:G1694"/>
    <mergeCell ref="H1691:H1694"/>
    <mergeCell ref="A1686:A1690"/>
    <mergeCell ref="B1686:C1690"/>
    <mergeCell ref="D1686:D1690"/>
    <mergeCell ref="E1686:E1690"/>
    <mergeCell ref="F1686:F1690"/>
    <mergeCell ref="G1686:G1690"/>
    <mergeCell ref="M1678:M1682"/>
    <mergeCell ref="A1683:A1685"/>
    <mergeCell ref="B1683:C1685"/>
    <mergeCell ref="D1683:D1685"/>
    <mergeCell ref="E1683:E1685"/>
    <mergeCell ref="F1683:F1685"/>
    <mergeCell ref="G1683:G1685"/>
    <mergeCell ref="H1683:H1685"/>
    <mergeCell ref="L1683:L1685"/>
    <mergeCell ref="M1683:M1685"/>
    <mergeCell ref="L1673:L1677"/>
    <mergeCell ref="M1673:M1677"/>
    <mergeCell ref="A1678:A1682"/>
    <mergeCell ref="B1678:C1682"/>
    <mergeCell ref="D1678:D1682"/>
    <mergeCell ref="E1678:E1682"/>
    <mergeCell ref="F1678:F1682"/>
    <mergeCell ref="G1678:G1682"/>
    <mergeCell ref="H1678:H1682"/>
    <mergeCell ref="L1678:L1682"/>
    <mergeCell ref="H1669:H1672"/>
    <mergeCell ref="L1669:L1672"/>
    <mergeCell ref="M1669:M1672"/>
    <mergeCell ref="A1673:A1677"/>
    <mergeCell ref="B1673:C1677"/>
    <mergeCell ref="D1673:D1677"/>
    <mergeCell ref="E1673:E1677"/>
    <mergeCell ref="F1673:F1677"/>
    <mergeCell ref="G1673:G1677"/>
    <mergeCell ref="H1673:H1677"/>
    <mergeCell ref="A1669:A1672"/>
    <mergeCell ref="B1669:C1672"/>
    <mergeCell ref="D1669:D1672"/>
    <mergeCell ref="E1669:E1672"/>
    <mergeCell ref="F1669:F1672"/>
    <mergeCell ref="G1669:G1672"/>
    <mergeCell ref="M1657:M1660"/>
    <mergeCell ref="A1661:A1668"/>
    <mergeCell ref="B1661:C1668"/>
    <mergeCell ref="D1661:D1668"/>
    <mergeCell ref="E1661:E1668"/>
    <mergeCell ref="F1661:F1668"/>
    <mergeCell ref="G1661:G1668"/>
    <mergeCell ref="H1661:H1668"/>
    <mergeCell ref="L1661:L1668"/>
    <mergeCell ref="M1661:M1668"/>
    <mergeCell ref="D1657:D1660"/>
    <mergeCell ref="E1657:E1660"/>
    <mergeCell ref="F1657:F1660"/>
    <mergeCell ref="G1657:G1660"/>
    <mergeCell ref="H1657:H1660"/>
    <mergeCell ref="L1657:L1660"/>
    <mergeCell ref="B1652:C1652"/>
    <mergeCell ref="B1653:C1653"/>
    <mergeCell ref="B1654:C1654"/>
    <mergeCell ref="B1655:C1655"/>
    <mergeCell ref="B1656:C1656"/>
    <mergeCell ref="A1657:A1660"/>
    <mergeCell ref="B1657:C1660"/>
    <mergeCell ref="L1640:L1647"/>
    <mergeCell ref="M1640:M1647"/>
    <mergeCell ref="B1648:C1648"/>
    <mergeCell ref="B1649:C1649"/>
    <mergeCell ref="B1650:C1650"/>
    <mergeCell ref="B1651:C1651"/>
    <mergeCell ref="H1632:H1639"/>
    <mergeCell ref="L1632:L1639"/>
    <mergeCell ref="M1632:M1639"/>
    <mergeCell ref="A1640:A1647"/>
    <mergeCell ref="B1640:C1647"/>
    <mergeCell ref="D1640:D1647"/>
    <mergeCell ref="E1640:E1647"/>
    <mergeCell ref="F1640:F1647"/>
    <mergeCell ref="G1640:G1647"/>
    <mergeCell ref="H1640:H1647"/>
    <mergeCell ref="A1632:A1639"/>
    <mergeCell ref="B1632:C1639"/>
    <mergeCell ref="D1632:D1639"/>
    <mergeCell ref="E1632:E1639"/>
    <mergeCell ref="F1632:F1639"/>
    <mergeCell ref="G1632:G1639"/>
    <mergeCell ref="M1612:M1624"/>
    <mergeCell ref="A1625:A1631"/>
    <mergeCell ref="B1625:C1631"/>
    <mergeCell ref="D1625:D1631"/>
    <mergeCell ref="E1625:E1631"/>
    <mergeCell ref="F1625:F1631"/>
    <mergeCell ref="G1625:G1631"/>
    <mergeCell ref="H1625:H1631"/>
    <mergeCell ref="L1625:L1631"/>
    <mergeCell ref="M1625:M1631"/>
    <mergeCell ref="L1606:L1611"/>
    <mergeCell ref="M1606:M1611"/>
    <mergeCell ref="A1612:A1624"/>
    <mergeCell ref="B1612:C1624"/>
    <mergeCell ref="D1612:D1624"/>
    <mergeCell ref="E1612:E1624"/>
    <mergeCell ref="F1612:F1624"/>
    <mergeCell ref="G1612:G1624"/>
    <mergeCell ref="H1612:H1624"/>
    <mergeCell ref="L1612:L1624"/>
    <mergeCell ref="H1592:H1605"/>
    <mergeCell ref="L1592:L1605"/>
    <mergeCell ref="M1592:M1605"/>
    <mergeCell ref="A1606:A1611"/>
    <mergeCell ref="B1606:C1611"/>
    <mergeCell ref="D1606:D1611"/>
    <mergeCell ref="E1606:E1611"/>
    <mergeCell ref="F1606:F1611"/>
    <mergeCell ref="G1606:G1611"/>
    <mergeCell ref="H1606:H1611"/>
    <mergeCell ref="A1592:A1605"/>
    <mergeCell ref="B1592:C1605"/>
    <mergeCell ref="D1592:D1605"/>
    <mergeCell ref="E1592:E1605"/>
    <mergeCell ref="F1592:F1605"/>
    <mergeCell ref="G1592:G1605"/>
    <mergeCell ref="M1571:M1580"/>
    <mergeCell ref="A1581:A1591"/>
    <mergeCell ref="B1581:C1591"/>
    <mergeCell ref="D1581:D1591"/>
    <mergeCell ref="E1581:E1591"/>
    <mergeCell ref="F1581:F1591"/>
    <mergeCell ref="G1581:G1591"/>
    <mergeCell ref="H1581:H1591"/>
    <mergeCell ref="L1581:L1591"/>
    <mergeCell ref="M1581:M1591"/>
    <mergeCell ref="L1567:L1570"/>
    <mergeCell ref="M1567:M1570"/>
    <mergeCell ref="A1571:A1580"/>
    <mergeCell ref="B1571:C1580"/>
    <mergeCell ref="D1571:D1580"/>
    <mergeCell ref="E1571:E1580"/>
    <mergeCell ref="F1571:F1580"/>
    <mergeCell ref="G1571:G1580"/>
    <mergeCell ref="H1571:H1580"/>
    <mergeCell ref="L1571:L1580"/>
    <mergeCell ref="H1560:H1566"/>
    <mergeCell ref="L1560:L1566"/>
    <mergeCell ref="M1560:M1566"/>
    <mergeCell ref="A1567:A1570"/>
    <mergeCell ref="B1567:C1570"/>
    <mergeCell ref="D1567:D1570"/>
    <mergeCell ref="E1567:E1570"/>
    <mergeCell ref="F1567:F1570"/>
    <mergeCell ref="G1567:G1570"/>
    <mergeCell ref="H1567:H1570"/>
    <mergeCell ref="A1560:A1566"/>
    <mergeCell ref="B1560:C1566"/>
    <mergeCell ref="D1560:D1566"/>
    <mergeCell ref="E1560:E1566"/>
    <mergeCell ref="F1560:F1566"/>
    <mergeCell ref="G1560:G1566"/>
    <mergeCell ref="M1551:M1556"/>
    <mergeCell ref="A1557:A1559"/>
    <mergeCell ref="B1557:C1559"/>
    <mergeCell ref="D1557:D1559"/>
    <mergeCell ref="E1557:E1559"/>
    <mergeCell ref="F1557:F1559"/>
    <mergeCell ref="G1557:G1559"/>
    <mergeCell ref="H1557:H1559"/>
    <mergeCell ref="L1557:L1559"/>
    <mergeCell ref="M1557:M1559"/>
    <mergeCell ref="L1549:L1550"/>
    <mergeCell ref="M1549:M1550"/>
    <mergeCell ref="A1551:A1556"/>
    <mergeCell ref="B1551:C1556"/>
    <mergeCell ref="D1551:D1556"/>
    <mergeCell ref="E1551:E1556"/>
    <mergeCell ref="F1551:F1556"/>
    <mergeCell ref="G1551:G1556"/>
    <mergeCell ref="H1551:H1556"/>
    <mergeCell ref="L1551:L1556"/>
    <mergeCell ref="H1546:H1548"/>
    <mergeCell ref="L1546:L1548"/>
    <mergeCell ref="M1546:M1548"/>
    <mergeCell ref="A1549:A1550"/>
    <mergeCell ref="B1549:C1550"/>
    <mergeCell ref="D1549:D1550"/>
    <mergeCell ref="E1549:E1550"/>
    <mergeCell ref="F1549:F1550"/>
    <mergeCell ref="G1549:G1550"/>
    <mergeCell ref="H1549:H1550"/>
    <mergeCell ref="A1546:A1548"/>
    <mergeCell ref="B1546:C1548"/>
    <mergeCell ref="D1546:D1548"/>
    <mergeCell ref="E1546:E1548"/>
    <mergeCell ref="F1546:F1548"/>
    <mergeCell ref="G1546:G1548"/>
    <mergeCell ref="M1535:M1541"/>
    <mergeCell ref="A1542:A1545"/>
    <mergeCell ref="B1542:C1545"/>
    <mergeCell ref="D1542:D1545"/>
    <mergeCell ref="E1542:E1545"/>
    <mergeCell ref="F1542:F1545"/>
    <mergeCell ref="G1542:G1545"/>
    <mergeCell ref="H1542:H1545"/>
    <mergeCell ref="L1542:L1545"/>
    <mergeCell ref="M1542:M1545"/>
    <mergeCell ref="L1531:L1534"/>
    <mergeCell ref="M1531:M1534"/>
    <mergeCell ref="A1535:A1541"/>
    <mergeCell ref="B1535:C1541"/>
    <mergeCell ref="D1535:D1541"/>
    <mergeCell ref="E1535:E1541"/>
    <mergeCell ref="F1535:F1541"/>
    <mergeCell ref="G1535:G1541"/>
    <mergeCell ref="H1535:H1541"/>
    <mergeCell ref="L1535:L1541"/>
    <mergeCell ref="H1524:H1530"/>
    <mergeCell ref="L1524:L1530"/>
    <mergeCell ref="M1524:M1530"/>
    <mergeCell ref="A1531:A1534"/>
    <mergeCell ref="B1531:C1534"/>
    <mergeCell ref="D1531:D1534"/>
    <mergeCell ref="E1531:E1534"/>
    <mergeCell ref="F1531:F1534"/>
    <mergeCell ref="G1531:G1534"/>
    <mergeCell ref="H1531:H1534"/>
    <mergeCell ref="A1524:A1530"/>
    <mergeCell ref="B1524:C1530"/>
    <mergeCell ref="D1524:D1530"/>
    <mergeCell ref="E1524:E1530"/>
    <mergeCell ref="F1524:F1530"/>
    <mergeCell ref="G1524:G1530"/>
    <mergeCell ref="M1513:M1517"/>
    <mergeCell ref="A1518:A1523"/>
    <mergeCell ref="B1518:C1523"/>
    <mergeCell ref="D1518:D1523"/>
    <mergeCell ref="E1518:E1523"/>
    <mergeCell ref="F1518:F1523"/>
    <mergeCell ref="G1518:G1523"/>
    <mergeCell ref="H1518:H1523"/>
    <mergeCell ref="L1518:L1523"/>
    <mergeCell ref="M1518:M1523"/>
    <mergeCell ref="L1508:L1512"/>
    <mergeCell ref="M1508:M1512"/>
    <mergeCell ref="A1513:A1517"/>
    <mergeCell ref="B1513:C1517"/>
    <mergeCell ref="D1513:D1517"/>
    <mergeCell ref="E1513:E1517"/>
    <mergeCell ref="F1513:F1517"/>
    <mergeCell ref="G1513:G1517"/>
    <mergeCell ref="H1513:H1517"/>
    <mergeCell ref="L1513:L1517"/>
    <mergeCell ref="H1505:H1507"/>
    <mergeCell ref="L1505:L1507"/>
    <mergeCell ref="M1505:M1507"/>
    <mergeCell ref="A1508:A1512"/>
    <mergeCell ref="B1508:C1512"/>
    <mergeCell ref="D1508:D1512"/>
    <mergeCell ref="E1508:E1512"/>
    <mergeCell ref="F1508:F1512"/>
    <mergeCell ref="G1508:G1512"/>
    <mergeCell ref="H1508:H1512"/>
    <mergeCell ref="A1505:A1507"/>
    <mergeCell ref="B1505:C1507"/>
    <mergeCell ref="D1505:D1507"/>
    <mergeCell ref="E1505:E1507"/>
    <mergeCell ref="F1505:F1507"/>
    <mergeCell ref="G1505:G1507"/>
    <mergeCell ref="M1493:M1500"/>
    <mergeCell ref="A1501:A1504"/>
    <mergeCell ref="B1501:C1504"/>
    <mergeCell ref="D1501:D1504"/>
    <mergeCell ref="E1501:E1504"/>
    <mergeCell ref="F1501:F1504"/>
    <mergeCell ref="G1501:G1504"/>
    <mergeCell ref="H1501:H1504"/>
    <mergeCell ref="L1501:L1504"/>
    <mergeCell ref="M1501:M1504"/>
    <mergeCell ref="L1488:L1492"/>
    <mergeCell ref="M1488:M1492"/>
    <mergeCell ref="A1493:A1500"/>
    <mergeCell ref="B1493:C1500"/>
    <mergeCell ref="D1493:D1500"/>
    <mergeCell ref="E1493:E1500"/>
    <mergeCell ref="F1493:F1500"/>
    <mergeCell ref="G1493:G1500"/>
    <mergeCell ref="H1493:H1500"/>
    <mergeCell ref="L1493:L1500"/>
    <mergeCell ref="H1481:H1487"/>
    <mergeCell ref="L1481:L1487"/>
    <mergeCell ref="M1481:M1487"/>
    <mergeCell ref="A1488:A1492"/>
    <mergeCell ref="B1488:C1492"/>
    <mergeCell ref="D1488:D1492"/>
    <mergeCell ref="E1488:E1492"/>
    <mergeCell ref="F1488:F1492"/>
    <mergeCell ref="G1488:G1492"/>
    <mergeCell ref="H1488:H1492"/>
    <mergeCell ref="A1481:A1487"/>
    <mergeCell ref="B1481:C1487"/>
    <mergeCell ref="D1481:D1487"/>
    <mergeCell ref="E1481:E1487"/>
    <mergeCell ref="F1481:F1487"/>
    <mergeCell ref="G1481:G1487"/>
    <mergeCell ref="M1467:M1473"/>
    <mergeCell ref="A1474:A1480"/>
    <mergeCell ref="B1474:C1480"/>
    <mergeCell ref="D1474:D1480"/>
    <mergeCell ref="E1474:E1480"/>
    <mergeCell ref="F1474:F1480"/>
    <mergeCell ref="G1474:G1480"/>
    <mergeCell ref="H1474:H1480"/>
    <mergeCell ref="L1474:L1480"/>
    <mergeCell ref="M1474:M1480"/>
    <mergeCell ref="L1462:L1466"/>
    <mergeCell ref="M1462:M1466"/>
    <mergeCell ref="A1467:A1473"/>
    <mergeCell ref="B1467:C1473"/>
    <mergeCell ref="D1467:D1473"/>
    <mergeCell ref="E1467:E1473"/>
    <mergeCell ref="F1467:F1473"/>
    <mergeCell ref="G1467:G1473"/>
    <mergeCell ref="H1467:H1473"/>
    <mergeCell ref="L1467:L1473"/>
    <mergeCell ref="H1457:H1461"/>
    <mergeCell ref="L1457:L1461"/>
    <mergeCell ref="M1457:M1461"/>
    <mergeCell ref="A1462:A1466"/>
    <mergeCell ref="B1462:C1466"/>
    <mergeCell ref="D1462:D1466"/>
    <mergeCell ref="E1462:E1466"/>
    <mergeCell ref="F1462:F1466"/>
    <mergeCell ref="G1462:G1466"/>
    <mergeCell ref="H1462:H1466"/>
    <mergeCell ref="G1452:G1456"/>
    <mergeCell ref="H1452:H1456"/>
    <mergeCell ref="L1452:L1456"/>
    <mergeCell ref="M1452:M1456"/>
    <mergeCell ref="A1457:A1461"/>
    <mergeCell ref="B1457:C1461"/>
    <mergeCell ref="D1457:D1461"/>
    <mergeCell ref="E1457:E1461"/>
    <mergeCell ref="F1457:F1461"/>
    <mergeCell ref="G1457:G1461"/>
    <mergeCell ref="F1447:F1451"/>
    <mergeCell ref="G1447:G1451"/>
    <mergeCell ref="H1447:H1451"/>
    <mergeCell ref="L1447:L1451"/>
    <mergeCell ref="M1447:M1451"/>
    <mergeCell ref="A1452:A1456"/>
    <mergeCell ref="B1452:C1456"/>
    <mergeCell ref="D1452:D1456"/>
    <mergeCell ref="E1452:E1456"/>
    <mergeCell ref="F1452:F1456"/>
    <mergeCell ref="B1445:C1445"/>
    <mergeCell ref="B1446:C1446"/>
    <mergeCell ref="A1447:A1451"/>
    <mergeCell ref="B1447:C1451"/>
    <mergeCell ref="D1447:D1451"/>
    <mergeCell ref="E1447:E1451"/>
    <mergeCell ref="M1433:M1439"/>
    <mergeCell ref="A1440:A1444"/>
    <mergeCell ref="B1440:C1444"/>
    <mergeCell ref="D1440:D1444"/>
    <mergeCell ref="E1440:E1444"/>
    <mergeCell ref="F1440:F1444"/>
    <mergeCell ref="G1440:G1444"/>
    <mergeCell ref="H1440:H1444"/>
    <mergeCell ref="L1440:L1444"/>
    <mergeCell ref="M1440:M1444"/>
    <mergeCell ref="L1427:L1432"/>
    <mergeCell ref="M1427:M1432"/>
    <mergeCell ref="A1433:A1439"/>
    <mergeCell ref="B1433:C1439"/>
    <mergeCell ref="D1433:D1439"/>
    <mergeCell ref="E1433:E1439"/>
    <mergeCell ref="F1433:F1439"/>
    <mergeCell ref="G1433:G1439"/>
    <mergeCell ref="H1433:H1439"/>
    <mergeCell ref="L1433:L1439"/>
    <mergeCell ref="H1423:H1426"/>
    <mergeCell ref="L1423:L1426"/>
    <mergeCell ref="M1423:M1426"/>
    <mergeCell ref="A1427:A1432"/>
    <mergeCell ref="B1427:C1432"/>
    <mergeCell ref="D1427:D1432"/>
    <mergeCell ref="E1427:E1432"/>
    <mergeCell ref="F1427:F1432"/>
    <mergeCell ref="G1427:G1432"/>
    <mergeCell ref="H1427:H1432"/>
    <mergeCell ref="A1423:A1426"/>
    <mergeCell ref="B1423:C1426"/>
    <mergeCell ref="D1423:D1426"/>
    <mergeCell ref="E1423:E1426"/>
    <mergeCell ref="F1423:F1426"/>
    <mergeCell ref="G1423:G1426"/>
    <mergeCell ref="M1417:M1419"/>
    <mergeCell ref="A1420:A1422"/>
    <mergeCell ref="B1420:C1422"/>
    <mergeCell ref="D1420:D1422"/>
    <mergeCell ref="E1420:E1422"/>
    <mergeCell ref="F1420:F1422"/>
    <mergeCell ref="G1420:G1422"/>
    <mergeCell ref="H1420:H1422"/>
    <mergeCell ref="L1420:L1422"/>
    <mergeCell ref="M1420:M1422"/>
    <mergeCell ref="L1414:L1416"/>
    <mergeCell ref="M1414:M1416"/>
    <mergeCell ref="A1417:A1419"/>
    <mergeCell ref="B1417:C1419"/>
    <mergeCell ref="D1417:D1419"/>
    <mergeCell ref="E1417:E1419"/>
    <mergeCell ref="F1417:F1419"/>
    <mergeCell ref="G1417:G1419"/>
    <mergeCell ref="H1417:H1419"/>
    <mergeCell ref="L1417:L1419"/>
    <mergeCell ref="H1411:H1413"/>
    <mergeCell ref="L1411:L1413"/>
    <mergeCell ref="M1411:M1413"/>
    <mergeCell ref="A1414:A1416"/>
    <mergeCell ref="B1414:C1416"/>
    <mergeCell ref="D1414:D1416"/>
    <mergeCell ref="E1414:E1416"/>
    <mergeCell ref="F1414:F1416"/>
    <mergeCell ref="G1414:G1416"/>
    <mergeCell ref="H1414:H1416"/>
    <mergeCell ref="L1406:L1408"/>
    <mergeCell ref="M1406:M1408"/>
    <mergeCell ref="B1409:C1409"/>
    <mergeCell ref="B1410:C1410"/>
    <mergeCell ref="A1411:A1413"/>
    <mergeCell ref="B1411:C1413"/>
    <mergeCell ref="D1411:D1413"/>
    <mergeCell ref="E1411:E1413"/>
    <mergeCell ref="F1411:F1413"/>
    <mergeCell ref="G1411:G1413"/>
    <mergeCell ref="H1403:H1405"/>
    <mergeCell ref="L1403:L1405"/>
    <mergeCell ref="M1403:M1405"/>
    <mergeCell ref="A1406:A1408"/>
    <mergeCell ref="B1406:C1408"/>
    <mergeCell ref="D1406:D1408"/>
    <mergeCell ref="E1406:E1408"/>
    <mergeCell ref="F1406:F1408"/>
    <mergeCell ref="G1406:G1408"/>
    <mergeCell ref="H1406:H1408"/>
    <mergeCell ref="A1403:A1405"/>
    <mergeCell ref="B1403:C1405"/>
    <mergeCell ref="D1403:D1405"/>
    <mergeCell ref="E1403:E1405"/>
    <mergeCell ref="F1403:F1405"/>
    <mergeCell ref="G1403:G1405"/>
    <mergeCell ref="M1391:M1399"/>
    <mergeCell ref="A1400:A1402"/>
    <mergeCell ref="B1400:C1402"/>
    <mergeCell ref="D1400:D1402"/>
    <mergeCell ref="E1400:E1402"/>
    <mergeCell ref="F1400:F1402"/>
    <mergeCell ref="G1400:G1402"/>
    <mergeCell ref="H1400:H1402"/>
    <mergeCell ref="L1400:L1402"/>
    <mergeCell ref="M1400:M1402"/>
    <mergeCell ref="L1382:L1390"/>
    <mergeCell ref="M1382:M1390"/>
    <mergeCell ref="A1391:A1399"/>
    <mergeCell ref="B1391:C1399"/>
    <mergeCell ref="D1391:D1399"/>
    <mergeCell ref="E1391:E1399"/>
    <mergeCell ref="F1391:F1399"/>
    <mergeCell ref="G1391:G1399"/>
    <mergeCell ref="H1391:H1399"/>
    <mergeCell ref="L1391:L1399"/>
    <mergeCell ref="H1378:H1381"/>
    <mergeCell ref="L1378:L1381"/>
    <mergeCell ref="M1378:M1381"/>
    <mergeCell ref="A1382:A1390"/>
    <mergeCell ref="B1382:C1390"/>
    <mergeCell ref="D1382:D1390"/>
    <mergeCell ref="E1382:E1390"/>
    <mergeCell ref="F1382:F1390"/>
    <mergeCell ref="G1382:G1390"/>
    <mergeCell ref="H1382:H1390"/>
    <mergeCell ref="A1378:A1381"/>
    <mergeCell ref="B1378:C1381"/>
    <mergeCell ref="D1378:D1381"/>
    <mergeCell ref="E1378:E1381"/>
    <mergeCell ref="F1378:F1381"/>
    <mergeCell ref="G1378:G1381"/>
    <mergeCell ref="M1368:M1373"/>
    <mergeCell ref="A1374:A1377"/>
    <mergeCell ref="B1374:C1377"/>
    <mergeCell ref="D1374:D1377"/>
    <mergeCell ref="E1374:E1377"/>
    <mergeCell ref="F1374:F1377"/>
    <mergeCell ref="G1374:G1377"/>
    <mergeCell ref="H1374:H1377"/>
    <mergeCell ref="L1374:L1377"/>
    <mergeCell ref="M1374:M1377"/>
    <mergeCell ref="L1360:L1367"/>
    <mergeCell ref="M1360:M1367"/>
    <mergeCell ref="A1368:A1373"/>
    <mergeCell ref="B1368:C1373"/>
    <mergeCell ref="D1368:D1373"/>
    <mergeCell ref="E1368:E1373"/>
    <mergeCell ref="F1368:F1373"/>
    <mergeCell ref="G1368:G1373"/>
    <mergeCell ref="H1368:H1373"/>
    <mergeCell ref="L1368:L1373"/>
    <mergeCell ref="H1355:H1359"/>
    <mergeCell ref="L1355:L1359"/>
    <mergeCell ref="M1355:M1359"/>
    <mergeCell ref="A1360:A1367"/>
    <mergeCell ref="B1360:C1367"/>
    <mergeCell ref="D1360:D1367"/>
    <mergeCell ref="E1360:E1367"/>
    <mergeCell ref="F1360:F1367"/>
    <mergeCell ref="G1360:G1367"/>
    <mergeCell ref="H1360:H1367"/>
    <mergeCell ref="A1355:A1359"/>
    <mergeCell ref="B1355:C1359"/>
    <mergeCell ref="D1355:D1359"/>
    <mergeCell ref="E1355:E1359"/>
    <mergeCell ref="F1355:F1359"/>
    <mergeCell ref="G1355:G1359"/>
    <mergeCell ref="M1347:M1350"/>
    <mergeCell ref="A1351:A1354"/>
    <mergeCell ref="B1351:C1354"/>
    <mergeCell ref="D1351:D1354"/>
    <mergeCell ref="E1351:E1354"/>
    <mergeCell ref="F1351:F1354"/>
    <mergeCell ref="G1351:G1354"/>
    <mergeCell ref="H1351:H1354"/>
    <mergeCell ref="L1351:L1354"/>
    <mergeCell ref="M1351:M1354"/>
    <mergeCell ref="L1343:L1346"/>
    <mergeCell ref="M1343:M1346"/>
    <mergeCell ref="A1347:A1350"/>
    <mergeCell ref="B1347:C1350"/>
    <mergeCell ref="D1347:D1350"/>
    <mergeCell ref="E1347:E1350"/>
    <mergeCell ref="F1347:F1350"/>
    <mergeCell ref="G1347:G1350"/>
    <mergeCell ref="H1347:H1350"/>
    <mergeCell ref="L1347:L1350"/>
    <mergeCell ref="H1339:H1342"/>
    <mergeCell ref="L1339:L1342"/>
    <mergeCell ref="M1339:M1342"/>
    <mergeCell ref="A1343:A1346"/>
    <mergeCell ref="B1343:C1346"/>
    <mergeCell ref="D1343:D1346"/>
    <mergeCell ref="E1343:E1346"/>
    <mergeCell ref="F1343:F1346"/>
    <mergeCell ref="G1343:G1346"/>
    <mergeCell ref="H1343:H1346"/>
    <mergeCell ref="M1328:M1335"/>
    <mergeCell ref="B1336:C1336"/>
    <mergeCell ref="B1337:C1337"/>
    <mergeCell ref="B1338:C1338"/>
    <mergeCell ref="A1339:A1342"/>
    <mergeCell ref="B1339:C1342"/>
    <mergeCell ref="D1339:D1342"/>
    <mergeCell ref="E1339:E1342"/>
    <mergeCell ref="F1339:F1342"/>
    <mergeCell ref="G1339:G1342"/>
    <mergeCell ref="L1324:L1327"/>
    <mergeCell ref="M1324:M1327"/>
    <mergeCell ref="A1328:A1335"/>
    <mergeCell ref="B1328:C1335"/>
    <mergeCell ref="D1328:D1335"/>
    <mergeCell ref="E1328:E1335"/>
    <mergeCell ref="F1328:F1335"/>
    <mergeCell ref="G1328:G1335"/>
    <mergeCell ref="H1328:H1335"/>
    <mergeCell ref="L1328:L1335"/>
    <mergeCell ref="H1320:H1323"/>
    <mergeCell ref="L1320:L1323"/>
    <mergeCell ref="M1320:M1323"/>
    <mergeCell ref="A1324:A1327"/>
    <mergeCell ref="B1324:C1327"/>
    <mergeCell ref="D1324:D1327"/>
    <mergeCell ref="E1324:E1327"/>
    <mergeCell ref="F1324:F1327"/>
    <mergeCell ref="G1324:G1327"/>
    <mergeCell ref="H1324:H1327"/>
    <mergeCell ref="G1317:G1319"/>
    <mergeCell ref="H1317:H1319"/>
    <mergeCell ref="L1317:L1319"/>
    <mergeCell ref="M1317:M1319"/>
    <mergeCell ref="A1320:A1323"/>
    <mergeCell ref="B1320:C1323"/>
    <mergeCell ref="D1320:D1323"/>
    <mergeCell ref="E1320:E1323"/>
    <mergeCell ref="F1320:F1323"/>
    <mergeCell ref="G1320:G1323"/>
    <mergeCell ref="M1295:M1301"/>
    <mergeCell ref="A1302:A1316"/>
    <mergeCell ref="B1302:C1316"/>
    <mergeCell ref="L1302:L1316"/>
    <mergeCell ref="M1302:M1316"/>
    <mergeCell ref="A1317:A1319"/>
    <mergeCell ref="B1317:C1319"/>
    <mergeCell ref="D1317:D1319"/>
    <mergeCell ref="E1317:E1319"/>
    <mergeCell ref="F1317:F1319"/>
    <mergeCell ref="L1289:L1294"/>
    <mergeCell ref="M1289:M1294"/>
    <mergeCell ref="A1295:A1301"/>
    <mergeCell ref="B1295:C1301"/>
    <mergeCell ref="D1295:D1301"/>
    <mergeCell ref="E1295:E1301"/>
    <mergeCell ref="F1295:F1301"/>
    <mergeCell ref="G1295:G1301"/>
    <mergeCell ref="H1295:H1301"/>
    <mergeCell ref="L1295:L1301"/>
    <mergeCell ref="L1278:L1286"/>
    <mergeCell ref="B1287:C1287"/>
    <mergeCell ref="B1288:C1288"/>
    <mergeCell ref="A1289:A1294"/>
    <mergeCell ref="B1289:C1294"/>
    <mergeCell ref="D1289:D1294"/>
    <mergeCell ref="E1289:E1294"/>
    <mergeCell ref="F1289:F1294"/>
    <mergeCell ref="G1289:G1294"/>
    <mergeCell ref="H1289:H1294"/>
    <mergeCell ref="H1273:H1277"/>
    <mergeCell ref="L1273:L1277"/>
    <mergeCell ref="M1273:M1277"/>
    <mergeCell ref="A1278:A1286"/>
    <mergeCell ref="B1278:C1286"/>
    <mergeCell ref="D1278:D1286"/>
    <mergeCell ref="E1278:E1286"/>
    <mergeCell ref="F1278:F1286"/>
    <mergeCell ref="G1278:G1286"/>
    <mergeCell ref="H1278:H1286"/>
    <mergeCell ref="A1273:A1277"/>
    <mergeCell ref="B1273:C1277"/>
    <mergeCell ref="D1273:D1277"/>
    <mergeCell ref="E1273:E1277"/>
    <mergeCell ref="F1273:F1277"/>
    <mergeCell ref="G1273:G1277"/>
    <mergeCell ref="M1263:M1267"/>
    <mergeCell ref="A1268:A1272"/>
    <mergeCell ref="B1268:C1272"/>
    <mergeCell ref="D1268:D1272"/>
    <mergeCell ref="E1268:E1272"/>
    <mergeCell ref="F1268:F1272"/>
    <mergeCell ref="G1268:G1272"/>
    <mergeCell ref="H1268:H1272"/>
    <mergeCell ref="L1268:L1272"/>
    <mergeCell ref="M1268:M1272"/>
    <mergeCell ref="L1259:L1262"/>
    <mergeCell ref="M1259:M1262"/>
    <mergeCell ref="A1263:A1267"/>
    <mergeCell ref="B1263:C1267"/>
    <mergeCell ref="D1263:D1267"/>
    <mergeCell ref="E1263:E1267"/>
    <mergeCell ref="F1263:F1267"/>
    <mergeCell ref="G1263:G1267"/>
    <mergeCell ref="H1263:H1267"/>
    <mergeCell ref="L1263:L1267"/>
    <mergeCell ref="H1255:H1258"/>
    <mergeCell ref="L1255:L1258"/>
    <mergeCell ref="M1255:M1258"/>
    <mergeCell ref="A1259:A1262"/>
    <mergeCell ref="B1259:C1262"/>
    <mergeCell ref="D1259:D1262"/>
    <mergeCell ref="E1259:E1262"/>
    <mergeCell ref="F1259:F1262"/>
    <mergeCell ref="G1259:G1262"/>
    <mergeCell ref="H1259:H1262"/>
    <mergeCell ref="G1252:G1254"/>
    <mergeCell ref="H1252:H1254"/>
    <mergeCell ref="L1252:L1254"/>
    <mergeCell ref="M1252:M1254"/>
    <mergeCell ref="A1255:A1258"/>
    <mergeCell ref="B1255:C1258"/>
    <mergeCell ref="D1255:D1258"/>
    <mergeCell ref="E1255:E1258"/>
    <mergeCell ref="F1255:F1258"/>
    <mergeCell ref="G1255:G1258"/>
    <mergeCell ref="H1245:H1249"/>
    <mergeCell ref="L1245:L1249"/>
    <mergeCell ref="M1245:M1249"/>
    <mergeCell ref="B1250:C1250"/>
    <mergeCell ref="B1251:C1251"/>
    <mergeCell ref="A1252:A1254"/>
    <mergeCell ref="B1252:C1254"/>
    <mergeCell ref="D1252:D1254"/>
    <mergeCell ref="E1252:E1254"/>
    <mergeCell ref="F1252:F1254"/>
    <mergeCell ref="G1239:G1244"/>
    <mergeCell ref="H1239:H1244"/>
    <mergeCell ref="L1239:L1244"/>
    <mergeCell ref="M1239:M1244"/>
    <mergeCell ref="A1245:A1249"/>
    <mergeCell ref="B1245:C1249"/>
    <mergeCell ref="D1245:D1249"/>
    <mergeCell ref="E1245:E1249"/>
    <mergeCell ref="F1245:F1249"/>
    <mergeCell ref="G1245:G1249"/>
    <mergeCell ref="G1235:G1237"/>
    <mergeCell ref="H1235:H1237"/>
    <mergeCell ref="L1235:L1237"/>
    <mergeCell ref="M1235:M1237"/>
    <mergeCell ref="B1238:C1238"/>
    <mergeCell ref="A1239:A1244"/>
    <mergeCell ref="B1239:C1244"/>
    <mergeCell ref="D1239:D1244"/>
    <mergeCell ref="E1239:E1244"/>
    <mergeCell ref="F1239:F1244"/>
    <mergeCell ref="F1227:F1234"/>
    <mergeCell ref="G1227:G1234"/>
    <mergeCell ref="H1227:H1234"/>
    <mergeCell ref="L1227:L1234"/>
    <mergeCell ref="M1227:M1234"/>
    <mergeCell ref="A1235:A1237"/>
    <mergeCell ref="B1235:C1237"/>
    <mergeCell ref="D1235:D1237"/>
    <mergeCell ref="E1235:E1237"/>
    <mergeCell ref="F1235:F1237"/>
    <mergeCell ref="B1225:C1225"/>
    <mergeCell ref="B1226:C1226"/>
    <mergeCell ref="A1227:A1234"/>
    <mergeCell ref="B1227:C1234"/>
    <mergeCell ref="D1227:D1234"/>
    <mergeCell ref="E1227:E1234"/>
    <mergeCell ref="M1215:M1219"/>
    <mergeCell ref="A1220:A1224"/>
    <mergeCell ref="B1220:C1224"/>
    <mergeCell ref="D1220:D1224"/>
    <mergeCell ref="E1220:E1224"/>
    <mergeCell ref="F1220:F1224"/>
    <mergeCell ref="G1220:G1224"/>
    <mergeCell ref="H1220:H1224"/>
    <mergeCell ref="L1220:L1224"/>
    <mergeCell ref="M1220:M1224"/>
    <mergeCell ref="L1210:L1214"/>
    <mergeCell ref="M1210:M1214"/>
    <mergeCell ref="A1215:A1219"/>
    <mergeCell ref="B1215:C1219"/>
    <mergeCell ref="D1215:D1219"/>
    <mergeCell ref="E1215:E1219"/>
    <mergeCell ref="F1215:F1219"/>
    <mergeCell ref="G1215:G1219"/>
    <mergeCell ref="H1215:H1219"/>
    <mergeCell ref="L1215:L1219"/>
    <mergeCell ref="H1205:H1209"/>
    <mergeCell ref="L1205:L1209"/>
    <mergeCell ref="M1205:M1209"/>
    <mergeCell ref="A1210:A1214"/>
    <mergeCell ref="B1210:C1214"/>
    <mergeCell ref="D1210:D1214"/>
    <mergeCell ref="E1210:E1214"/>
    <mergeCell ref="F1210:F1214"/>
    <mergeCell ref="G1210:G1214"/>
    <mergeCell ref="H1210:H1214"/>
    <mergeCell ref="A1205:A1209"/>
    <mergeCell ref="B1205:C1209"/>
    <mergeCell ref="D1205:D1209"/>
    <mergeCell ref="E1205:E1209"/>
    <mergeCell ref="F1205:F1209"/>
    <mergeCell ref="G1205:G1209"/>
    <mergeCell ref="M1189:M1195"/>
    <mergeCell ref="A1196:A1204"/>
    <mergeCell ref="B1196:C1204"/>
    <mergeCell ref="D1196:D1204"/>
    <mergeCell ref="E1196:E1204"/>
    <mergeCell ref="F1196:F1204"/>
    <mergeCell ref="G1196:G1204"/>
    <mergeCell ref="H1196:H1204"/>
    <mergeCell ref="L1196:L1204"/>
    <mergeCell ref="M1196:M1204"/>
    <mergeCell ref="L1186:L1188"/>
    <mergeCell ref="M1186:M1188"/>
    <mergeCell ref="A1189:A1195"/>
    <mergeCell ref="B1189:C1195"/>
    <mergeCell ref="D1189:D1195"/>
    <mergeCell ref="E1189:E1195"/>
    <mergeCell ref="F1189:F1195"/>
    <mergeCell ref="G1189:G1195"/>
    <mergeCell ref="H1189:H1195"/>
    <mergeCell ref="L1189:L1195"/>
    <mergeCell ref="H1180:H1185"/>
    <mergeCell ref="L1180:L1185"/>
    <mergeCell ref="M1180:M1185"/>
    <mergeCell ref="A1186:A1188"/>
    <mergeCell ref="B1186:C1188"/>
    <mergeCell ref="D1186:D1188"/>
    <mergeCell ref="E1186:E1188"/>
    <mergeCell ref="F1186:F1188"/>
    <mergeCell ref="G1186:G1188"/>
    <mergeCell ref="H1186:H1188"/>
    <mergeCell ref="A1180:A1185"/>
    <mergeCell ref="B1180:C1185"/>
    <mergeCell ref="D1180:D1185"/>
    <mergeCell ref="E1180:E1185"/>
    <mergeCell ref="F1180:F1185"/>
    <mergeCell ref="G1180:G1185"/>
    <mergeCell ref="M1167:M1174"/>
    <mergeCell ref="A1175:A1179"/>
    <mergeCell ref="B1175:C1179"/>
    <mergeCell ref="D1175:D1179"/>
    <mergeCell ref="E1175:E1179"/>
    <mergeCell ref="F1175:F1179"/>
    <mergeCell ref="G1175:G1179"/>
    <mergeCell ref="H1175:H1179"/>
    <mergeCell ref="L1175:L1179"/>
    <mergeCell ref="M1175:M1179"/>
    <mergeCell ref="L1159:L1166"/>
    <mergeCell ref="M1159:M1166"/>
    <mergeCell ref="A1167:A1174"/>
    <mergeCell ref="B1167:C1174"/>
    <mergeCell ref="D1167:D1174"/>
    <mergeCell ref="E1167:E1174"/>
    <mergeCell ref="F1167:F1174"/>
    <mergeCell ref="G1167:G1174"/>
    <mergeCell ref="H1167:H1174"/>
    <mergeCell ref="L1167:L1174"/>
    <mergeCell ref="H1151:H1158"/>
    <mergeCell ref="L1151:L1158"/>
    <mergeCell ref="M1151:M1158"/>
    <mergeCell ref="A1159:A1166"/>
    <mergeCell ref="B1159:C1166"/>
    <mergeCell ref="D1159:D1166"/>
    <mergeCell ref="E1159:E1166"/>
    <mergeCell ref="F1159:F1166"/>
    <mergeCell ref="G1159:G1166"/>
    <mergeCell ref="H1159:H1166"/>
    <mergeCell ref="G1144:G1150"/>
    <mergeCell ref="H1144:H1150"/>
    <mergeCell ref="L1144:L1150"/>
    <mergeCell ref="M1144:M1150"/>
    <mergeCell ref="A1151:A1158"/>
    <mergeCell ref="B1151:C1158"/>
    <mergeCell ref="D1151:D1158"/>
    <mergeCell ref="E1151:E1158"/>
    <mergeCell ref="F1151:F1158"/>
    <mergeCell ref="G1151:G1158"/>
    <mergeCell ref="B1143:C1143"/>
    <mergeCell ref="A1144:A1150"/>
    <mergeCell ref="B1144:C1150"/>
    <mergeCell ref="D1144:D1150"/>
    <mergeCell ref="E1144:E1150"/>
    <mergeCell ref="F1144:F1150"/>
    <mergeCell ref="M1134:M1137"/>
    <mergeCell ref="A1138:A1142"/>
    <mergeCell ref="B1138:C1142"/>
    <mergeCell ref="D1138:D1142"/>
    <mergeCell ref="E1138:E1142"/>
    <mergeCell ref="F1138:F1142"/>
    <mergeCell ref="G1138:G1142"/>
    <mergeCell ref="H1138:H1142"/>
    <mergeCell ref="L1138:L1142"/>
    <mergeCell ref="M1138:M1142"/>
    <mergeCell ref="L1130:L1133"/>
    <mergeCell ref="M1130:M1133"/>
    <mergeCell ref="A1134:A1137"/>
    <mergeCell ref="B1134:C1137"/>
    <mergeCell ref="D1134:D1137"/>
    <mergeCell ref="E1134:E1137"/>
    <mergeCell ref="F1134:F1137"/>
    <mergeCell ref="G1134:G1137"/>
    <mergeCell ref="H1134:H1137"/>
    <mergeCell ref="L1134:L1137"/>
    <mergeCell ref="H1122:H1129"/>
    <mergeCell ref="L1122:L1129"/>
    <mergeCell ref="M1122:M1129"/>
    <mergeCell ref="A1130:A1133"/>
    <mergeCell ref="B1130:C1133"/>
    <mergeCell ref="D1130:D1133"/>
    <mergeCell ref="E1130:E1133"/>
    <mergeCell ref="F1130:F1133"/>
    <mergeCell ref="G1130:G1133"/>
    <mergeCell ref="H1130:H1133"/>
    <mergeCell ref="A1122:A1129"/>
    <mergeCell ref="B1122:C1129"/>
    <mergeCell ref="D1122:D1129"/>
    <mergeCell ref="E1122:E1129"/>
    <mergeCell ref="F1122:F1129"/>
    <mergeCell ref="G1122:G1129"/>
    <mergeCell ref="M1109:M1113"/>
    <mergeCell ref="A1114:A1121"/>
    <mergeCell ref="B1114:C1121"/>
    <mergeCell ref="D1114:D1121"/>
    <mergeCell ref="E1114:E1121"/>
    <mergeCell ref="F1114:F1121"/>
    <mergeCell ref="G1114:G1121"/>
    <mergeCell ref="H1114:H1121"/>
    <mergeCell ref="L1114:L1121"/>
    <mergeCell ref="M1114:M1121"/>
    <mergeCell ref="L1102:L1108"/>
    <mergeCell ref="M1102:M1108"/>
    <mergeCell ref="A1109:A1113"/>
    <mergeCell ref="B1109:C1113"/>
    <mergeCell ref="D1109:D1113"/>
    <mergeCell ref="E1109:E1113"/>
    <mergeCell ref="F1109:F1113"/>
    <mergeCell ref="G1109:G1113"/>
    <mergeCell ref="H1109:H1113"/>
    <mergeCell ref="L1109:L1113"/>
    <mergeCell ref="H1097:H1101"/>
    <mergeCell ref="L1097:L1101"/>
    <mergeCell ref="M1097:M1101"/>
    <mergeCell ref="A1102:A1108"/>
    <mergeCell ref="B1102:C1108"/>
    <mergeCell ref="D1102:D1108"/>
    <mergeCell ref="E1102:E1108"/>
    <mergeCell ref="F1102:F1108"/>
    <mergeCell ref="G1102:G1108"/>
    <mergeCell ref="H1102:H1108"/>
    <mergeCell ref="A1097:A1101"/>
    <mergeCell ref="B1097:C1101"/>
    <mergeCell ref="D1097:D1101"/>
    <mergeCell ref="E1097:E1101"/>
    <mergeCell ref="F1097:F1101"/>
    <mergeCell ref="G1097:G1101"/>
    <mergeCell ref="M1085:M1090"/>
    <mergeCell ref="A1091:A1096"/>
    <mergeCell ref="B1091:C1096"/>
    <mergeCell ref="D1091:D1096"/>
    <mergeCell ref="E1091:E1096"/>
    <mergeCell ref="F1091:F1096"/>
    <mergeCell ref="G1091:G1096"/>
    <mergeCell ref="H1091:H1096"/>
    <mergeCell ref="L1091:L1096"/>
    <mergeCell ref="M1091:M1096"/>
    <mergeCell ref="L1080:L1084"/>
    <mergeCell ref="M1080:M1084"/>
    <mergeCell ref="A1085:A1090"/>
    <mergeCell ref="B1085:C1090"/>
    <mergeCell ref="D1085:D1090"/>
    <mergeCell ref="E1085:E1090"/>
    <mergeCell ref="F1085:F1090"/>
    <mergeCell ref="G1085:G1090"/>
    <mergeCell ref="H1085:H1090"/>
    <mergeCell ref="L1085:L1090"/>
    <mergeCell ref="H1075:H1079"/>
    <mergeCell ref="L1075:L1079"/>
    <mergeCell ref="M1075:M1079"/>
    <mergeCell ref="A1080:A1084"/>
    <mergeCell ref="B1080:C1084"/>
    <mergeCell ref="D1080:D1084"/>
    <mergeCell ref="E1080:E1084"/>
    <mergeCell ref="F1080:F1084"/>
    <mergeCell ref="G1080:G1084"/>
    <mergeCell ref="H1080:H1084"/>
    <mergeCell ref="A1075:A1079"/>
    <mergeCell ref="B1075:C1079"/>
    <mergeCell ref="D1075:D1079"/>
    <mergeCell ref="E1075:E1079"/>
    <mergeCell ref="F1075:F1079"/>
    <mergeCell ref="G1075:G1079"/>
    <mergeCell ref="M1068:M1070"/>
    <mergeCell ref="A1071:A1074"/>
    <mergeCell ref="B1071:C1074"/>
    <mergeCell ref="D1071:D1074"/>
    <mergeCell ref="E1071:E1074"/>
    <mergeCell ref="F1071:F1074"/>
    <mergeCell ref="G1071:G1074"/>
    <mergeCell ref="H1071:H1074"/>
    <mergeCell ref="L1071:L1074"/>
    <mergeCell ref="M1071:M1074"/>
    <mergeCell ref="D1068:D1070"/>
    <mergeCell ref="E1068:E1070"/>
    <mergeCell ref="F1068:F1070"/>
    <mergeCell ref="G1068:G1070"/>
    <mergeCell ref="H1068:H1070"/>
    <mergeCell ref="L1068:L1070"/>
    <mergeCell ref="B1064:C1064"/>
    <mergeCell ref="B1065:C1065"/>
    <mergeCell ref="B1066:C1066"/>
    <mergeCell ref="B1067:C1067"/>
    <mergeCell ref="A1068:A1070"/>
    <mergeCell ref="B1068:C1070"/>
    <mergeCell ref="M1056:M1060"/>
    <mergeCell ref="A1061:A1063"/>
    <mergeCell ref="B1061:C1063"/>
    <mergeCell ref="D1061:D1063"/>
    <mergeCell ref="E1061:E1063"/>
    <mergeCell ref="F1061:F1063"/>
    <mergeCell ref="G1061:G1063"/>
    <mergeCell ref="H1061:H1063"/>
    <mergeCell ref="L1061:L1063"/>
    <mergeCell ref="M1061:M1063"/>
    <mergeCell ref="L1046:L1055"/>
    <mergeCell ref="M1046:M1055"/>
    <mergeCell ref="A1056:A1060"/>
    <mergeCell ref="B1056:C1060"/>
    <mergeCell ref="D1056:D1060"/>
    <mergeCell ref="E1056:E1060"/>
    <mergeCell ref="F1056:F1060"/>
    <mergeCell ref="G1056:G1060"/>
    <mergeCell ref="H1056:H1060"/>
    <mergeCell ref="L1056:L1060"/>
    <mergeCell ref="H1042:H1045"/>
    <mergeCell ref="L1042:L1045"/>
    <mergeCell ref="M1042:M1045"/>
    <mergeCell ref="A1046:A1055"/>
    <mergeCell ref="B1046:C1055"/>
    <mergeCell ref="D1046:D1055"/>
    <mergeCell ref="E1046:E1055"/>
    <mergeCell ref="F1046:F1055"/>
    <mergeCell ref="G1046:G1055"/>
    <mergeCell ref="H1046:H1055"/>
    <mergeCell ref="A1042:A1045"/>
    <mergeCell ref="B1042:C1045"/>
    <mergeCell ref="D1042:D1045"/>
    <mergeCell ref="E1042:E1045"/>
    <mergeCell ref="F1042:F1045"/>
    <mergeCell ref="G1042:G1045"/>
    <mergeCell ref="M1028:M1035"/>
    <mergeCell ref="A1036:A1041"/>
    <mergeCell ref="B1036:C1041"/>
    <mergeCell ref="D1036:D1041"/>
    <mergeCell ref="E1036:E1041"/>
    <mergeCell ref="F1036:F1041"/>
    <mergeCell ref="G1036:G1041"/>
    <mergeCell ref="H1036:H1041"/>
    <mergeCell ref="L1036:L1041"/>
    <mergeCell ref="M1036:M1041"/>
    <mergeCell ref="L1022:L1027"/>
    <mergeCell ref="M1022:M1027"/>
    <mergeCell ref="A1028:A1035"/>
    <mergeCell ref="B1028:C1035"/>
    <mergeCell ref="D1028:D1035"/>
    <mergeCell ref="E1028:E1035"/>
    <mergeCell ref="F1028:F1035"/>
    <mergeCell ref="G1028:G1035"/>
    <mergeCell ref="H1028:H1035"/>
    <mergeCell ref="L1028:L1035"/>
    <mergeCell ref="L1017:L1020"/>
    <mergeCell ref="M1017:M1020"/>
    <mergeCell ref="B1021:C1021"/>
    <mergeCell ref="A1022:A1027"/>
    <mergeCell ref="B1022:C1027"/>
    <mergeCell ref="D1022:D1027"/>
    <mergeCell ref="E1022:E1027"/>
    <mergeCell ref="F1022:F1027"/>
    <mergeCell ref="G1022:G1027"/>
    <mergeCell ref="H1022:H1027"/>
    <mergeCell ref="H1013:H1016"/>
    <mergeCell ref="L1013:L1016"/>
    <mergeCell ref="M1013:M1016"/>
    <mergeCell ref="A1017:A1020"/>
    <mergeCell ref="B1017:C1020"/>
    <mergeCell ref="D1017:D1020"/>
    <mergeCell ref="E1017:E1020"/>
    <mergeCell ref="F1017:F1020"/>
    <mergeCell ref="G1017:G1020"/>
    <mergeCell ref="H1017:H1020"/>
    <mergeCell ref="G1010:G1012"/>
    <mergeCell ref="H1010:H1012"/>
    <mergeCell ref="L1010:L1012"/>
    <mergeCell ref="M1010:M1012"/>
    <mergeCell ref="A1013:A1016"/>
    <mergeCell ref="B1013:C1016"/>
    <mergeCell ref="D1013:D1016"/>
    <mergeCell ref="E1013:E1016"/>
    <mergeCell ref="F1013:F1016"/>
    <mergeCell ref="G1013:G1016"/>
    <mergeCell ref="G1004:G1008"/>
    <mergeCell ref="H1004:H1008"/>
    <mergeCell ref="L1004:L1008"/>
    <mergeCell ref="M1004:M1008"/>
    <mergeCell ref="B1009:C1009"/>
    <mergeCell ref="A1010:A1012"/>
    <mergeCell ref="B1010:C1012"/>
    <mergeCell ref="D1010:D1012"/>
    <mergeCell ref="E1010:E1012"/>
    <mergeCell ref="F1010:F1012"/>
    <mergeCell ref="F1000:F1003"/>
    <mergeCell ref="G1000:G1003"/>
    <mergeCell ref="H1000:H1003"/>
    <mergeCell ref="L1000:L1003"/>
    <mergeCell ref="M1000:M1003"/>
    <mergeCell ref="A1004:A1008"/>
    <mergeCell ref="B1004:C1008"/>
    <mergeCell ref="D1004:D1008"/>
    <mergeCell ref="E1004:E1008"/>
    <mergeCell ref="F1004:F1008"/>
    <mergeCell ref="B998:C998"/>
    <mergeCell ref="B999:C999"/>
    <mergeCell ref="A1000:A1003"/>
    <mergeCell ref="B1000:C1003"/>
    <mergeCell ref="D1000:D1003"/>
    <mergeCell ref="E1000:E1003"/>
    <mergeCell ref="M984:M990"/>
    <mergeCell ref="A991:A997"/>
    <mergeCell ref="B991:C997"/>
    <mergeCell ref="D991:D997"/>
    <mergeCell ref="E991:E997"/>
    <mergeCell ref="F991:F997"/>
    <mergeCell ref="G991:G997"/>
    <mergeCell ref="H991:H997"/>
    <mergeCell ref="L991:L997"/>
    <mergeCell ref="M991:M997"/>
    <mergeCell ref="L980:L983"/>
    <mergeCell ref="M980:M983"/>
    <mergeCell ref="A984:A990"/>
    <mergeCell ref="B984:C990"/>
    <mergeCell ref="D984:D990"/>
    <mergeCell ref="E984:E990"/>
    <mergeCell ref="F984:F990"/>
    <mergeCell ref="G984:G990"/>
    <mergeCell ref="H984:H990"/>
    <mergeCell ref="L984:L990"/>
    <mergeCell ref="H975:H979"/>
    <mergeCell ref="L975:L979"/>
    <mergeCell ref="M975:M979"/>
    <mergeCell ref="A980:A983"/>
    <mergeCell ref="B980:C983"/>
    <mergeCell ref="D980:D983"/>
    <mergeCell ref="E980:E983"/>
    <mergeCell ref="F980:F983"/>
    <mergeCell ref="G980:G983"/>
    <mergeCell ref="H980:H983"/>
    <mergeCell ref="G970:G974"/>
    <mergeCell ref="H970:H974"/>
    <mergeCell ref="L970:L974"/>
    <mergeCell ref="M970:M974"/>
    <mergeCell ref="A975:A979"/>
    <mergeCell ref="B975:C979"/>
    <mergeCell ref="D975:D979"/>
    <mergeCell ref="E975:E979"/>
    <mergeCell ref="F975:F979"/>
    <mergeCell ref="G975:G979"/>
    <mergeCell ref="B969:C969"/>
    <mergeCell ref="A970:A974"/>
    <mergeCell ref="B970:C974"/>
    <mergeCell ref="D970:D974"/>
    <mergeCell ref="E970:E974"/>
    <mergeCell ref="F970:F974"/>
    <mergeCell ref="L958:L964"/>
    <mergeCell ref="M958:M964"/>
    <mergeCell ref="B965:C965"/>
    <mergeCell ref="B966:C966"/>
    <mergeCell ref="B967:C967"/>
    <mergeCell ref="B968:C968"/>
    <mergeCell ref="H955:H957"/>
    <mergeCell ref="L955:L957"/>
    <mergeCell ref="M955:M957"/>
    <mergeCell ref="A958:A964"/>
    <mergeCell ref="B958:C964"/>
    <mergeCell ref="D958:D964"/>
    <mergeCell ref="E958:E964"/>
    <mergeCell ref="F958:F964"/>
    <mergeCell ref="G958:G964"/>
    <mergeCell ref="H958:H964"/>
    <mergeCell ref="M948:M951"/>
    <mergeCell ref="B952:C952"/>
    <mergeCell ref="B953:C953"/>
    <mergeCell ref="B954:C954"/>
    <mergeCell ref="A955:A957"/>
    <mergeCell ref="B955:C957"/>
    <mergeCell ref="D955:D957"/>
    <mergeCell ref="E955:E957"/>
    <mergeCell ref="F955:F957"/>
    <mergeCell ref="G955:G957"/>
    <mergeCell ref="L944:L947"/>
    <mergeCell ref="M944:M947"/>
    <mergeCell ref="A948:A951"/>
    <mergeCell ref="B948:C951"/>
    <mergeCell ref="D948:D951"/>
    <mergeCell ref="E948:E951"/>
    <mergeCell ref="F948:F951"/>
    <mergeCell ref="G948:G951"/>
    <mergeCell ref="H948:H951"/>
    <mergeCell ref="L948:L951"/>
    <mergeCell ref="H941:H943"/>
    <mergeCell ref="L941:L943"/>
    <mergeCell ref="M941:M943"/>
    <mergeCell ref="A944:A947"/>
    <mergeCell ref="B944:C947"/>
    <mergeCell ref="D944:D947"/>
    <mergeCell ref="E944:E947"/>
    <mergeCell ref="F944:F947"/>
    <mergeCell ref="G944:G947"/>
    <mergeCell ref="H944:H947"/>
    <mergeCell ref="M932:M937"/>
    <mergeCell ref="B938:C938"/>
    <mergeCell ref="B939:C939"/>
    <mergeCell ref="B940:C940"/>
    <mergeCell ref="A941:A943"/>
    <mergeCell ref="B941:C943"/>
    <mergeCell ref="D941:D943"/>
    <mergeCell ref="E941:E943"/>
    <mergeCell ref="F941:F943"/>
    <mergeCell ref="G941:G943"/>
    <mergeCell ref="L927:L931"/>
    <mergeCell ref="M927:M931"/>
    <mergeCell ref="A932:A937"/>
    <mergeCell ref="B932:C937"/>
    <mergeCell ref="D932:D937"/>
    <mergeCell ref="E932:E937"/>
    <mergeCell ref="F932:F937"/>
    <mergeCell ref="G932:G937"/>
    <mergeCell ref="H932:H937"/>
    <mergeCell ref="L932:L937"/>
    <mergeCell ref="M920:M924"/>
    <mergeCell ref="B925:C925"/>
    <mergeCell ref="B926:C926"/>
    <mergeCell ref="A927:A931"/>
    <mergeCell ref="B927:C931"/>
    <mergeCell ref="D927:D931"/>
    <mergeCell ref="E927:E931"/>
    <mergeCell ref="F927:F931"/>
    <mergeCell ref="G927:G931"/>
    <mergeCell ref="H927:H931"/>
    <mergeCell ref="D920:D924"/>
    <mergeCell ref="E920:E924"/>
    <mergeCell ref="F920:F924"/>
    <mergeCell ref="G920:G924"/>
    <mergeCell ref="H920:H924"/>
    <mergeCell ref="L920:L924"/>
    <mergeCell ref="B916:C916"/>
    <mergeCell ref="B917:C917"/>
    <mergeCell ref="B918:C918"/>
    <mergeCell ref="B919:C919"/>
    <mergeCell ref="A920:A924"/>
    <mergeCell ref="B920:C924"/>
    <mergeCell ref="H909:H912"/>
    <mergeCell ref="L909:L912"/>
    <mergeCell ref="M909:M912"/>
    <mergeCell ref="B913:C913"/>
    <mergeCell ref="B914:C914"/>
    <mergeCell ref="B915:C915"/>
    <mergeCell ref="A909:A912"/>
    <mergeCell ref="B909:C912"/>
    <mergeCell ref="D909:D912"/>
    <mergeCell ref="E909:E912"/>
    <mergeCell ref="F909:F912"/>
    <mergeCell ref="G909:G912"/>
    <mergeCell ref="M902:M904"/>
    <mergeCell ref="A905:A908"/>
    <mergeCell ref="B905:C908"/>
    <mergeCell ref="D905:D908"/>
    <mergeCell ref="E905:E908"/>
    <mergeCell ref="F905:F908"/>
    <mergeCell ref="G905:G908"/>
    <mergeCell ref="H905:H908"/>
    <mergeCell ref="L905:L908"/>
    <mergeCell ref="M905:M908"/>
    <mergeCell ref="L898:L901"/>
    <mergeCell ref="M898:M901"/>
    <mergeCell ref="A902:A904"/>
    <mergeCell ref="B902:C904"/>
    <mergeCell ref="D902:D904"/>
    <mergeCell ref="E902:E904"/>
    <mergeCell ref="F902:F904"/>
    <mergeCell ref="G902:G904"/>
    <mergeCell ref="H902:H904"/>
    <mergeCell ref="L902:L904"/>
    <mergeCell ref="L894:L896"/>
    <mergeCell ref="M894:M896"/>
    <mergeCell ref="B897:C897"/>
    <mergeCell ref="A898:A901"/>
    <mergeCell ref="B898:C901"/>
    <mergeCell ref="D898:D901"/>
    <mergeCell ref="E898:E901"/>
    <mergeCell ref="F898:F901"/>
    <mergeCell ref="G898:G901"/>
    <mergeCell ref="H898:H901"/>
    <mergeCell ref="H891:H893"/>
    <mergeCell ref="L891:L893"/>
    <mergeCell ref="M891:M893"/>
    <mergeCell ref="A894:A896"/>
    <mergeCell ref="B894:C896"/>
    <mergeCell ref="D894:D896"/>
    <mergeCell ref="E894:E896"/>
    <mergeCell ref="F894:F896"/>
    <mergeCell ref="G894:G896"/>
    <mergeCell ref="H894:H896"/>
    <mergeCell ref="A891:A893"/>
    <mergeCell ref="B891:C893"/>
    <mergeCell ref="D891:D893"/>
    <mergeCell ref="E891:E893"/>
    <mergeCell ref="F891:F893"/>
    <mergeCell ref="G891:G893"/>
    <mergeCell ref="M878:M884"/>
    <mergeCell ref="A885:A890"/>
    <mergeCell ref="B885:C890"/>
    <mergeCell ref="D885:D890"/>
    <mergeCell ref="E885:E890"/>
    <mergeCell ref="F885:F890"/>
    <mergeCell ref="G885:G890"/>
    <mergeCell ref="H885:H890"/>
    <mergeCell ref="L885:L890"/>
    <mergeCell ref="M885:M890"/>
    <mergeCell ref="L872:L877"/>
    <mergeCell ref="M872:M877"/>
    <mergeCell ref="A878:A884"/>
    <mergeCell ref="B878:C884"/>
    <mergeCell ref="D878:D884"/>
    <mergeCell ref="E878:E884"/>
    <mergeCell ref="F878:F884"/>
    <mergeCell ref="G878:G884"/>
    <mergeCell ref="H878:H884"/>
    <mergeCell ref="L878:L884"/>
    <mergeCell ref="H865:H871"/>
    <mergeCell ref="L865:L871"/>
    <mergeCell ref="M865:M871"/>
    <mergeCell ref="A872:A877"/>
    <mergeCell ref="B872:C877"/>
    <mergeCell ref="D872:D877"/>
    <mergeCell ref="E872:E877"/>
    <mergeCell ref="F872:F877"/>
    <mergeCell ref="G872:G877"/>
    <mergeCell ref="H872:H877"/>
    <mergeCell ref="A865:A871"/>
    <mergeCell ref="B865:C871"/>
    <mergeCell ref="D865:D871"/>
    <mergeCell ref="E865:E871"/>
    <mergeCell ref="F865:F871"/>
    <mergeCell ref="G865:G871"/>
    <mergeCell ref="F858:F863"/>
    <mergeCell ref="G858:G863"/>
    <mergeCell ref="H858:H863"/>
    <mergeCell ref="L858:L863"/>
    <mergeCell ref="M858:M863"/>
    <mergeCell ref="B864:C864"/>
    <mergeCell ref="B856:C856"/>
    <mergeCell ref="B857:C857"/>
    <mergeCell ref="A858:A863"/>
    <mergeCell ref="B858:C863"/>
    <mergeCell ref="D858:D863"/>
    <mergeCell ref="E858:E863"/>
    <mergeCell ref="E851:E855"/>
    <mergeCell ref="F851:F855"/>
    <mergeCell ref="G851:G855"/>
    <mergeCell ref="H851:H855"/>
    <mergeCell ref="L851:L855"/>
    <mergeCell ref="M851:M855"/>
    <mergeCell ref="B848:C848"/>
    <mergeCell ref="B849:C849"/>
    <mergeCell ref="B850:C850"/>
    <mergeCell ref="A851:A855"/>
    <mergeCell ref="B851:C855"/>
    <mergeCell ref="D851:D855"/>
    <mergeCell ref="L839:L843"/>
    <mergeCell ref="M839:M843"/>
    <mergeCell ref="B844:C844"/>
    <mergeCell ref="B845:C845"/>
    <mergeCell ref="B846:C846"/>
    <mergeCell ref="B847:C847"/>
    <mergeCell ref="H834:H838"/>
    <mergeCell ref="L834:L838"/>
    <mergeCell ref="M834:M838"/>
    <mergeCell ref="A839:A843"/>
    <mergeCell ref="B839:C843"/>
    <mergeCell ref="D839:D843"/>
    <mergeCell ref="E839:E843"/>
    <mergeCell ref="F839:F843"/>
    <mergeCell ref="G839:G843"/>
    <mergeCell ref="H839:H843"/>
    <mergeCell ref="A834:A838"/>
    <mergeCell ref="B834:C838"/>
    <mergeCell ref="D834:D838"/>
    <mergeCell ref="E834:E838"/>
    <mergeCell ref="F834:F838"/>
    <mergeCell ref="G834:G838"/>
    <mergeCell ref="M824:M828"/>
    <mergeCell ref="A829:A833"/>
    <mergeCell ref="B829:C833"/>
    <mergeCell ref="D829:D833"/>
    <mergeCell ref="E829:E833"/>
    <mergeCell ref="F829:F833"/>
    <mergeCell ref="G829:G833"/>
    <mergeCell ref="H829:H833"/>
    <mergeCell ref="L829:L833"/>
    <mergeCell ref="M829:M833"/>
    <mergeCell ref="L820:L823"/>
    <mergeCell ref="M820:M823"/>
    <mergeCell ref="A824:A828"/>
    <mergeCell ref="B824:C828"/>
    <mergeCell ref="D824:D828"/>
    <mergeCell ref="E824:E828"/>
    <mergeCell ref="F824:F828"/>
    <mergeCell ref="G824:G828"/>
    <mergeCell ref="H824:H828"/>
    <mergeCell ref="L824:L828"/>
    <mergeCell ref="H816:H819"/>
    <mergeCell ref="L816:L819"/>
    <mergeCell ref="M816:M819"/>
    <mergeCell ref="A820:A823"/>
    <mergeCell ref="B820:C823"/>
    <mergeCell ref="D820:D823"/>
    <mergeCell ref="E820:E823"/>
    <mergeCell ref="F820:F823"/>
    <mergeCell ref="G820:G823"/>
    <mergeCell ref="H820:H823"/>
    <mergeCell ref="A816:A819"/>
    <mergeCell ref="B816:C819"/>
    <mergeCell ref="D816:D819"/>
    <mergeCell ref="E816:E819"/>
    <mergeCell ref="F816:F819"/>
    <mergeCell ref="G816:G819"/>
    <mergeCell ref="M807:M810"/>
    <mergeCell ref="A811:A815"/>
    <mergeCell ref="B811:C815"/>
    <mergeCell ref="D811:D815"/>
    <mergeCell ref="E811:E815"/>
    <mergeCell ref="F811:F815"/>
    <mergeCell ref="G811:G815"/>
    <mergeCell ref="H811:H815"/>
    <mergeCell ref="L811:L815"/>
    <mergeCell ref="M811:M815"/>
    <mergeCell ref="L803:L806"/>
    <mergeCell ref="M803:M806"/>
    <mergeCell ref="A807:A810"/>
    <mergeCell ref="B807:C810"/>
    <mergeCell ref="D807:D810"/>
    <mergeCell ref="E807:E810"/>
    <mergeCell ref="F807:F810"/>
    <mergeCell ref="G807:G810"/>
    <mergeCell ref="H807:H810"/>
    <mergeCell ref="L807:L810"/>
    <mergeCell ref="H799:H802"/>
    <mergeCell ref="L799:L802"/>
    <mergeCell ref="M799:M802"/>
    <mergeCell ref="A803:A806"/>
    <mergeCell ref="B803:C806"/>
    <mergeCell ref="D803:D806"/>
    <mergeCell ref="E803:E806"/>
    <mergeCell ref="F803:F806"/>
    <mergeCell ref="G803:G806"/>
    <mergeCell ref="H803:H806"/>
    <mergeCell ref="G795:G798"/>
    <mergeCell ref="H795:H798"/>
    <mergeCell ref="L795:L798"/>
    <mergeCell ref="M795:M798"/>
    <mergeCell ref="A799:A802"/>
    <mergeCell ref="B799:C802"/>
    <mergeCell ref="D799:D802"/>
    <mergeCell ref="E799:E802"/>
    <mergeCell ref="F799:F802"/>
    <mergeCell ref="G799:G802"/>
    <mergeCell ref="B794:C794"/>
    <mergeCell ref="A795:A798"/>
    <mergeCell ref="B795:C798"/>
    <mergeCell ref="D795:D798"/>
    <mergeCell ref="E795:E798"/>
    <mergeCell ref="F795:F798"/>
    <mergeCell ref="M784:M786"/>
    <mergeCell ref="A787:A793"/>
    <mergeCell ref="B787:C793"/>
    <mergeCell ref="D787:D793"/>
    <mergeCell ref="E787:E793"/>
    <mergeCell ref="F787:F793"/>
    <mergeCell ref="G787:G793"/>
    <mergeCell ref="H787:H793"/>
    <mergeCell ref="L787:L793"/>
    <mergeCell ref="M787:M793"/>
    <mergeCell ref="D784:D786"/>
    <mergeCell ref="E784:E786"/>
    <mergeCell ref="F784:F786"/>
    <mergeCell ref="G784:G786"/>
    <mergeCell ref="H784:H786"/>
    <mergeCell ref="L784:L786"/>
    <mergeCell ref="B780:C780"/>
    <mergeCell ref="B781:C781"/>
    <mergeCell ref="B782:C782"/>
    <mergeCell ref="B783:C783"/>
    <mergeCell ref="A784:A786"/>
    <mergeCell ref="B784:C786"/>
    <mergeCell ref="M765:M773"/>
    <mergeCell ref="A774:A779"/>
    <mergeCell ref="B774:C779"/>
    <mergeCell ref="D774:D779"/>
    <mergeCell ref="E774:E779"/>
    <mergeCell ref="F774:F779"/>
    <mergeCell ref="G774:G779"/>
    <mergeCell ref="H774:H779"/>
    <mergeCell ref="L774:L779"/>
    <mergeCell ref="M774:M779"/>
    <mergeCell ref="L750:L764"/>
    <mergeCell ref="M750:M764"/>
    <mergeCell ref="A765:A773"/>
    <mergeCell ref="B765:C773"/>
    <mergeCell ref="D765:D773"/>
    <mergeCell ref="E765:E773"/>
    <mergeCell ref="F765:F773"/>
    <mergeCell ref="G765:G773"/>
    <mergeCell ref="H765:H773"/>
    <mergeCell ref="L765:L773"/>
    <mergeCell ref="H744:H749"/>
    <mergeCell ref="L744:L749"/>
    <mergeCell ref="M744:M749"/>
    <mergeCell ref="A750:A764"/>
    <mergeCell ref="B750:C764"/>
    <mergeCell ref="D750:D764"/>
    <mergeCell ref="E750:E764"/>
    <mergeCell ref="F750:F764"/>
    <mergeCell ref="G750:G764"/>
    <mergeCell ref="H750:H764"/>
    <mergeCell ref="A744:A749"/>
    <mergeCell ref="B744:C749"/>
    <mergeCell ref="D744:D749"/>
    <mergeCell ref="E744:E749"/>
    <mergeCell ref="F744:F749"/>
    <mergeCell ref="G744:G749"/>
    <mergeCell ref="M736:M739"/>
    <mergeCell ref="A740:A743"/>
    <mergeCell ref="B740:C743"/>
    <mergeCell ref="D740:D743"/>
    <mergeCell ref="E740:E743"/>
    <mergeCell ref="F740:F743"/>
    <mergeCell ref="G740:G743"/>
    <mergeCell ref="H740:H743"/>
    <mergeCell ref="L740:L743"/>
    <mergeCell ref="M740:M743"/>
    <mergeCell ref="L731:L735"/>
    <mergeCell ref="M731:M735"/>
    <mergeCell ref="A736:A739"/>
    <mergeCell ref="B736:C739"/>
    <mergeCell ref="D736:D739"/>
    <mergeCell ref="E736:E739"/>
    <mergeCell ref="F736:F739"/>
    <mergeCell ref="G736:G739"/>
    <mergeCell ref="H736:H739"/>
    <mergeCell ref="L736:L739"/>
    <mergeCell ref="H723:H730"/>
    <mergeCell ref="L723:L730"/>
    <mergeCell ref="M723:M730"/>
    <mergeCell ref="A731:A735"/>
    <mergeCell ref="B731:C735"/>
    <mergeCell ref="D731:D735"/>
    <mergeCell ref="E731:E735"/>
    <mergeCell ref="F731:F735"/>
    <mergeCell ref="G731:G735"/>
    <mergeCell ref="H731:H735"/>
    <mergeCell ref="A723:A730"/>
    <mergeCell ref="B723:C730"/>
    <mergeCell ref="D723:D730"/>
    <mergeCell ref="E723:E730"/>
    <mergeCell ref="F723:F730"/>
    <mergeCell ref="G723:G730"/>
    <mergeCell ref="M705:M710"/>
    <mergeCell ref="A711:A722"/>
    <mergeCell ref="B711:C722"/>
    <mergeCell ref="D711:D722"/>
    <mergeCell ref="E711:E722"/>
    <mergeCell ref="F711:F722"/>
    <mergeCell ref="G711:G722"/>
    <mergeCell ref="H711:H722"/>
    <mergeCell ref="L711:L722"/>
    <mergeCell ref="M711:M722"/>
    <mergeCell ref="L701:L704"/>
    <mergeCell ref="M701:M704"/>
    <mergeCell ref="A705:A710"/>
    <mergeCell ref="B705:C710"/>
    <mergeCell ref="D705:D710"/>
    <mergeCell ref="E705:E710"/>
    <mergeCell ref="F705:F710"/>
    <mergeCell ref="G705:G710"/>
    <mergeCell ref="H705:H710"/>
    <mergeCell ref="L705:L710"/>
    <mergeCell ref="H695:H700"/>
    <mergeCell ref="L695:L700"/>
    <mergeCell ref="M695:M700"/>
    <mergeCell ref="A701:A704"/>
    <mergeCell ref="B701:C704"/>
    <mergeCell ref="D701:D704"/>
    <mergeCell ref="E701:E704"/>
    <mergeCell ref="F701:F704"/>
    <mergeCell ref="G701:G704"/>
    <mergeCell ref="H701:H704"/>
    <mergeCell ref="A695:A700"/>
    <mergeCell ref="B695:C700"/>
    <mergeCell ref="D695:D700"/>
    <mergeCell ref="E695:E700"/>
    <mergeCell ref="F695:F700"/>
    <mergeCell ref="G695:G700"/>
    <mergeCell ref="M689:M691"/>
    <mergeCell ref="A692:A694"/>
    <mergeCell ref="B692:C694"/>
    <mergeCell ref="D692:D694"/>
    <mergeCell ref="E692:E694"/>
    <mergeCell ref="F692:F694"/>
    <mergeCell ref="G692:G694"/>
    <mergeCell ref="H692:H694"/>
    <mergeCell ref="L692:L694"/>
    <mergeCell ref="M692:M694"/>
    <mergeCell ref="L685:L688"/>
    <mergeCell ref="M685:M688"/>
    <mergeCell ref="A689:A691"/>
    <mergeCell ref="B689:C691"/>
    <mergeCell ref="D689:D691"/>
    <mergeCell ref="E689:E691"/>
    <mergeCell ref="F689:F691"/>
    <mergeCell ref="G689:G691"/>
    <mergeCell ref="H689:H691"/>
    <mergeCell ref="L689:L691"/>
    <mergeCell ref="H682:H684"/>
    <mergeCell ref="L682:L684"/>
    <mergeCell ref="M682:M684"/>
    <mergeCell ref="A685:A688"/>
    <mergeCell ref="B685:C688"/>
    <mergeCell ref="D685:D688"/>
    <mergeCell ref="E685:E688"/>
    <mergeCell ref="F685:F688"/>
    <mergeCell ref="G685:G688"/>
    <mergeCell ref="H685:H688"/>
    <mergeCell ref="A682:A684"/>
    <mergeCell ref="B682:C684"/>
    <mergeCell ref="D682:D684"/>
    <mergeCell ref="E682:E684"/>
    <mergeCell ref="F682:F684"/>
    <mergeCell ref="G682:G684"/>
    <mergeCell ref="M672:M676"/>
    <mergeCell ref="A677:A681"/>
    <mergeCell ref="B677:C681"/>
    <mergeCell ref="D677:D681"/>
    <mergeCell ref="E677:E681"/>
    <mergeCell ref="F677:F681"/>
    <mergeCell ref="G677:G681"/>
    <mergeCell ref="H677:H681"/>
    <mergeCell ref="L677:L681"/>
    <mergeCell ref="M677:M681"/>
    <mergeCell ref="L667:L671"/>
    <mergeCell ref="M667:M671"/>
    <mergeCell ref="A672:A676"/>
    <mergeCell ref="B672:C676"/>
    <mergeCell ref="D672:D676"/>
    <mergeCell ref="E672:E676"/>
    <mergeCell ref="F672:F676"/>
    <mergeCell ref="G672:G676"/>
    <mergeCell ref="H672:H676"/>
    <mergeCell ref="L672:L676"/>
    <mergeCell ref="H660:H666"/>
    <mergeCell ref="L660:L666"/>
    <mergeCell ref="M660:M666"/>
    <mergeCell ref="A667:A671"/>
    <mergeCell ref="B667:C671"/>
    <mergeCell ref="D667:D671"/>
    <mergeCell ref="E667:E671"/>
    <mergeCell ref="F667:F671"/>
    <mergeCell ref="G667:G671"/>
    <mergeCell ref="H667:H671"/>
    <mergeCell ref="A660:A666"/>
    <mergeCell ref="B660:C666"/>
    <mergeCell ref="D660:D666"/>
    <mergeCell ref="E660:E666"/>
    <mergeCell ref="F660:F666"/>
    <mergeCell ref="G660:G666"/>
    <mergeCell ref="M649:M654"/>
    <mergeCell ref="A655:A659"/>
    <mergeCell ref="B655:C659"/>
    <mergeCell ref="D655:D659"/>
    <mergeCell ref="E655:E659"/>
    <mergeCell ref="F655:F659"/>
    <mergeCell ref="G655:G659"/>
    <mergeCell ref="H655:H659"/>
    <mergeCell ref="L655:L659"/>
    <mergeCell ref="M655:M659"/>
    <mergeCell ref="M645:M647"/>
    <mergeCell ref="B648:C648"/>
    <mergeCell ref="A649:A654"/>
    <mergeCell ref="B649:C654"/>
    <mergeCell ref="D649:D654"/>
    <mergeCell ref="E649:E654"/>
    <mergeCell ref="F649:F654"/>
    <mergeCell ref="G649:G654"/>
    <mergeCell ref="H649:H654"/>
    <mergeCell ref="L649:L654"/>
    <mergeCell ref="L640:L644"/>
    <mergeCell ref="M640:M644"/>
    <mergeCell ref="A645:A647"/>
    <mergeCell ref="B645:C647"/>
    <mergeCell ref="D645:D647"/>
    <mergeCell ref="E645:E647"/>
    <mergeCell ref="F645:F647"/>
    <mergeCell ref="G645:G647"/>
    <mergeCell ref="H645:H647"/>
    <mergeCell ref="L645:L647"/>
    <mergeCell ref="H634:H639"/>
    <mergeCell ref="L634:L639"/>
    <mergeCell ref="M634:M639"/>
    <mergeCell ref="A640:A644"/>
    <mergeCell ref="B640:C644"/>
    <mergeCell ref="D640:D644"/>
    <mergeCell ref="E640:E644"/>
    <mergeCell ref="F640:F644"/>
    <mergeCell ref="G640:G644"/>
    <mergeCell ref="H640:H644"/>
    <mergeCell ref="A634:A639"/>
    <mergeCell ref="B634:C639"/>
    <mergeCell ref="D634:D639"/>
    <mergeCell ref="E634:E639"/>
    <mergeCell ref="F634:F639"/>
    <mergeCell ref="G634:G639"/>
    <mergeCell ref="M626:M628"/>
    <mergeCell ref="A629:A633"/>
    <mergeCell ref="B629:C633"/>
    <mergeCell ref="D629:D633"/>
    <mergeCell ref="E629:E633"/>
    <mergeCell ref="F629:F633"/>
    <mergeCell ref="G629:G633"/>
    <mergeCell ref="H629:H633"/>
    <mergeCell ref="L629:L633"/>
    <mergeCell ref="M629:M633"/>
    <mergeCell ref="L621:L625"/>
    <mergeCell ref="M621:M625"/>
    <mergeCell ref="A626:A628"/>
    <mergeCell ref="B626:C628"/>
    <mergeCell ref="D626:D628"/>
    <mergeCell ref="E626:E628"/>
    <mergeCell ref="F626:F628"/>
    <mergeCell ref="G626:G628"/>
    <mergeCell ref="H626:H628"/>
    <mergeCell ref="L626:L628"/>
    <mergeCell ref="H616:H620"/>
    <mergeCell ref="L616:L620"/>
    <mergeCell ref="M616:M620"/>
    <mergeCell ref="A621:A625"/>
    <mergeCell ref="B621:C625"/>
    <mergeCell ref="D621:D625"/>
    <mergeCell ref="E621:E625"/>
    <mergeCell ref="F621:F625"/>
    <mergeCell ref="G621:G625"/>
    <mergeCell ref="H621:H625"/>
    <mergeCell ref="A616:A620"/>
    <mergeCell ref="B616:C620"/>
    <mergeCell ref="D616:D620"/>
    <mergeCell ref="E616:E620"/>
    <mergeCell ref="F616:F620"/>
    <mergeCell ref="G616:G620"/>
    <mergeCell ref="M605:M610"/>
    <mergeCell ref="A611:A615"/>
    <mergeCell ref="B611:C615"/>
    <mergeCell ref="D611:D615"/>
    <mergeCell ref="E611:E615"/>
    <mergeCell ref="F611:F615"/>
    <mergeCell ref="G611:G615"/>
    <mergeCell ref="H611:H615"/>
    <mergeCell ref="L611:L615"/>
    <mergeCell ref="M611:M615"/>
    <mergeCell ref="L594:L604"/>
    <mergeCell ref="M594:M604"/>
    <mergeCell ref="A605:A610"/>
    <mergeCell ref="B605:C610"/>
    <mergeCell ref="D605:D610"/>
    <mergeCell ref="E605:E610"/>
    <mergeCell ref="F605:F610"/>
    <mergeCell ref="G605:G610"/>
    <mergeCell ref="H605:H610"/>
    <mergeCell ref="L605:L610"/>
    <mergeCell ref="L582:L592"/>
    <mergeCell ref="M582:M592"/>
    <mergeCell ref="B593:C593"/>
    <mergeCell ref="A594:A604"/>
    <mergeCell ref="B594:C604"/>
    <mergeCell ref="D594:D604"/>
    <mergeCell ref="E594:E604"/>
    <mergeCell ref="F594:F604"/>
    <mergeCell ref="G594:G604"/>
    <mergeCell ref="H594:H604"/>
    <mergeCell ref="H577:H581"/>
    <mergeCell ref="L577:L581"/>
    <mergeCell ref="M577:M581"/>
    <mergeCell ref="A582:A592"/>
    <mergeCell ref="B582:C592"/>
    <mergeCell ref="D582:D592"/>
    <mergeCell ref="E582:E592"/>
    <mergeCell ref="F582:F592"/>
    <mergeCell ref="G582:G592"/>
    <mergeCell ref="H582:H592"/>
    <mergeCell ref="A577:A581"/>
    <mergeCell ref="B577:C581"/>
    <mergeCell ref="D577:D581"/>
    <mergeCell ref="E577:E581"/>
    <mergeCell ref="F577:F581"/>
    <mergeCell ref="G577:G581"/>
    <mergeCell ref="M568:M571"/>
    <mergeCell ref="A572:A576"/>
    <mergeCell ref="B572:C576"/>
    <mergeCell ref="D572:D576"/>
    <mergeCell ref="E572:E576"/>
    <mergeCell ref="F572:F576"/>
    <mergeCell ref="G572:G576"/>
    <mergeCell ref="H572:H576"/>
    <mergeCell ref="L572:L576"/>
    <mergeCell ref="M572:M576"/>
    <mergeCell ref="L566:L567"/>
    <mergeCell ref="M566:M567"/>
    <mergeCell ref="A568:A571"/>
    <mergeCell ref="B568:C571"/>
    <mergeCell ref="D568:D571"/>
    <mergeCell ref="E568:E571"/>
    <mergeCell ref="F568:F571"/>
    <mergeCell ref="G568:G571"/>
    <mergeCell ref="H568:H571"/>
    <mergeCell ref="L568:L571"/>
    <mergeCell ref="H563:H565"/>
    <mergeCell ref="L563:L565"/>
    <mergeCell ref="M563:M565"/>
    <mergeCell ref="A566:A567"/>
    <mergeCell ref="B566:C567"/>
    <mergeCell ref="D566:D567"/>
    <mergeCell ref="E566:E567"/>
    <mergeCell ref="F566:F567"/>
    <mergeCell ref="G566:G567"/>
    <mergeCell ref="H566:H567"/>
    <mergeCell ref="A563:A565"/>
    <mergeCell ref="B563:C565"/>
    <mergeCell ref="D563:D565"/>
    <mergeCell ref="E563:E565"/>
    <mergeCell ref="F563:F565"/>
    <mergeCell ref="G563:G565"/>
    <mergeCell ref="M543:M552"/>
    <mergeCell ref="A553:A562"/>
    <mergeCell ref="B553:C562"/>
    <mergeCell ref="D553:D562"/>
    <mergeCell ref="E553:E562"/>
    <mergeCell ref="F553:F562"/>
    <mergeCell ref="G553:G562"/>
    <mergeCell ref="H553:H562"/>
    <mergeCell ref="L553:L562"/>
    <mergeCell ref="M553:M562"/>
    <mergeCell ref="L535:L542"/>
    <mergeCell ref="M535:M542"/>
    <mergeCell ref="A543:A552"/>
    <mergeCell ref="B543:C552"/>
    <mergeCell ref="D543:D552"/>
    <mergeCell ref="E543:E552"/>
    <mergeCell ref="F543:F552"/>
    <mergeCell ref="G543:G552"/>
    <mergeCell ref="H543:H552"/>
    <mergeCell ref="L543:L552"/>
    <mergeCell ref="H529:H534"/>
    <mergeCell ref="L529:L534"/>
    <mergeCell ref="M529:M534"/>
    <mergeCell ref="A535:A542"/>
    <mergeCell ref="B535:C542"/>
    <mergeCell ref="D535:D542"/>
    <mergeCell ref="E535:E542"/>
    <mergeCell ref="F535:F542"/>
    <mergeCell ref="G535:G542"/>
    <mergeCell ref="H535:H542"/>
    <mergeCell ref="A529:A534"/>
    <mergeCell ref="B529:C534"/>
    <mergeCell ref="D529:D534"/>
    <mergeCell ref="E529:E534"/>
    <mergeCell ref="F529:F534"/>
    <mergeCell ref="G529:G534"/>
    <mergeCell ref="M519:M525"/>
    <mergeCell ref="A526:A528"/>
    <mergeCell ref="B526:C528"/>
    <mergeCell ref="D526:D528"/>
    <mergeCell ref="E526:E528"/>
    <mergeCell ref="F526:F528"/>
    <mergeCell ref="G526:G528"/>
    <mergeCell ref="H526:H528"/>
    <mergeCell ref="L526:L528"/>
    <mergeCell ref="M526:M528"/>
    <mergeCell ref="L516:L518"/>
    <mergeCell ref="M516:M518"/>
    <mergeCell ref="A519:A525"/>
    <mergeCell ref="B519:C525"/>
    <mergeCell ref="D519:D525"/>
    <mergeCell ref="E519:E525"/>
    <mergeCell ref="F519:F525"/>
    <mergeCell ref="G519:G525"/>
    <mergeCell ref="H519:H525"/>
    <mergeCell ref="L519:L525"/>
    <mergeCell ref="H510:H515"/>
    <mergeCell ref="L510:L515"/>
    <mergeCell ref="M510:M515"/>
    <mergeCell ref="A516:A518"/>
    <mergeCell ref="B516:C518"/>
    <mergeCell ref="D516:D518"/>
    <mergeCell ref="E516:E518"/>
    <mergeCell ref="F516:F518"/>
    <mergeCell ref="G516:G518"/>
    <mergeCell ref="H516:H518"/>
    <mergeCell ref="A510:A515"/>
    <mergeCell ref="B510:C515"/>
    <mergeCell ref="D510:D515"/>
    <mergeCell ref="E510:E515"/>
    <mergeCell ref="F510:F515"/>
    <mergeCell ref="G510:G515"/>
    <mergeCell ref="M500:M505"/>
    <mergeCell ref="A506:A509"/>
    <mergeCell ref="B506:C509"/>
    <mergeCell ref="D506:D509"/>
    <mergeCell ref="E506:E509"/>
    <mergeCell ref="F506:F509"/>
    <mergeCell ref="G506:G509"/>
    <mergeCell ref="H506:H509"/>
    <mergeCell ref="L506:L509"/>
    <mergeCell ref="M506:M509"/>
    <mergeCell ref="L492:L499"/>
    <mergeCell ref="M492:M499"/>
    <mergeCell ref="A500:A505"/>
    <mergeCell ref="B500:C505"/>
    <mergeCell ref="D500:D505"/>
    <mergeCell ref="E500:E505"/>
    <mergeCell ref="F500:F505"/>
    <mergeCell ref="G500:G505"/>
    <mergeCell ref="H500:H505"/>
    <mergeCell ref="L500:L505"/>
    <mergeCell ref="H487:H491"/>
    <mergeCell ref="L487:L491"/>
    <mergeCell ref="M487:M491"/>
    <mergeCell ref="A492:A499"/>
    <mergeCell ref="B492:C499"/>
    <mergeCell ref="D492:D499"/>
    <mergeCell ref="E492:E499"/>
    <mergeCell ref="F492:F499"/>
    <mergeCell ref="G492:G499"/>
    <mergeCell ref="H492:H499"/>
    <mergeCell ref="A487:A491"/>
    <mergeCell ref="B487:C491"/>
    <mergeCell ref="D487:D491"/>
    <mergeCell ref="E487:E491"/>
    <mergeCell ref="F487:F491"/>
    <mergeCell ref="G487:G491"/>
    <mergeCell ref="M478:M483"/>
    <mergeCell ref="A484:A486"/>
    <mergeCell ref="B484:C486"/>
    <mergeCell ref="D484:D486"/>
    <mergeCell ref="E484:E486"/>
    <mergeCell ref="F484:F486"/>
    <mergeCell ref="G484:G486"/>
    <mergeCell ref="H484:H486"/>
    <mergeCell ref="L484:L486"/>
    <mergeCell ref="M484:M486"/>
    <mergeCell ref="L472:L477"/>
    <mergeCell ref="M472:M477"/>
    <mergeCell ref="A478:A483"/>
    <mergeCell ref="B478:C483"/>
    <mergeCell ref="D478:D483"/>
    <mergeCell ref="E478:E483"/>
    <mergeCell ref="F478:F483"/>
    <mergeCell ref="G478:G483"/>
    <mergeCell ref="H478:H483"/>
    <mergeCell ref="L478:L483"/>
    <mergeCell ref="M461:M469"/>
    <mergeCell ref="B470:C470"/>
    <mergeCell ref="B471:C471"/>
    <mergeCell ref="A472:A477"/>
    <mergeCell ref="B472:C477"/>
    <mergeCell ref="D472:D477"/>
    <mergeCell ref="E472:E477"/>
    <mergeCell ref="F472:F477"/>
    <mergeCell ref="G472:G477"/>
    <mergeCell ref="H472:H477"/>
    <mergeCell ref="L451:L460"/>
    <mergeCell ref="M451:M460"/>
    <mergeCell ref="A461:A469"/>
    <mergeCell ref="B461:C469"/>
    <mergeCell ref="D461:D469"/>
    <mergeCell ref="E461:E469"/>
    <mergeCell ref="F461:F469"/>
    <mergeCell ref="G461:G469"/>
    <mergeCell ref="H461:H469"/>
    <mergeCell ref="L461:L469"/>
    <mergeCell ref="H443:H450"/>
    <mergeCell ref="L443:L450"/>
    <mergeCell ref="M443:M450"/>
    <mergeCell ref="A451:A460"/>
    <mergeCell ref="B451:C460"/>
    <mergeCell ref="D451:D460"/>
    <mergeCell ref="E451:E460"/>
    <mergeCell ref="F451:F460"/>
    <mergeCell ref="G451:G460"/>
    <mergeCell ref="H451:H460"/>
    <mergeCell ref="A443:A450"/>
    <mergeCell ref="B443:C450"/>
    <mergeCell ref="D443:D450"/>
    <mergeCell ref="E443:E450"/>
    <mergeCell ref="F443:F450"/>
    <mergeCell ref="G443:G450"/>
    <mergeCell ref="M428:M435"/>
    <mergeCell ref="A436:A442"/>
    <mergeCell ref="B436:C442"/>
    <mergeCell ref="D436:D442"/>
    <mergeCell ref="E436:E442"/>
    <mergeCell ref="F436:F442"/>
    <mergeCell ref="G436:G442"/>
    <mergeCell ref="H436:H442"/>
    <mergeCell ref="L436:L442"/>
    <mergeCell ref="M436:M442"/>
    <mergeCell ref="L421:L427"/>
    <mergeCell ref="M421:M427"/>
    <mergeCell ref="A428:A435"/>
    <mergeCell ref="B428:C435"/>
    <mergeCell ref="D428:D435"/>
    <mergeCell ref="E428:E435"/>
    <mergeCell ref="F428:F435"/>
    <mergeCell ref="G428:G435"/>
    <mergeCell ref="H428:H435"/>
    <mergeCell ref="L428:L435"/>
    <mergeCell ref="H411:H420"/>
    <mergeCell ref="L411:L420"/>
    <mergeCell ref="M411:M420"/>
    <mergeCell ref="A421:A427"/>
    <mergeCell ref="B421:C427"/>
    <mergeCell ref="D421:D427"/>
    <mergeCell ref="E421:E427"/>
    <mergeCell ref="F421:F427"/>
    <mergeCell ref="G421:G427"/>
    <mergeCell ref="H421:H427"/>
    <mergeCell ref="H404:H409"/>
    <mergeCell ref="L404:L409"/>
    <mergeCell ref="M404:M409"/>
    <mergeCell ref="B410:C410"/>
    <mergeCell ref="A411:A420"/>
    <mergeCell ref="B411:C420"/>
    <mergeCell ref="D411:D420"/>
    <mergeCell ref="E411:E420"/>
    <mergeCell ref="F411:F420"/>
    <mergeCell ref="G411:G420"/>
    <mergeCell ref="A404:A409"/>
    <mergeCell ref="B404:C409"/>
    <mergeCell ref="D404:D409"/>
    <mergeCell ref="E404:E409"/>
    <mergeCell ref="F404:F409"/>
    <mergeCell ref="G404:G409"/>
    <mergeCell ref="M396:M398"/>
    <mergeCell ref="A399:A403"/>
    <mergeCell ref="B399:C403"/>
    <mergeCell ref="D399:D403"/>
    <mergeCell ref="E399:E403"/>
    <mergeCell ref="F399:F403"/>
    <mergeCell ref="G399:G403"/>
    <mergeCell ref="H399:H403"/>
    <mergeCell ref="L399:L403"/>
    <mergeCell ref="M399:M403"/>
    <mergeCell ref="L391:L395"/>
    <mergeCell ref="M391:M395"/>
    <mergeCell ref="A396:A398"/>
    <mergeCell ref="B396:C398"/>
    <mergeCell ref="D396:D398"/>
    <mergeCell ref="E396:E398"/>
    <mergeCell ref="F396:F398"/>
    <mergeCell ref="G396:G398"/>
    <mergeCell ref="H396:H398"/>
    <mergeCell ref="L396:L398"/>
    <mergeCell ref="L385:L389"/>
    <mergeCell ref="M385:M389"/>
    <mergeCell ref="B390:C390"/>
    <mergeCell ref="A391:A395"/>
    <mergeCell ref="B391:C395"/>
    <mergeCell ref="D391:D395"/>
    <mergeCell ref="E391:E395"/>
    <mergeCell ref="F391:F395"/>
    <mergeCell ref="G391:G395"/>
    <mergeCell ref="H391:H395"/>
    <mergeCell ref="M377:M382"/>
    <mergeCell ref="B383:C383"/>
    <mergeCell ref="B384:C384"/>
    <mergeCell ref="A385:A389"/>
    <mergeCell ref="B385:C389"/>
    <mergeCell ref="D385:D389"/>
    <mergeCell ref="E385:E389"/>
    <mergeCell ref="F385:F389"/>
    <mergeCell ref="G385:G389"/>
    <mergeCell ref="H385:H389"/>
    <mergeCell ref="M372:M375"/>
    <mergeCell ref="B376:C376"/>
    <mergeCell ref="A377:A382"/>
    <mergeCell ref="B377:C382"/>
    <mergeCell ref="D377:D382"/>
    <mergeCell ref="E377:E382"/>
    <mergeCell ref="F377:F382"/>
    <mergeCell ref="G377:G382"/>
    <mergeCell ref="H377:H382"/>
    <mergeCell ref="L377:L382"/>
    <mergeCell ref="L368:L371"/>
    <mergeCell ref="M368:M371"/>
    <mergeCell ref="A372:A375"/>
    <mergeCell ref="B372:C375"/>
    <mergeCell ref="D372:D375"/>
    <mergeCell ref="E372:E375"/>
    <mergeCell ref="F372:F375"/>
    <mergeCell ref="G372:G375"/>
    <mergeCell ref="H372:H375"/>
    <mergeCell ref="L372:L375"/>
    <mergeCell ref="H365:H367"/>
    <mergeCell ref="L365:L367"/>
    <mergeCell ref="M365:M367"/>
    <mergeCell ref="A368:A371"/>
    <mergeCell ref="B368:C371"/>
    <mergeCell ref="D368:D371"/>
    <mergeCell ref="E368:E371"/>
    <mergeCell ref="F368:F371"/>
    <mergeCell ref="G368:G371"/>
    <mergeCell ref="H368:H371"/>
    <mergeCell ref="H359:H363"/>
    <mergeCell ref="L359:L363"/>
    <mergeCell ref="M359:M363"/>
    <mergeCell ref="B364:C364"/>
    <mergeCell ref="A365:A367"/>
    <mergeCell ref="B365:C367"/>
    <mergeCell ref="D365:D367"/>
    <mergeCell ref="E365:E367"/>
    <mergeCell ref="F365:F367"/>
    <mergeCell ref="G365:G367"/>
    <mergeCell ref="A359:A363"/>
    <mergeCell ref="B359:C363"/>
    <mergeCell ref="D359:D363"/>
    <mergeCell ref="E359:E363"/>
    <mergeCell ref="F359:F363"/>
    <mergeCell ref="G359:G363"/>
    <mergeCell ref="H347:H355"/>
    <mergeCell ref="L347:L355"/>
    <mergeCell ref="M347:M355"/>
    <mergeCell ref="B356:C356"/>
    <mergeCell ref="B357:C357"/>
    <mergeCell ref="B358:C358"/>
    <mergeCell ref="A347:A355"/>
    <mergeCell ref="B347:C355"/>
    <mergeCell ref="D347:D355"/>
    <mergeCell ref="E347:E355"/>
    <mergeCell ref="F347:F355"/>
    <mergeCell ref="G347:G355"/>
    <mergeCell ref="M338:M343"/>
    <mergeCell ref="A344:A346"/>
    <mergeCell ref="B344:C346"/>
    <mergeCell ref="D344:D346"/>
    <mergeCell ref="E344:E346"/>
    <mergeCell ref="F344:F346"/>
    <mergeCell ref="G344:G346"/>
    <mergeCell ref="H344:H346"/>
    <mergeCell ref="L344:L346"/>
    <mergeCell ref="M344:M346"/>
    <mergeCell ref="M334:M336"/>
    <mergeCell ref="B337:C337"/>
    <mergeCell ref="A338:A343"/>
    <mergeCell ref="B338:C343"/>
    <mergeCell ref="D338:D343"/>
    <mergeCell ref="E338:E343"/>
    <mergeCell ref="F338:F343"/>
    <mergeCell ref="G338:G343"/>
    <mergeCell ref="H338:H343"/>
    <mergeCell ref="L338:L343"/>
    <mergeCell ref="L330:L333"/>
    <mergeCell ref="M330:M333"/>
    <mergeCell ref="A334:A336"/>
    <mergeCell ref="B334:C336"/>
    <mergeCell ref="D334:D336"/>
    <mergeCell ref="E334:E336"/>
    <mergeCell ref="F334:F336"/>
    <mergeCell ref="G334:G336"/>
    <mergeCell ref="H334:H336"/>
    <mergeCell ref="L334:L336"/>
    <mergeCell ref="L324:L328"/>
    <mergeCell ref="M324:M328"/>
    <mergeCell ref="B329:C329"/>
    <mergeCell ref="A330:A333"/>
    <mergeCell ref="B330:C333"/>
    <mergeCell ref="D330:D333"/>
    <mergeCell ref="E330:E333"/>
    <mergeCell ref="F330:F333"/>
    <mergeCell ref="G330:G333"/>
    <mergeCell ref="H330:H333"/>
    <mergeCell ref="H318:H323"/>
    <mergeCell ref="L318:L323"/>
    <mergeCell ref="M318:M323"/>
    <mergeCell ref="A324:A328"/>
    <mergeCell ref="B324:C328"/>
    <mergeCell ref="D324:D328"/>
    <mergeCell ref="E324:E328"/>
    <mergeCell ref="F324:F328"/>
    <mergeCell ref="G324:G328"/>
    <mergeCell ref="H324:H328"/>
    <mergeCell ref="H314:H316"/>
    <mergeCell ref="L314:L316"/>
    <mergeCell ref="M314:M316"/>
    <mergeCell ref="B317:C317"/>
    <mergeCell ref="A318:A323"/>
    <mergeCell ref="B318:C323"/>
    <mergeCell ref="D318:D323"/>
    <mergeCell ref="E318:E323"/>
    <mergeCell ref="F318:F323"/>
    <mergeCell ref="G318:G323"/>
    <mergeCell ref="A314:A316"/>
    <mergeCell ref="B314:C316"/>
    <mergeCell ref="D314:D316"/>
    <mergeCell ref="E314:E316"/>
    <mergeCell ref="F314:F316"/>
    <mergeCell ref="G314:G316"/>
    <mergeCell ref="M306:M310"/>
    <mergeCell ref="A311:A313"/>
    <mergeCell ref="B311:C313"/>
    <mergeCell ref="D311:D313"/>
    <mergeCell ref="E311:E313"/>
    <mergeCell ref="F311:F313"/>
    <mergeCell ref="G311:G313"/>
    <mergeCell ref="H311:H313"/>
    <mergeCell ref="L311:L313"/>
    <mergeCell ref="M311:M313"/>
    <mergeCell ref="L302:L305"/>
    <mergeCell ref="M302:M305"/>
    <mergeCell ref="A306:A310"/>
    <mergeCell ref="B306:C310"/>
    <mergeCell ref="D306:D310"/>
    <mergeCell ref="E306:E310"/>
    <mergeCell ref="F306:F310"/>
    <mergeCell ref="G306:G310"/>
    <mergeCell ref="H306:H310"/>
    <mergeCell ref="L306:L310"/>
    <mergeCell ref="H297:H301"/>
    <mergeCell ref="L297:L301"/>
    <mergeCell ref="M297:M301"/>
    <mergeCell ref="A302:A305"/>
    <mergeCell ref="B302:C305"/>
    <mergeCell ref="D302:D305"/>
    <mergeCell ref="E302:E305"/>
    <mergeCell ref="F302:F305"/>
    <mergeCell ref="G302:G305"/>
    <mergeCell ref="H302:H305"/>
    <mergeCell ref="A297:A301"/>
    <mergeCell ref="B297:C301"/>
    <mergeCell ref="D297:D301"/>
    <mergeCell ref="E297:E301"/>
    <mergeCell ref="F297:F301"/>
    <mergeCell ref="G297:G301"/>
    <mergeCell ref="G292:G294"/>
    <mergeCell ref="H292:H294"/>
    <mergeCell ref="L292:L294"/>
    <mergeCell ref="M292:M294"/>
    <mergeCell ref="B295:C295"/>
    <mergeCell ref="B296:C296"/>
    <mergeCell ref="H287:H289"/>
    <mergeCell ref="L287:L289"/>
    <mergeCell ref="M287:M289"/>
    <mergeCell ref="B290:C290"/>
    <mergeCell ref="B291:C291"/>
    <mergeCell ref="A292:A294"/>
    <mergeCell ref="B292:C294"/>
    <mergeCell ref="D292:D294"/>
    <mergeCell ref="E292:E294"/>
    <mergeCell ref="F292:F294"/>
    <mergeCell ref="G284:G286"/>
    <mergeCell ref="H284:H286"/>
    <mergeCell ref="L284:L286"/>
    <mergeCell ref="M284:M286"/>
    <mergeCell ref="A287:A289"/>
    <mergeCell ref="B287:C289"/>
    <mergeCell ref="D287:D289"/>
    <mergeCell ref="E287:E289"/>
    <mergeCell ref="F287:F289"/>
    <mergeCell ref="G287:G289"/>
    <mergeCell ref="G279:G282"/>
    <mergeCell ref="H279:H282"/>
    <mergeCell ref="L279:L282"/>
    <mergeCell ref="M279:M282"/>
    <mergeCell ref="B283:C283"/>
    <mergeCell ref="A284:A286"/>
    <mergeCell ref="B284:C286"/>
    <mergeCell ref="D284:D286"/>
    <mergeCell ref="E284:E286"/>
    <mergeCell ref="F284:F286"/>
    <mergeCell ref="G275:G277"/>
    <mergeCell ref="H275:H277"/>
    <mergeCell ref="L275:L277"/>
    <mergeCell ref="M275:M277"/>
    <mergeCell ref="B278:C278"/>
    <mergeCell ref="A279:A282"/>
    <mergeCell ref="B279:C282"/>
    <mergeCell ref="D279:D282"/>
    <mergeCell ref="E279:E282"/>
    <mergeCell ref="F279:F282"/>
    <mergeCell ref="B274:C274"/>
    <mergeCell ref="A275:A277"/>
    <mergeCell ref="B275:C277"/>
    <mergeCell ref="D275:D277"/>
    <mergeCell ref="E275:E277"/>
    <mergeCell ref="F275:F277"/>
    <mergeCell ref="H267:H270"/>
    <mergeCell ref="L267:L270"/>
    <mergeCell ref="M267:M270"/>
    <mergeCell ref="B271:C271"/>
    <mergeCell ref="B272:C272"/>
    <mergeCell ref="B273:C273"/>
    <mergeCell ref="A267:A270"/>
    <mergeCell ref="B267:C270"/>
    <mergeCell ref="D267:D270"/>
    <mergeCell ref="E267:E270"/>
    <mergeCell ref="F267:F270"/>
    <mergeCell ref="G267:G270"/>
    <mergeCell ref="G261:G264"/>
    <mergeCell ref="H261:H264"/>
    <mergeCell ref="L261:L264"/>
    <mergeCell ref="M261:M264"/>
    <mergeCell ref="B265:C265"/>
    <mergeCell ref="B266:C266"/>
    <mergeCell ref="B260:C260"/>
    <mergeCell ref="A261:A264"/>
    <mergeCell ref="B261:C264"/>
    <mergeCell ref="D261:D264"/>
    <mergeCell ref="E261:E264"/>
    <mergeCell ref="F261:F264"/>
    <mergeCell ref="M253:M255"/>
    <mergeCell ref="A256:A259"/>
    <mergeCell ref="B256:C259"/>
    <mergeCell ref="D256:D259"/>
    <mergeCell ref="E256:E259"/>
    <mergeCell ref="F256:F259"/>
    <mergeCell ref="G256:G259"/>
    <mergeCell ref="H256:H259"/>
    <mergeCell ref="L256:L259"/>
    <mergeCell ref="M256:M259"/>
    <mergeCell ref="L250:L252"/>
    <mergeCell ref="M250:M252"/>
    <mergeCell ref="A253:A255"/>
    <mergeCell ref="B253:C255"/>
    <mergeCell ref="D253:D255"/>
    <mergeCell ref="E253:E255"/>
    <mergeCell ref="F253:F255"/>
    <mergeCell ref="G253:G255"/>
    <mergeCell ref="H253:H255"/>
    <mergeCell ref="L253:L255"/>
    <mergeCell ref="H245:H249"/>
    <mergeCell ref="L245:L249"/>
    <mergeCell ref="M245:M249"/>
    <mergeCell ref="A250:A252"/>
    <mergeCell ref="B250:C252"/>
    <mergeCell ref="D250:D252"/>
    <mergeCell ref="E250:E252"/>
    <mergeCell ref="F250:F252"/>
    <mergeCell ref="G250:G252"/>
    <mergeCell ref="H250:H252"/>
    <mergeCell ref="G240:G244"/>
    <mergeCell ref="H240:H244"/>
    <mergeCell ref="L240:L244"/>
    <mergeCell ref="M240:M244"/>
    <mergeCell ref="A245:A249"/>
    <mergeCell ref="B245:C249"/>
    <mergeCell ref="D245:D249"/>
    <mergeCell ref="E245:E249"/>
    <mergeCell ref="F245:F249"/>
    <mergeCell ref="G245:G249"/>
    <mergeCell ref="B239:C239"/>
    <mergeCell ref="A240:A244"/>
    <mergeCell ref="B240:C244"/>
    <mergeCell ref="D240:D244"/>
    <mergeCell ref="E240:E244"/>
    <mergeCell ref="F240:F244"/>
    <mergeCell ref="M233:M235"/>
    <mergeCell ref="A236:A238"/>
    <mergeCell ref="B236:C238"/>
    <mergeCell ref="D236:D238"/>
    <mergeCell ref="E236:E238"/>
    <mergeCell ref="F236:F238"/>
    <mergeCell ref="G236:G238"/>
    <mergeCell ref="H236:H238"/>
    <mergeCell ref="L236:L238"/>
    <mergeCell ref="M236:M238"/>
    <mergeCell ref="M229:M231"/>
    <mergeCell ref="B232:C232"/>
    <mergeCell ref="A233:A235"/>
    <mergeCell ref="B233:C235"/>
    <mergeCell ref="D233:D235"/>
    <mergeCell ref="E233:E235"/>
    <mergeCell ref="F233:F235"/>
    <mergeCell ref="G233:G235"/>
    <mergeCell ref="H233:H235"/>
    <mergeCell ref="L233:L235"/>
    <mergeCell ref="L225:L228"/>
    <mergeCell ref="M225:M228"/>
    <mergeCell ref="A229:A231"/>
    <mergeCell ref="B229:C231"/>
    <mergeCell ref="D229:D231"/>
    <mergeCell ref="E229:E231"/>
    <mergeCell ref="F229:F231"/>
    <mergeCell ref="G229:G231"/>
    <mergeCell ref="H229:H231"/>
    <mergeCell ref="L229:L231"/>
    <mergeCell ref="H221:H224"/>
    <mergeCell ref="L221:L224"/>
    <mergeCell ref="M221:M224"/>
    <mergeCell ref="A225:A228"/>
    <mergeCell ref="B225:C228"/>
    <mergeCell ref="D225:D228"/>
    <mergeCell ref="E225:E228"/>
    <mergeCell ref="F225:F228"/>
    <mergeCell ref="G225:G228"/>
    <mergeCell ref="H225:H228"/>
    <mergeCell ref="G215:G220"/>
    <mergeCell ref="H215:H220"/>
    <mergeCell ref="L215:L220"/>
    <mergeCell ref="M215:M220"/>
    <mergeCell ref="A221:A224"/>
    <mergeCell ref="B221:C224"/>
    <mergeCell ref="D221:D224"/>
    <mergeCell ref="E221:E224"/>
    <mergeCell ref="F221:F224"/>
    <mergeCell ref="G221:G224"/>
    <mergeCell ref="H210:H212"/>
    <mergeCell ref="L210:L212"/>
    <mergeCell ref="M210:M212"/>
    <mergeCell ref="B213:C213"/>
    <mergeCell ref="B214:C214"/>
    <mergeCell ref="A215:A220"/>
    <mergeCell ref="B215:C220"/>
    <mergeCell ref="D215:D220"/>
    <mergeCell ref="E215:E220"/>
    <mergeCell ref="F215:F220"/>
    <mergeCell ref="G207:G209"/>
    <mergeCell ref="H207:H209"/>
    <mergeCell ref="L207:L209"/>
    <mergeCell ref="M207:M209"/>
    <mergeCell ref="A210:A212"/>
    <mergeCell ref="B210:C212"/>
    <mergeCell ref="D210:D212"/>
    <mergeCell ref="E210:E212"/>
    <mergeCell ref="F210:F212"/>
    <mergeCell ref="G210:G212"/>
    <mergeCell ref="H194:H204"/>
    <mergeCell ref="L194:L204"/>
    <mergeCell ref="M194:M204"/>
    <mergeCell ref="B205:C205"/>
    <mergeCell ref="B206:C206"/>
    <mergeCell ref="A207:A209"/>
    <mergeCell ref="B207:C209"/>
    <mergeCell ref="D207:D209"/>
    <mergeCell ref="E207:E209"/>
    <mergeCell ref="F207:F209"/>
    <mergeCell ref="A194:A204"/>
    <mergeCell ref="B194:C204"/>
    <mergeCell ref="D194:D204"/>
    <mergeCell ref="E194:E204"/>
    <mergeCell ref="F194:F204"/>
    <mergeCell ref="G194:G204"/>
    <mergeCell ref="M183:M186"/>
    <mergeCell ref="A187:A193"/>
    <mergeCell ref="B187:C193"/>
    <mergeCell ref="D187:D193"/>
    <mergeCell ref="E187:E193"/>
    <mergeCell ref="F187:F193"/>
    <mergeCell ref="G187:G193"/>
    <mergeCell ref="H187:H193"/>
    <mergeCell ref="L187:L193"/>
    <mergeCell ref="M187:M193"/>
    <mergeCell ref="M176:M181"/>
    <mergeCell ref="B182:C182"/>
    <mergeCell ref="A183:A186"/>
    <mergeCell ref="B183:C186"/>
    <mergeCell ref="D183:D186"/>
    <mergeCell ref="E183:E186"/>
    <mergeCell ref="F183:F186"/>
    <mergeCell ref="G183:G186"/>
    <mergeCell ref="H183:H186"/>
    <mergeCell ref="L183:L186"/>
    <mergeCell ref="L173:L175"/>
    <mergeCell ref="M173:M175"/>
    <mergeCell ref="A176:A181"/>
    <mergeCell ref="B176:C181"/>
    <mergeCell ref="D176:D181"/>
    <mergeCell ref="E176:E181"/>
    <mergeCell ref="F176:F181"/>
    <mergeCell ref="G176:G181"/>
    <mergeCell ref="H176:H181"/>
    <mergeCell ref="L176:L181"/>
    <mergeCell ref="H167:H172"/>
    <mergeCell ref="L167:L172"/>
    <mergeCell ref="M167:M172"/>
    <mergeCell ref="A173:A175"/>
    <mergeCell ref="B173:C175"/>
    <mergeCell ref="D173:D175"/>
    <mergeCell ref="E173:E175"/>
    <mergeCell ref="F173:F175"/>
    <mergeCell ref="G173:G175"/>
    <mergeCell ref="H173:H175"/>
    <mergeCell ref="A167:A172"/>
    <mergeCell ref="B167:C172"/>
    <mergeCell ref="D167:D172"/>
    <mergeCell ref="E167:E172"/>
    <mergeCell ref="F167:F172"/>
    <mergeCell ref="G167:G172"/>
    <mergeCell ref="M157:M161"/>
    <mergeCell ref="A162:A166"/>
    <mergeCell ref="B162:C166"/>
    <mergeCell ref="D162:D166"/>
    <mergeCell ref="E162:E166"/>
    <mergeCell ref="F162:F166"/>
    <mergeCell ref="G162:G166"/>
    <mergeCell ref="H162:H166"/>
    <mergeCell ref="L162:L166"/>
    <mergeCell ref="M162:M166"/>
    <mergeCell ref="L153:L156"/>
    <mergeCell ref="M153:M156"/>
    <mergeCell ref="A157:A161"/>
    <mergeCell ref="B157:C161"/>
    <mergeCell ref="D157:D161"/>
    <mergeCell ref="E157:E161"/>
    <mergeCell ref="F157:F161"/>
    <mergeCell ref="G157:G161"/>
    <mergeCell ref="H157:H161"/>
    <mergeCell ref="L157:L161"/>
    <mergeCell ref="H148:H152"/>
    <mergeCell ref="L148:L152"/>
    <mergeCell ref="M148:M152"/>
    <mergeCell ref="A153:A156"/>
    <mergeCell ref="B153:C156"/>
    <mergeCell ref="D153:D156"/>
    <mergeCell ref="E153:E156"/>
    <mergeCell ref="F153:F156"/>
    <mergeCell ref="G153:G156"/>
    <mergeCell ref="H153:H156"/>
    <mergeCell ref="A148:A152"/>
    <mergeCell ref="B148:C152"/>
    <mergeCell ref="D148:D152"/>
    <mergeCell ref="E148:E152"/>
    <mergeCell ref="F148:F152"/>
    <mergeCell ref="G148:G152"/>
    <mergeCell ref="M138:M141"/>
    <mergeCell ref="A142:A147"/>
    <mergeCell ref="B142:C147"/>
    <mergeCell ref="D142:D147"/>
    <mergeCell ref="E142:E147"/>
    <mergeCell ref="F142:F147"/>
    <mergeCell ref="G142:G147"/>
    <mergeCell ref="H142:H147"/>
    <mergeCell ref="L142:L147"/>
    <mergeCell ref="M142:M147"/>
    <mergeCell ref="L132:L137"/>
    <mergeCell ref="M132:M137"/>
    <mergeCell ref="A138:A141"/>
    <mergeCell ref="B138:C141"/>
    <mergeCell ref="D138:D141"/>
    <mergeCell ref="E138:E141"/>
    <mergeCell ref="F138:F141"/>
    <mergeCell ref="G138:G141"/>
    <mergeCell ref="H138:H141"/>
    <mergeCell ref="L138:L141"/>
    <mergeCell ref="L126:L130"/>
    <mergeCell ref="M126:M130"/>
    <mergeCell ref="B131:C131"/>
    <mergeCell ref="A132:A137"/>
    <mergeCell ref="B132:C137"/>
    <mergeCell ref="D132:D137"/>
    <mergeCell ref="E132:E137"/>
    <mergeCell ref="F132:F137"/>
    <mergeCell ref="G132:G137"/>
    <mergeCell ref="H132:H137"/>
    <mergeCell ref="H115:H125"/>
    <mergeCell ref="L115:L125"/>
    <mergeCell ref="M115:M125"/>
    <mergeCell ref="A126:A130"/>
    <mergeCell ref="B126:C130"/>
    <mergeCell ref="D126:D130"/>
    <mergeCell ref="E126:E130"/>
    <mergeCell ref="F126:F130"/>
    <mergeCell ref="G126:G130"/>
    <mergeCell ref="H126:H130"/>
    <mergeCell ref="A115:A125"/>
    <mergeCell ref="B115:C125"/>
    <mergeCell ref="D115:D125"/>
    <mergeCell ref="E115:E125"/>
    <mergeCell ref="F115:F125"/>
    <mergeCell ref="G115:G125"/>
    <mergeCell ref="M99:M111"/>
    <mergeCell ref="A112:A114"/>
    <mergeCell ref="B112:C114"/>
    <mergeCell ref="D112:D114"/>
    <mergeCell ref="E112:E114"/>
    <mergeCell ref="F112:F114"/>
    <mergeCell ref="G112:G114"/>
    <mergeCell ref="H112:H114"/>
    <mergeCell ref="L112:L114"/>
    <mergeCell ref="M112:M114"/>
    <mergeCell ref="L93:L98"/>
    <mergeCell ref="M93:M98"/>
    <mergeCell ref="A99:A111"/>
    <mergeCell ref="B99:C111"/>
    <mergeCell ref="D99:D111"/>
    <mergeCell ref="E99:E111"/>
    <mergeCell ref="F99:F111"/>
    <mergeCell ref="G99:G111"/>
    <mergeCell ref="H99:H111"/>
    <mergeCell ref="L99:L111"/>
    <mergeCell ref="H90:H92"/>
    <mergeCell ref="L90:L92"/>
    <mergeCell ref="M90:M92"/>
    <mergeCell ref="A93:A98"/>
    <mergeCell ref="B93:C98"/>
    <mergeCell ref="D93:D98"/>
    <mergeCell ref="E93:E98"/>
    <mergeCell ref="F93:F98"/>
    <mergeCell ref="G93:G98"/>
    <mergeCell ref="H93:H98"/>
    <mergeCell ref="H86:H88"/>
    <mergeCell ref="L86:L88"/>
    <mergeCell ref="M86:M88"/>
    <mergeCell ref="B89:C89"/>
    <mergeCell ref="A90:A92"/>
    <mergeCell ref="B90:C92"/>
    <mergeCell ref="D90:D92"/>
    <mergeCell ref="E90:E92"/>
    <mergeCell ref="F90:F92"/>
    <mergeCell ref="G90:G92"/>
    <mergeCell ref="A86:A88"/>
    <mergeCell ref="B86:C88"/>
    <mergeCell ref="D86:D88"/>
    <mergeCell ref="E86:E88"/>
    <mergeCell ref="F86:F88"/>
    <mergeCell ref="G86:G88"/>
    <mergeCell ref="M73:M78"/>
    <mergeCell ref="A79:A85"/>
    <mergeCell ref="B79:C85"/>
    <mergeCell ref="D79:D85"/>
    <mergeCell ref="E79:E85"/>
    <mergeCell ref="F79:F85"/>
    <mergeCell ref="G79:G85"/>
    <mergeCell ref="H79:H85"/>
    <mergeCell ref="L79:L85"/>
    <mergeCell ref="M79:M85"/>
    <mergeCell ref="L68:L72"/>
    <mergeCell ref="M68:M72"/>
    <mergeCell ref="A73:A78"/>
    <mergeCell ref="B73:C78"/>
    <mergeCell ref="D73:D78"/>
    <mergeCell ref="E73:E78"/>
    <mergeCell ref="F73:F78"/>
    <mergeCell ref="G73:G78"/>
    <mergeCell ref="H73:H78"/>
    <mergeCell ref="L73:L78"/>
    <mergeCell ref="H65:H67"/>
    <mergeCell ref="L65:L67"/>
    <mergeCell ref="M65:M67"/>
    <mergeCell ref="A68:A72"/>
    <mergeCell ref="B68:C72"/>
    <mergeCell ref="D68:D72"/>
    <mergeCell ref="E68:E72"/>
    <mergeCell ref="F68:F72"/>
    <mergeCell ref="G68:G72"/>
    <mergeCell ref="H68:H72"/>
    <mergeCell ref="A65:A67"/>
    <mergeCell ref="B65:C67"/>
    <mergeCell ref="D65:D67"/>
    <mergeCell ref="E65:E67"/>
    <mergeCell ref="F65:F67"/>
    <mergeCell ref="G65:G67"/>
    <mergeCell ref="M49:M51"/>
    <mergeCell ref="A52:A64"/>
    <mergeCell ref="B52:C64"/>
    <mergeCell ref="D52:D64"/>
    <mergeCell ref="E52:E64"/>
    <mergeCell ref="F52:F64"/>
    <mergeCell ref="G52:G64"/>
    <mergeCell ref="H52:H64"/>
    <mergeCell ref="L52:L64"/>
    <mergeCell ref="M52:M64"/>
    <mergeCell ref="L46:L48"/>
    <mergeCell ref="M46:M48"/>
    <mergeCell ref="A49:A51"/>
    <mergeCell ref="B49:C51"/>
    <mergeCell ref="D49:D51"/>
    <mergeCell ref="E49:E51"/>
    <mergeCell ref="F49:F51"/>
    <mergeCell ref="G49:G51"/>
    <mergeCell ref="H49:H51"/>
    <mergeCell ref="L49:L51"/>
    <mergeCell ref="H40:H45"/>
    <mergeCell ref="L40:L45"/>
    <mergeCell ref="M40:M45"/>
    <mergeCell ref="A46:A48"/>
    <mergeCell ref="B46:C48"/>
    <mergeCell ref="D46:D48"/>
    <mergeCell ref="E46:E48"/>
    <mergeCell ref="F46:F48"/>
    <mergeCell ref="G46:G48"/>
    <mergeCell ref="H46:H48"/>
    <mergeCell ref="A40:A45"/>
    <mergeCell ref="B40:C45"/>
    <mergeCell ref="D40:D45"/>
    <mergeCell ref="E40:E45"/>
    <mergeCell ref="F40:F45"/>
    <mergeCell ref="G40:G45"/>
    <mergeCell ref="M31:M34"/>
    <mergeCell ref="A35:A39"/>
    <mergeCell ref="B35:C39"/>
    <mergeCell ref="D35:D39"/>
    <mergeCell ref="E35:E39"/>
    <mergeCell ref="F35:F39"/>
    <mergeCell ref="G35:G39"/>
    <mergeCell ref="H35:H39"/>
    <mergeCell ref="L35:L39"/>
    <mergeCell ref="M35:M39"/>
    <mergeCell ref="L26:L30"/>
    <mergeCell ref="M26:M30"/>
    <mergeCell ref="A31:A34"/>
    <mergeCell ref="B31:C34"/>
    <mergeCell ref="D31:D34"/>
    <mergeCell ref="E31:E34"/>
    <mergeCell ref="F31:F34"/>
    <mergeCell ref="G31:G34"/>
    <mergeCell ref="H31:H34"/>
    <mergeCell ref="L31:L34"/>
    <mergeCell ref="H21:H25"/>
    <mergeCell ref="L21:L25"/>
    <mergeCell ref="M21:M25"/>
    <mergeCell ref="A26:A30"/>
    <mergeCell ref="B26:C30"/>
    <mergeCell ref="D26:D30"/>
    <mergeCell ref="E26:E30"/>
    <mergeCell ref="F26:F30"/>
    <mergeCell ref="G26:G30"/>
    <mergeCell ref="H26:H30"/>
    <mergeCell ref="A21:A25"/>
    <mergeCell ref="B21:C25"/>
    <mergeCell ref="D21:D25"/>
    <mergeCell ref="E21:E25"/>
    <mergeCell ref="F21:F25"/>
    <mergeCell ref="G21:G25"/>
    <mergeCell ref="M6:M11"/>
    <mergeCell ref="A12:A20"/>
    <mergeCell ref="B12:C20"/>
    <mergeCell ref="D12:D20"/>
    <mergeCell ref="E12:E20"/>
    <mergeCell ref="F12:F20"/>
    <mergeCell ref="G12:G20"/>
    <mergeCell ref="H12:H20"/>
    <mergeCell ref="L12:L20"/>
    <mergeCell ref="M12:M20"/>
    <mergeCell ref="L4:L5"/>
    <mergeCell ref="M4:M5"/>
    <mergeCell ref="A6:A11"/>
    <mergeCell ref="B6:C11"/>
    <mergeCell ref="D6:D11"/>
    <mergeCell ref="E6:E11"/>
    <mergeCell ref="F6:F11"/>
    <mergeCell ref="G6:G11"/>
    <mergeCell ref="H6:H11"/>
    <mergeCell ref="L6:L11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dataValidations count="1">
    <dataValidation type="list" allowBlank="1" showInputMessage="1" showErrorMessage="1" sqref="L2:M2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2022-09-15T07:49:26Z</dcterms:created>
  <dcterms:modified xsi:type="dcterms:W3CDTF">2022-09-15T07:49:33Z</dcterms:modified>
</cp:coreProperties>
</file>